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39.xml" ContentType="application/vnd.openxmlformats-officedocument.spreadsheetml.externalLink+xml"/>
  <Override PartName="/xl/externalLinks/externalLink1.xml" ContentType="application/vnd.openxmlformats-officedocument.spreadsheetml.externalLink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gulatory_Affairs\PGA - WASHINGTON\2025\September\2_Replace_10xx25\25-08A_PGA\Exh A\"/>
    </mc:Choice>
  </mc:AlternateContent>
  <xr:revisionPtr revIDLastSave="0" documentId="13_ncr:1_{57ABFE7E-2105-461A-825F-5356443485EE}" xr6:coauthVersionLast="47" xr6:coauthVersionMax="47" xr10:uidLastSave="{00000000-0000-0000-0000-000000000000}"/>
  <bookViews>
    <workbookView xWindow="35430" yWindow="840" windowWidth="15945" windowHeight="9735" xr2:uid="{3686AA88-6D01-4647-9DCB-79994F53D61D}"/>
  </bookViews>
  <sheets>
    <sheet name="Summary of Temporaries " sheetId="16" r:id="rId1"/>
    <sheet name=" Increments  equal ¢ per therm" sheetId="17" r:id="rId2"/>
    <sheet name="Effect on Cust Avg Bill by RS" sheetId="25" r:id="rId3"/>
    <sheet name="Summary of Deferrred Acccounts" sheetId="5" r:id="rId4"/>
    <sheet name="151540 WACOG Deferral" sheetId="6" r:id="rId5"/>
    <sheet name="151545 WACOG Amortization " sheetId="7" r:id="rId6"/>
    <sheet name="151550 Demand Accrual" sheetId="8" r:id="rId7"/>
    <sheet name="151555 Demand Amortization" sheetId="9" r:id="rId8"/>
    <sheet name="232035 Storage Sharing" sheetId="10" r:id="rId9"/>
    <sheet name="Total Commodity Summary" sheetId="19" r:id="rId10"/>
    <sheet name="Demand Charges" sheetId="20" r:id="rId11"/>
    <sheet name="Derivation of Demand rates WA" sheetId="21" r:id="rId12"/>
    <sheet name="Winter WACOG " sheetId="22" r:id="rId13"/>
    <sheet name="Effects on Revenue" sheetId="15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0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on08">#REF!</definedName>
    <definedName name="_Fill" hidden="1">#REF!</definedName>
    <definedName name="_xlnm._FilterDatabase" hidden="1">'[1]Summary (Avg)'!#REF!</definedName>
    <definedName name="_gip08">#REF!</definedName>
    <definedName name="_Key1" hidden="1">#REF!</definedName>
    <definedName name="_Key2" hidden="1">#REF!</definedName>
    <definedName name="_nbu2500">#REF!</definedName>
    <definedName name="_Order1" hidden="1">255</definedName>
    <definedName name="_Order2" hidden="1">255</definedName>
    <definedName name="_Parse_In" hidden="1">#REF!</definedName>
    <definedName name="_PG3">#N/A</definedName>
    <definedName name="_ptp08">#REF!</definedName>
    <definedName name="_sa1" hidden="1">{#N/A,#N/A,FALSE,"Assessment";#N/A,#N/A,FALSE,"Staffing";#N/A,#N/A,FALSE,"Hires";#N/A,#N/A,FALSE,"Assumptions"}</definedName>
    <definedName name="_sbn08">#REF!</definedName>
    <definedName name="_Sort" hidden="1">#REF!</definedName>
    <definedName name="_t2" hidden="1">{#N/A,#N/A,FALSE,"Assessment";#N/A,#N/A,FALSE,"Staffing";#N/A,#N/A,FALSE,"Hires";#N/A,#N/A,FALSE,"Assumptions"}</definedName>
    <definedName name="_t3" hidden="1">{#N/A,#N/A,FALSE,"Assessment";#N/A,#N/A,FALSE,"Staffing";#N/A,#N/A,FALSE,"Hires";#N/A,#N/A,FALSE,"Assumptions"}</definedName>
    <definedName name="_t4" hidden="1">{#N/A,#N/A,FALSE,"Assessment";#N/A,#N/A,FALSE,"Staffing";#N/A,#N/A,FALSE,"Hires";#N/A,#N/A,FALSE,"Assumptions"}</definedName>
    <definedName name="A" localSheetId="4">[2]DEPR!#REF!</definedName>
    <definedName name="A" localSheetId="5">[2]DEPR!#REF!</definedName>
    <definedName name="A" localSheetId="6">[2]DEPR!#REF!</definedName>
    <definedName name="A" localSheetId="7">[2]DEPR!#REF!</definedName>
    <definedName name="A" localSheetId="8">[2]DEPR!#REF!</definedName>
    <definedName name="A">[2]DEPR!#REF!</definedName>
    <definedName name="AC__E">'[3]BID COST BREAKDOWN'!#REF!</definedName>
    <definedName name="AccessDatabase" hidden="1">"C:\DATA\KEVIN\MODELS\Model 0218.mdb"</definedName>
    <definedName name="ALLOCATION">#REF!</definedName>
    <definedName name="anscount" hidden="1">3</definedName>
    <definedName name="asdcasdcasd" hidden="1">{"REPORT100",#N/A,FALSE,"100 &amp; 110"}</definedName>
    <definedName name="Assumption" hidden="1">{"report102",#N/A,FALSE,"102"}</definedName>
    <definedName name="AT_DAY">#REF!</definedName>
    <definedName name="AT_NOW">#REF!</definedName>
    <definedName name="AutomationEngineer">[4]IQGEO!$B$9</definedName>
    <definedName name="BenMcLeod">[4]IQGEO!$B$8</definedName>
    <definedName name="BenSainsbury">[4]IQGEO!$B$10</definedName>
    <definedName name="BITS_DEF_VAR">#REF!</definedName>
    <definedName name="BITSDEFF">#REF!</definedName>
    <definedName name="BON00">#REF!</definedName>
    <definedName name="BONUS_90_88">#N/A</definedName>
    <definedName name="bonus00">#REF!</definedName>
    <definedName name="BrianGrass">[4]IQGEO!$B$11</definedName>
    <definedName name="BrianLee">[4]IQGEO!$B$14</definedName>
    <definedName name="BryceGartrell">[4]IQGEO!$B$5</definedName>
    <definedName name="BUBenefits00">#REF!</definedName>
    <definedName name="buc00">#REF!</definedName>
    <definedName name="BUDGET_C_F">#REF!</definedName>
    <definedName name="buf00">#REF!</definedName>
    <definedName name="calcsheet1">#N/A</definedName>
    <definedName name="calcsheet2">#N/A</definedName>
    <definedName name="calcsheet3">#N/A</definedName>
    <definedName name="cancel">'[5]July Int Rate for Amort'!$B$17</definedName>
    <definedName name="casepg1">#N/A</definedName>
    <definedName name="cashallow99">#REF!</definedName>
    <definedName name="cd" hidden="1">{#N/A,#N/A,FALSE,"Assessment";#N/A,#N/A,FALSE,"Staffing";#N/A,#N/A,FALSE,"Hires";#N/A,#N/A,FALSE,"Assumptions"}</definedName>
    <definedName name="Ceramic_Tile">'[3]BID COST BREAKDOWN'!#REF!</definedName>
    <definedName name="check1">[6]Miscellaneous!$C$7</definedName>
    <definedName name="check10">[6]Miscellaneous!$C$16</definedName>
    <definedName name="check11">[6]Miscellaneous!$C$17</definedName>
    <definedName name="check12">[6]Miscellaneous!$C$18</definedName>
    <definedName name="check13">[6]Miscellaneous!$C$19</definedName>
    <definedName name="check14">[6]Miscellaneous!$C$20</definedName>
    <definedName name="check15">[6]Miscellaneous!$C$21</definedName>
    <definedName name="check16">[6]Miscellaneous!$C$22</definedName>
    <definedName name="check17">[6]Miscellaneous!$C$23</definedName>
    <definedName name="check18">[6]Miscellaneous!$C$24</definedName>
    <definedName name="check19">[6]Miscellaneous!$C$25</definedName>
    <definedName name="check2">[6]Miscellaneous!$C$8</definedName>
    <definedName name="check20">[6]Miscellaneous!$C$26</definedName>
    <definedName name="check21">[6]Miscellaneous!$C$27</definedName>
    <definedName name="check22">[6]Miscellaneous!$C$28</definedName>
    <definedName name="check23">[6]Miscellaneous!$C$29</definedName>
    <definedName name="check24">[6]Miscellaneous!$C$30</definedName>
    <definedName name="check25">[6]Miscellaneous!$C$31</definedName>
    <definedName name="check26">[6]Miscellaneous!$C$32</definedName>
    <definedName name="check27">[6]Miscellaneous!$C$33</definedName>
    <definedName name="check28">[6]Miscellaneous!$C$34</definedName>
    <definedName name="check29">[6]Miscellaneous!$C$35</definedName>
    <definedName name="check3">[6]Miscellaneous!$C$9</definedName>
    <definedName name="check30">[6]Miscellaneous!$C$36</definedName>
    <definedName name="check31">[6]Miscellaneous!$C$37</definedName>
    <definedName name="check32">[6]Miscellaneous!$C$38</definedName>
    <definedName name="check33">[6]Miscellaneous!$C$39</definedName>
    <definedName name="check34">[6]Miscellaneous!$C$40</definedName>
    <definedName name="check35">[6]Miscellaneous!$C$41</definedName>
    <definedName name="check36">[6]Miscellaneous!$C$42</definedName>
    <definedName name="check37">[6]Miscellaneous!$C$43</definedName>
    <definedName name="check38">[6]Miscellaneous!$C$44</definedName>
    <definedName name="check39">[6]Miscellaneous!$C$45</definedName>
    <definedName name="check4">[6]Miscellaneous!$C$10</definedName>
    <definedName name="check40">[6]Miscellaneous!$C$46</definedName>
    <definedName name="check41">[6]Miscellaneous!$C$47</definedName>
    <definedName name="check42">[6]Miscellaneous!$C$48</definedName>
    <definedName name="check43">[6]Miscellaneous!$C$49</definedName>
    <definedName name="check44">[6]Miscellaneous!$C$50</definedName>
    <definedName name="check45">[6]Miscellaneous!$C$51</definedName>
    <definedName name="check46">[6]Miscellaneous!$C$52</definedName>
    <definedName name="check5">[6]Miscellaneous!$C$11</definedName>
    <definedName name="check6">[6]Miscellaneous!$C$12</definedName>
    <definedName name="check7">[6]Miscellaneous!$C$13</definedName>
    <definedName name="check8">[6]Miscellaneous!$C$14</definedName>
    <definedName name="check9">[6]Miscellaneous!$C$15</definedName>
    <definedName name="City_Name">'[7]Input Sheet'!$B$76:$B$85</definedName>
    <definedName name="clerical99">#REF!</definedName>
    <definedName name="CMonth">#REF!</definedName>
    <definedName name="column00">#REF!</definedName>
    <definedName name="COMBINE">#REF!</definedName>
    <definedName name="COMMBALCFSTART">#REF!</definedName>
    <definedName name="Commencement_Date">'[8]Inputs Master'!$C$12</definedName>
    <definedName name="COMMSHCF">#REF!</definedName>
    <definedName name="COMMSHCFSTART">#REF!</definedName>
    <definedName name="Concrete">'[3]BID COST BREAKDOWN'!#REF!</definedName>
    <definedName name="Controls">'[3]BID COST BREAKDOWN'!#REF!</definedName>
    <definedName name="costgas">#REF!</definedName>
    <definedName name="coun" hidden="1">{#N/A,#N/A,FALSE,"Assessment";#N/A,#N/A,FALSE,"Staffing";#N/A,#N/A,FALSE,"Hires";#N/A,#N/A,FALSE,"Assumptions"}</definedName>
    <definedName name="count00">#REF!</definedName>
    <definedName name="COUNT2" hidden="1">{#N/A,#N/A,FALSE,"Assessment";#N/A,#N/A,FALSE,"Staffing";#N/A,#N/A,FALSE,"Hires";#N/A,#N/A,FALSE,"Assumptions"}</definedName>
    <definedName name="Country_Name">'[7]Input Sheet'!$B$111:$B$120</definedName>
    <definedName name="CUSTADJYR3">#REF!</definedName>
    <definedName name="CUSTADJYR5">#REF!</definedName>
    <definedName name="CYTD">#REF!</definedName>
    <definedName name="DATA">#REF!</definedName>
    <definedName name="data00">#REF!</definedName>
    <definedName name="data081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looky">#REF!</definedName>
    <definedName name="DATE_TITLE">#REF!</definedName>
    <definedName name="DATE_WRITE">#REF!</definedName>
    <definedName name="DAY_CALC">#REF!</definedName>
    <definedName name="dd" hidden="1">{#N/A,#N/A,FALSE,"Assessment";#N/A,#N/A,FALSE,"Staffing";#N/A,#N/A,FALSE,"Hires";#N/A,#N/A,FALSE,"Assumptions"}</definedName>
    <definedName name="Décor">'[3]BID COST BREAKDOWN'!#REF!</definedName>
    <definedName name="Def401b00">#REF!</definedName>
    <definedName name="Def401b01">#REF!</definedName>
    <definedName name="Def401p00">#REF!</definedName>
    <definedName name="Def401p01">#REF!</definedName>
    <definedName name="Def401pct">#REF!</definedName>
    <definedName name="Defedcb00">#REF!</definedName>
    <definedName name="Defedcb01">#REF!</definedName>
    <definedName name="Defedcp00">#REF!</definedName>
    <definedName name="Defedcp01">#REF!</definedName>
    <definedName name="Defedcpct">#REF!</definedName>
    <definedName name="DefNames">#REF!</definedName>
    <definedName name="DEMANDADJYR2">#REF!</definedName>
    <definedName name="DEMANDADJYR4">#REF!</definedName>
    <definedName name="DEMANDADJYR5">#REF!</definedName>
    <definedName name="DEMANDTRANS">#REF!</definedName>
    <definedName name="Demolition">'[3]BID COST BREAKDOWN'!#REF!</definedName>
    <definedName name="dental00">#REF!</definedName>
    <definedName name="dentalallow00">#REF!</definedName>
    <definedName name="dentalallow99">#REF!</definedName>
    <definedName name="dentalpremium00">#REF!</definedName>
    <definedName name="dentalpremium99">#REF!</definedName>
    <definedName name="dfadf" hidden="1">{"report102",#N/A,FALSE,"102"}</definedName>
    <definedName name="Differences">#REF!</definedName>
    <definedName name="DIVCF">#REF!</definedName>
    <definedName name="DIVCFSTART">#REF!</definedName>
    <definedName name="DivM">#REF!</definedName>
    <definedName name="DivY">#REF!</definedName>
    <definedName name="dkibid" hidden="1">{"REPORT101",#N/A,FALSE,"101 &amp; 111"}</definedName>
    <definedName name="dots">#REF!</definedName>
    <definedName name="Drywall">'[3]BID COST BREAKDOWN'!#REF!</definedName>
    <definedName name="dude" hidden="1">{"'Server Configuration'!$A$1:$DB$281"}</definedName>
    <definedName name="earn08">#REF!</definedName>
    <definedName name="earn081">#REF!</definedName>
    <definedName name="eee" hidden="1">{"REPORT101",#N/A,FALSE,"101 &amp; 111"}</definedName>
    <definedName name="eeee" hidden="1">{"JOBCOGS",#N/A,FALSE,"JOB COGS";"JOBHIST",#N/A,FALSE,"JOB COGS"}</definedName>
    <definedName name="EFFDATE" localSheetId="1">[9]Inputs!$B$71</definedName>
    <definedName name="EFFDATE" localSheetId="2">[10]Inputs!$B$71</definedName>
    <definedName name="EFFDATE" localSheetId="0">[9]Inputs!$B$71</definedName>
    <definedName name="EFFDATE">[11]Inputs!$B$71</definedName>
    <definedName name="EffectiveDate">[12]Input!$B$8</definedName>
    <definedName name="Electrical">'[3]BID COST BREAKDOWN'!#REF!</definedName>
    <definedName name="EMonth">#REF!,#REF!</definedName>
    <definedName name="emplid00">#REF!</definedName>
    <definedName name="EQUITYCF">#REF!</definedName>
    <definedName name="ErickCaceres">[4]IQGEO!$B$7</definedName>
    <definedName name="EssbaseMonth">[13]Essbase!$D$6</definedName>
    <definedName name="EssLatest">"Beg Bal"</definedName>
    <definedName name="EssOptions">"A3100000000111000000011100010_01000"</definedName>
    <definedName name="EssSamplingValue">100</definedName>
    <definedName name="ExpM">#REF!</definedName>
    <definedName name="ExpY">#REF!</definedName>
    <definedName name="EYTD">#REF!,#REF!</definedName>
    <definedName name="FCINT">#REF!</definedName>
    <definedName name="feb00">[14]Udy!#REF!</definedName>
    <definedName name="Fencing">'[3]BID COST BREAKDOWN'!#REF!</definedName>
    <definedName name="ff" hidden="1">{#N/A,#N/A,FALSE,"Assessment";#N/A,#N/A,FALSE,"Staffing";#N/A,#N/A,FALSE,"Hires";#N/A,#N/A,FALSE,"Assumptions"}</definedName>
    <definedName name="field99">#REF!</definedName>
    <definedName name="Fire_Protection">'[3]BID COST BREAKDOWN'!#REF!</definedName>
    <definedName name="FIRSTYEAR">#REF!</definedName>
    <definedName name="FORMULA">#REF!</definedName>
    <definedName name="GASCOSTTRANS">#REF!</definedName>
    <definedName name="GDS" hidden="1">{#N/A,#N/A,FALSE,"Assessment";#N/A,#N/A,FALSE,"Staffing";#N/A,#N/A,FALSE,"Hires";#N/A,#N/A,FALSE,"Assumptions"}</definedName>
    <definedName name="GITTY">#REF!</definedName>
    <definedName name="glac00">#REF!</definedName>
    <definedName name="glac0200">#REF!</definedName>
    <definedName name="gldist">#REF!</definedName>
    <definedName name="gldist2">#REF!</definedName>
    <definedName name="gmk" hidden="1">{#N/A,#N/A,FALSE,"Assessment";#N/A,#N/A,FALSE,"Staffing";#N/A,#N/A,FALSE,"Hires";#N/A,#N/A,FALSE,"Assumptions"}</definedName>
    <definedName name="greg" hidden="1">{#N/A,#N/A,FALSE,"Assessment";#N/A,#N/A,FALSE,"Staffing";#N/A,#N/A,FALSE,"Hires";#N/A,#N/A,FALSE,"Assumptions"}</definedName>
    <definedName name="GTN">'[15]Fuel factors'!$F$12</definedName>
    <definedName name="hhhh" hidden="1">{#N/A,#N/A,FALSE,"Assessment";#N/A,#N/A,FALSE,"Staffing";#N/A,#N/A,FALSE,"Hires";#N/A,#N/A,FALSE,"Assumptions"}</definedName>
    <definedName name="HOME" hidden="1">{#N/A,#N/A,FALSE,"Assessment";#N/A,#N/A,FALSE,"Staffing";#N/A,#N/A,FALSE,"Hires";#N/A,#N/A,FALSE,"Assumptions"}</definedName>
    <definedName name="HOMFE" hidden="1">{#N/A,#N/A,FALSE,"Assessment";#N/A,#N/A,FALSE,"Staffing";#N/A,#N/A,FALSE,"Hires";#N/A,#N/A,FALSE,"Assumptions"}</definedName>
    <definedName name="HTML_CodePage" hidden="1">1252</definedName>
    <definedName name="HTML_Control" hidden="1">{"'Server Configuration'!$A$1:$DB$281"}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Title" hidden="1">"Asset Tracking 2_9_01"</definedName>
    <definedName name="HVAC">'[3]BID COST BREAKDOWN'!#REF!</definedName>
    <definedName name="I">"a1..m50"</definedName>
    <definedName name="ii" hidden="1">{"REPORT100",#N/A,FALSE,"100 &amp; 110"}</definedName>
    <definedName name="INCIMPACT">#REF!</definedName>
    <definedName name="Incremental_Support_Cost">#REF!</definedName>
    <definedName name="Inflation_Rate">#REF!</definedName>
    <definedName name="ISG" hidden="1">{"REPORT100",#N/A,FALSE,"100 &amp; 110"}</definedName>
    <definedName name="Janet">[4]IQGEO!$B$3</definedName>
    <definedName name="JanetHoyt">'[16]TGG Resources - H1'!$B$2</definedName>
    <definedName name="JANYEAR3START">#REF!</definedName>
    <definedName name="JasonBerney">[4]IQGEO!$B$6</definedName>
    <definedName name="jkkjh" hidden="1">{"'Server Configuration'!$A$1:$DB$281"}</definedName>
    <definedName name="jobhist00">#REF!</definedName>
    <definedName name="jobhist99">#REF!</definedName>
    <definedName name="JOHN" hidden="1">{"'Server Configuration'!$A$1:$DB$281"}</definedName>
    <definedName name="july_int_rate">'[17]July Int Rate for Amort'!$B$17</definedName>
    <definedName name="KBA">'[18]FEB GL'!#REF!</definedName>
    <definedName name="kbid" hidden="1">{"PRICE",#N/A,FALSE,"PRICE VAR"}</definedName>
    <definedName name="kdibm" hidden="1">{"REPORT100",#N/A,FALSE,"100 &amp; 110"}</definedName>
    <definedName name="kevin" hidden="1">{#N/A,#N/A,FALSE,"Assessment";#N/A,#N/A,FALSE,"Staffing";#N/A,#N/A,FALSE,"Hires";#N/A,#N/A,FALSE,"Assumptions"}</definedName>
    <definedName name="keygoal00">#REF!</definedName>
    <definedName name="kibmb" hidden="1">{"MFG COGS",#N/A,FALSE,"MFG COGS";"MFGCOGS ESTIMATES",#N/A,FALSE,"MFG COGS"}</definedName>
    <definedName name="kiby\" hidden="1">{"JOBCOGS",#N/A,FALSE,"JOB COGS";"JOBHIST",#N/A,FALSE,"JOB COGS"}</definedName>
    <definedName name="kim" hidden="1">{"CONSOL",#N/A,FALSE,"CONSOLIDATION"}</definedName>
    <definedName name="kimb" hidden="1">{"EXCH HIST",#N/A,FALSE,"EXCHANGE VAR";"RATES",#N/A,FALSE,"EXCHANGE VAR"}</definedName>
    <definedName name="kimbmb" hidden="1">{"MFGVAR",#N/A,FALSE,"MFG VAR"}</definedName>
    <definedName name="KKK" hidden="1">{#N/A,#N/A,FALSE,"Assessment";#N/A,#N/A,FALSE,"Staffing";#N/A,#N/A,FALSE,"Hires";#N/A,#N/A,FALSE,"Assumptions"}</definedName>
    <definedName name="kkkk" hidden="1">{#N/A,#N/A,FALSE,"Assessment";#N/A,#N/A,FALSE,"Staffing";#N/A,#N/A,FALSE,"Hires";#N/A,#N/A,FALSE,"Assumptions"}</definedName>
    <definedName name="kodak" hidden="1">{"REPORT100",#N/A,FALSE,"100 &amp; 110"}</definedName>
    <definedName name="kodakrjs" hidden="1">{"MFG COGS",#N/A,FALSE,"MFG COGS";"MFGCOGS ESTIMATES",#N/A,FALSE,"MFG COGS"}</definedName>
    <definedName name="Landscaping">'[3]BID COST BREAKDOWN'!#REF!</definedName>
    <definedName name="Length">'[8]Inputs Master'!$C$9</definedName>
    <definedName name="life00">#REF!</definedName>
    <definedName name="lifeallow99">#REF!</definedName>
    <definedName name="lifepremium00">#REF!</definedName>
    <definedName name="lifepremium99">#REF!</definedName>
    <definedName name="limcount" hidden="1">3</definedName>
    <definedName name="LINE_LOSS">#REF!</definedName>
    <definedName name="Listing" hidden="1">{"REPORT100",#N/A,FALSE,"100 &amp; 110"}</definedName>
    <definedName name="ltd00">#REF!</definedName>
    <definedName name="ltdallow99">#REF!</definedName>
    <definedName name="ltdpremium00">#REF!</definedName>
    <definedName name="ltdpremium99">#REF!</definedName>
    <definedName name="MACRO">#REF!</definedName>
    <definedName name="MARGINTRANS">#N/A</definedName>
    <definedName name="MARGTRANS">#N/A</definedName>
    <definedName name="Maria" hidden="1">{"CONSOL",#N/A,FALSE,"CONSOLIDATION"}</definedName>
    <definedName name="medical00">#REF!</definedName>
    <definedName name="medicalallow00">#REF!</definedName>
    <definedName name="medicalallow99">#REF!</definedName>
    <definedName name="medicalpremium00">#REF!</definedName>
    <definedName name="medicalpremium99">#REF!</definedName>
    <definedName name="Metal_Fixture_Install">'[3]BID COST BREAKDOWN'!#REF!</definedName>
    <definedName name="MIN_CASH">#REF!</definedName>
    <definedName name="mmm" hidden="1">{"REPORT101",#N/A,FALSE,"101 &amp; 111"}</definedName>
    <definedName name="MNTHDEGREE">#REF!</definedName>
    <definedName name="MNTHDEL">#REF!</definedName>
    <definedName name="MNTHTRANSPO">#REF!</definedName>
    <definedName name="MollyEarle">[4]IQGEO!$B$15</definedName>
    <definedName name="Month">#REF!</definedName>
    <definedName name="MONTH_INPUT">#REF!</definedName>
    <definedName name="MONTH_TITLE">#REF!</definedName>
    <definedName name="NAME">#REF!</definedName>
    <definedName name="NAME1">#REF!</definedName>
    <definedName name="nbubenefits00">#REF!</definedName>
    <definedName name="NBUbenefits03">#REF!</definedName>
    <definedName name="nbunames00">#REF!</definedName>
    <definedName name="new_int">'[19]for PGA'!$I$11</definedName>
    <definedName name="newnbu08">#REF!</definedName>
    <definedName name="NicoleNowlin">[4]IQGEO!$B$4</definedName>
    <definedName name="NIYR1">#REF!</definedName>
    <definedName name="nobonus00">#REF!</definedName>
    <definedName name="NORMALIZE">#REF!</definedName>
    <definedName name="NWPL">'[15]Fuel factors'!$F$14</definedName>
    <definedName name="O_MCF">#REF!</definedName>
    <definedName name="O_MCFSTART">#REF!</definedName>
    <definedName name="O_MINFLATION">#REF!</definedName>
    <definedName name="OH_HOME" localSheetId="4">[2]DEPR!#REF!</definedName>
    <definedName name="OH_HOME" localSheetId="5">[2]DEPR!#REF!</definedName>
    <definedName name="OH_HOME" localSheetId="6">[2]DEPR!#REF!</definedName>
    <definedName name="OH_HOME" localSheetId="7">[2]DEPR!#REF!</definedName>
    <definedName name="OH_HOME" localSheetId="8">[2]DEPR!#REF!</definedName>
    <definedName name="OH_HOME">[2]DEPR!#REF!</definedName>
    <definedName name="old_int">#REF!</definedName>
    <definedName name="ONCOR_ELECTRIC_DELIVERY_COMPANY">#REF!</definedName>
    <definedName name="Option">'[8]Inputs Master'!$C$10</definedName>
    <definedName name="ORCOMM">#REF!</definedName>
    <definedName name="ORINTNEW">[20]Interest!$E$3</definedName>
    <definedName name="ORRES">#REF!</definedName>
    <definedName name="ORWACC">#REF!</definedName>
    <definedName name="OUT">'[21]Pipeline Charges:Summary'!$C$5:$AU$599</definedName>
    <definedName name="overtime00">#REF!</definedName>
    <definedName name="page1">#N/A</definedName>
    <definedName name="page2">#N/A</definedName>
    <definedName name="page3">#N/A</definedName>
    <definedName name="page4">#N/A</definedName>
    <definedName name="PAGE5">#REF!</definedName>
    <definedName name="PAGE6">#REF!</definedName>
    <definedName name="PAGEA">#REF!</definedName>
    <definedName name="PAGEAINSERT">#N/A</definedName>
    <definedName name="PAGEB">#REF!</definedName>
    <definedName name="PAGEC">#REF!</definedName>
    <definedName name="PAGED">#REF!</definedName>
    <definedName name="PAGEE">#REF!</definedName>
    <definedName name="PAGEETRANS">#REF!</definedName>
    <definedName name="Painting">'[3]BID COST BREAKDOWN'!#REF!</definedName>
    <definedName name="Pal_Workbook_GUID" hidden="1">"VX3CWJGNQX2CCGI81U4N2V76"</definedName>
    <definedName name="PAYROLL_TAXES">#N/A</definedName>
    <definedName name="percent40199">#REF!</definedName>
    <definedName name="percentedc99">#REF!</definedName>
    <definedName name="Periodic_Upgrade_Costs">#REF!</definedName>
    <definedName name="pg_2c">#N/A</definedName>
    <definedName name="pg_2d">#N/A</definedName>
    <definedName name="pg_2e">#N/A</definedName>
    <definedName name="pg_2f">#N/A</definedName>
    <definedName name="pg_2h">#N/A</definedName>
    <definedName name="pg_2i">#N/A</definedName>
    <definedName name="pg_2j">#N/A</definedName>
    <definedName name="pg_2k">#N/A</definedName>
    <definedName name="pg_2l">#N/A</definedName>
    <definedName name="pg_2m">#N/A</definedName>
    <definedName name="pg_2n">#N/A</definedName>
    <definedName name="pg_2o">#N/A</definedName>
    <definedName name="PGA">#N/A</definedName>
    <definedName name="PGB">#N/A</definedName>
    <definedName name="PGC">#N/A</definedName>
    <definedName name="PGD">#N/A</definedName>
    <definedName name="PGE">#N/A</definedName>
    <definedName name="PGF">#N/A</definedName>
    <definedName name="PGG">#N/A</definedName>
    <definedName name="Plumbing">'[3]BID COST BREAKDOWN'!#REF!</definedName>
    <definedName name="Positions">#REF!</definedName>
    <definedName name="PREFBALCFSTART">#REF!</definedName>
    <definedName name="PRINT">#REF!</definedName>
    <definedName name="_xlnm.Print_Area" localSheetId="1">' Increments  equal ¢ per therm'!$A$1:$W$88</definedName>
    <definedName name="_xlnm.Print_Area" localSheetId="5">'151545 WACOG Amortization '!$A$1:$I$279</definedName>
    <definedName name="_xlnm.Print_Area" localSheetId="6">'151550 Demand Accrual'!$A$1:$I$249</definedName>
    <definedName name="_xlnm.Print_Area" localSheetId="7">'151555 Demand Amortization'!$A$1:$I$268</definedName>
    <definedName name="_xlnm.Print_Area" localSheetId="8">'232035 Storage Sharing'!$A$1:$G$248</definedName>
    <definedName name="_xlnm.Print_Area" localSheetId="10">'Demand Charges'!$A$1:$P$30</definedName>
    <definedName name="_xlnm.Print_Area" localSheetId="11">'Derivation of Demand rates WA'!$A$1:$F$43</definedName>
    <definedName name="_xlnm.Print_Area" localSheetId="2">'Effect on Cust Avg Bill by RS'!$A$1:$AH$103</definedName>
    <definedName name="_xlnm.Print_Area" localSheetId="13">'Effects on Revenue'!$A$1:$F$25</definedName>
    <definedName name="_xlnm.Print_Area" localSheetId="3">'Summary of Deferrred Acccounts'!$A$1:$N$65</definedName>
    <definedName name="_xlnm.Print_Area" localSheetId="0">'Summary of Temporaries '!$A$1:$J$90</definedName>
    <definedName name="_xlnm.Print_Area" localSheetId="9">'Total Commodity Summary'!$A$1:$P$59</definedName>
    <definedName name="_xlnm.Print_Area" localSheetId="12">'Winter WACOG '!$A$1:$E$37</definedName>
    <definedName name="_xlnm.Print_Titles" localSheetId="1">' Increments  equal ¢ per therm'!$A:$E</definedName>
    <definedName name="_xlnm.Print_Titles" localSheetId="2">'Effect on Cust Avg Bill by RS'!$A:$M</definedName>
    <definedName name="_xlnm.Print_Titles" localSheetId="0">'Summary of Temporaries '!$A:$C,'Summary of Temporaries '!$1:$12</definedName>
    <definedName name="_xlnm.Print_Titles" localSheetId="9">'Total Commodity Summary'!$1:$9</definedName>
    <definedName name="_xlnm.Print_Titles">#REF!</definedName>
    <definedName name="print55">#REF!</definedName>
    <definedName name="PRINTMONTH">#REF!</definedName>
    <definedName name="PROJECTION">[22]MAIN!#REF!</definedName>
    <definedName name="QATester">'[16]TGG Resources - H1'!#REF!</definedName>
    <definedName name="QRYCOUNT" hidden="1">0</definedName>
    <definedName name="QRYNEXT" hidden="1">1</definedName>
    <definedName name="QRYWKS1" hidden="1">0</definedName>
    <definedName name="QTR">'[23]QTR TITLE'!$A$52</definedName>
    <definedName name="R8..">#REF!</definedName>
    <definedName name="rangeE">[24]Exempt!#REF!</definedName>
    <definedName name="rangeEAVG">[24]Exempt!#REF!</definedName>
    <definedName name="rangeEYTD">[24]Exempt!#REF!</definedName>
    <definedName name="rangeO">#REF!</definedName>
    <definedName name="rangeOAVG">#REF!</definedName>
    <definedName name="rangeOUAVG">[24]Office!#REF!</definedName>
    <definedName name="rangeOUYTD">[24]Office!#REF!</definedName>
    <definedName name="rangeOYTD">#REF!</definedName>
    <definedName name="rangeUF">[24]Field!#REF!</definedName>
    <definedName name="rangeUFAVG">[24]Field!#REF!</definedName>
    <definedName name="rangeUFYTD">[24]Field!#REF!</definedName>
    <definedName name="rangeUO">[24]Office!#REF!</definedName>
    <definedName name="Refrigeration">'[3]BID COST BREAKDOWN'!#REF!</definedName>
    <definedName name="RESERVE_REPORT" localSheetId="4">[25]UTILPLNT!#REF!</definedName>
    <definedName name="RESERVE_REPORT" localSheetId="5">[25]UTILPLNT!#REF!</definedName>
    <definedName name="RESERVE_REPORT" localSheetId="6">[25]UTILPLNT!#REF!</definedName>
    <definedName name="RESERVE_REPORT" localSheetId="7">[25]UTILPLNT!#REF!</definedName>
    <definedName name="RESERVE_REPORT" localSheetId="8">[25]UTILPLNT!#REF!</definedName>
    <definedName name="RESERVE_REPORT">[25]UTILPLNT!#REF!</definedName>
    <definedName name="Resinous_Flooring">'[3]BID COST BREAKDOWN'!#REF!</definedName>
    <definedName name="resources" hidden="1">{#N/A,#N/A,FALSE,"Assessment";#N/A,#N/A,FALSE,"Staffing";#N/A,#N/A,FALSE,"Hires";#N/A,#N/A,FALSE,"Assumptions"}</definedName>
    <definedName name="REV_PC_OR">#REF!</definedName>
    <definedName name="REV_PC_SYS">#REF!</definedName>
    <definedName name="REV_PC_WA">#REF!</definedName>
    <definedName name="RevM">#REF!</definedName>
    <definedName name="revrate">#REF!</definedName>
    <definedName name="REVREL">#REF!</definedName>
    <definedName name="revsens" localSheetId="1">[9]Inputs!$B$30</definedName>
    <definedName name="revsens" localSheetId="10">'Demand Charges'!$C$33</definedName>
    <definedName name="revsens" localSheetId="2">[10]Inputs!$B$30</definedName>
    <definedName name="revsens" localSheetId="0">[9]Inputs!$B$30</definedName>
    <definedName name="revsens">[11]Inputs!$B$30</definedName>
    <definedName name="REVTRANS">#REF!</definedName>
    <definedName name="RevY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r_1">#N/A</definedName>
    <definedName name="ror_2">#N/A</definedName>
    <definedName name="Rough_Carpentry">'[3]BID COST BREAKDOWN'!#REF!</definedName>
    <definedName name="RPTCOUNT" hidden="1">1</definedName>
    <definedName name="RPTDATACELL1" hidden="1">#REF!</definedName>
    <definedName name="RptDate">#REF!</definedName>
    <definedName name="RPTID" hidden="1">0</definedName>
    <definedName name="RPTNEXT" hidden="1">2</definedName>
    <definedName name="RPTQRY1" hidden="1">1</definedName>
    <definedName name="RPTWKS1" hidden="1">#REF!</definedName>
    <definedName name="rrrrrr" hidden="1">{"MFGVAR",#N/A,FALSE,"MFG VAR"}</definedName>
    <definedName name="RyanDalton">[4]IQGEO!$B$12</definedName>
    <definedName name="sa" hidden="1">{#N/A,#N/A,FALSE,"Assessment";#N/A,#N/A,FALSE,"Staffing";#N/A,#N/A,FALSE,"Hires";#N/A,#N/A,FALSE,"Assumptions"}</definedName>
    <definedName name="SCD">[12]Input!$B$12</definedName>
    <definedName name="ScottOlafsen">[4]IQGEO!$B$13</definedName>
    <definedName name="SECACCUMCOMPRINCOME">'[26]LAW RETAIN EARN'!$B$23</definedName>
    <definedName name="SECAIRCRAFT">'[26]LAW OTHER INV'!$B$45</definedName>
    <definedName name="SECARTRADE1">'[26]LAW CASH'!$B$96</definedName>
    <definedName name="SECARTRADE2">'[26]LAW ACCT REC'!$B$42</definedName>
    <definedName name="SECCUSTADV">'[26]LAW OTHER LIABILITIES'!$B$76</definedName>
    <definedName name="SECDEFINCTAXLIAB">'[26]LAW DEF TAXES INV CREDIT'!$B$34</definedName>
    <definedName name="SECINCTAXASSET">'[26]LAW DEF REG AND OTHER'!$B$159</definedName>
    <definedName name="SECINTRECNNGFC">'[26]LAW INV IN SUBS'!$B$26</definedName>
    <definedName name="SECINTRECNWENERGY">'[26]LAW INV IN SUBS'!$B$24</definedName>
    <definedName name="SECINVESTLIFEINS">'[26]LAW DEF REG AND OTHER'!$B$165</definedName>
    <definedName name="SECLOSSDERIV">'[26]LAW DEF REG AND OTHER'!$B$161</definedName>
    <definedName name="SECNNGFC">'[26]LAW INV IN SUBS'!$B$22</definedName>
    <definedName name="SECNONUTDEPR">'[26]LAW NON UTIL PROP'!$B$44</definedName>
    <definedName name="SECNONUTILPROP">'[26]LAW NON UTIL PROP'!$B$42</definedName>
    <definedName name="SECNWENERGY">'[26]LAW INV IN SUBS'!$B$20</definedName>
    <definedName name="SECONDYEAR">#REF!</definedName>
    <definedName name="SECOTHCURRLIAB">'[26]LAW CUST DEPOS'!$B$17</definedName>
    <definedName name="SECOTHCURRLIAB2">'[26]LAW DIVIDENDS DECLARED'!$B$15</definedName>
    <definedName name="SECOTHERASSETS">'[26]LAW DEF REG AND OTHER'!$B$167</definedName>
    <definedName name="SECOTHERASSETS1">'[26]LAW UNAMT DEBT DISC'!$B$46</definedName>
    <definedName name="SECOTHERINV">'[26]LAW OTHER INV'!$B$47</definedName>
    <definedName name="SECUNAMORTLOSSDEBTRED">'[26]LAW DEF REG AND OTHER'!$B$163</definedName>
    <definedName name="SECUNEARNEDCOMP">'[26]LAW RETAIN EARN'!$B$25</definedName>
    <definedName name="Security.Active" hidden="1">FALSE</definedName>
    <definedName name="Security.Status" hidden="1">TRUE</definedName>
    <definedName name="SECUTILPLANT">'[26]LAW GAS STORED'!$B$23</definedName>
    <definedName name="sencount" hidden="1">3</definedName>
    <definedName name="Sept_2003_YTD_actual">#REF!</definedName>
    <definedName name="ServiceCat_List">'[8]Inputs Master'!$E$4:$E$31</definedName>
    <definedName name="shitodear">#N/A</definedName>
    <definedName name="shitodear2">#N/A</definedName>
    <definedName name="shitodear3">#N/A</definedName>
    <definedName name="SHORTBALCF">#REF!</definedName>
    <definedName name="SHORTBALCFSTART">#REF!</definedName>
    <definedName name="Site_ID">'[7]Input Sheet'!$C$63:$C$72</definedName>
    <definedName name="Site_Name">'[7]Input Sheet'!$B$63:$B$72</definedName>
    <definedName name="Sitework">'[3]BID COST BREAKDOWN'!#REF!</definedName>
    <definedName name="SOCROSS">'[15]Fuel factors'!$F$15</definedName>
    <definedName name="staffing2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RT">#REF!</definedName>
    <definedName name="STARTA">#REF!</definedName>
    <definedName name="State_Name">'[7]Input Sheet'!$B$89:$B$98</definedName>
    <definedName name="STATE_PAGE_A_B">#REF!</definedName>
    <definedName name="STATE_UNBILLED">#REF!</definedName>
    <definedName name="STATS">#REF!</definedName>
    <definedName name="Steel_Erection">'[3]BID COST BREAKDOWN'!#REF!</definedName>
    <definedName name="Subcontractors_over__20_000.">'[3]BID COST BREAKDOWN'!#REF!</definedName>
    <definedName name="SUBDATA" localSheetId="13">#REF!</definedName>
    <definedName name="SUBDATA">'[27]page1:CLP with elas'!$A$7:$K$51</definedName>
    <definedName name="Subs_20K">'[3]BID COST BREAKDOWN'!#REF!</definedName>
    <definedName name="sue">#N/A</definedName>
    <definedName name="SUMMARY">#REF!</definedName>
    <definedName name="SUMRY1" localSheetId="13">#REF!</definedName>
    <definedName name="SUMRY1">'[27]New SMPE:Proposed Temps'!$A$1:$L$61</definedName>
    <definedName name="SUPPLY">'[21]Pipeline Charges:Flowing Dispatch'!$Q$97:$Q$379</definedName>
    <definedName name="TAX">#REF!</definedName>
    <definedName name="TAXES_PROPERTY">#REF!</definedName>
    <definedName name="TAXIMPACT">#REF!</definedName>
    <definedName name="TCPL">'[15]Fuel factors'!$F$13</definedName>
    <definedName name="TEMP">#REF!</definedName>
    <definedName name="Temp_2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MP_DIFF">#REF!</definedName>
    <definedName name="term_index">"Analytics - Termination'!$H$12"</definedName>
    <definedName name="term_reasons">"Analytics - Termination'!$C$33:$C$41"</definedName>
    <definedName name="TEST">#REF!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HE_DALLES_BID">'[3]BID COST BREAKDOWN'!#REF!</definedName>
    <definedName name="title">[28]TITLE!$B$5</definedName>
    <definedName name="Total_Installation_Costs_per_Meter">#REF!</definedName>
    <definedName name="total41500">#REF!</definedName>
    <definedName name="Towers">'[7]Input Sheet'!$B$33:$B$35</definedName>
    <definedName name="TRANS">#REF!</definedName>
    <definedName name="TransitionPeriod">[12]Input!$B$11</definedName>
    <definedName name="TRANSTOTAL">#REF!</definedName>
    <definedName name="tristan">#REF!</definedName>
    <definedName name="UNBILLED_Bths">#REF!</definedName>
    <definedName name="UNBILLED_Busd">#REF!</definedName>
    <definedName name="UPDATE">#REF!</definedName>
    <definedName name="ValidGroups">[29]Groups!$E$1:$E$20</definedName>
    <definedName name="VCT">'[3]BID COST BREAKDOWN'!#REF!</definedName>
    <definedName name="Version">#REF!</definedName>
    <definedName name="VOL_S_OR" localSheetId="4">#REF!</definedName>
    <definedName name="VOL_S_OR" localSheetId="5">#REF!</definedName>
    <definedName name="VOL_S_OR" localSheetId="6">#REF!</definedName>
    <definedName name="VOL_S_OR" localSheetId="7">#REF!</definedName>
    <definedName name="VOL_S_OR" localSheetId="8">#REF!</definedName>
    <definedName name="VOL_S_OR">[30]VOL_S!#REF!</definedName>
    <definedName name="VOL_S_SYS" localSheetId="4">#REF!</definedName>
    <definedName name="VOL_S_SYS" localSheetId="5">#REF!</definedName>
    <definedName name="VOL_S_SYS" localSheetId="6">#REF!</definedName>
    <definedName name="VOL_S_SYS" localSheetId="7">#REF!</definedName>
    <definedName name="VOL_S_SYS" localSheetId="8">#REF!</definedName>
    <definedName name="VOL_S_SYS">[30]VOL_S!#REF!</definedName>
    <definedName name="VOL_S_WA" localSheetId="4">#REF!</definedName>
    <definedName name="VOL_S_WA" localSheetId="5">#REF!</definedName>
    <definedName name="VOL_S_WA" localSheetId="6">#REF!</definedName>
    <definedName name="VOL_S_WA" localSheetId="7">#REF!</definedName>
    <definedName name="VOL_S_WA" localSheetId="8">#REF!</definedName>
    <definedName name="VOL_S_WA">[30]VOL_S!#REF!</definedName>
    <definedName name="VOLCLASSTRANS">#REF!</definedName>
    <definedName name="VOLSOURCETRANS">#REF!</definedName>
    <definedName name="WA_INTRATE">[31]Interest!$E$4</definedName>
    <definedName name="wa_revsens" localSheetId="10">'[15]General Inputs'!$E$10</definedName>
    <definedName name="wa_revsens" localSheetId="11">'[15]General Inputs'!$E$10</definedName>
    <definedName name="wa_revsens" localSheetId="9">'[15]General Inputs'!$E$10</definedName>
    <definedName name="wa_revsens" localSheetId="12">'[15]General Inputs'!$E$10</definedName>
    <definedName name="wa_revsens">#REF!</definedName>
    <definedName name="WACWVOL">'[21]Pipeline Charges:Wacog'!$B$38:$E$605</definedName>
    <definedName name="wcomp00">#REF!</definedName>
    <definedName name="WESTCOAST">'[15]Fuel factors'!$F$16</definedName>
    <definedName name="WFACTORYR3">#REF!</definedName>
    <definedName name="WFACTORYR4">#REF!</definedName>
    <definedName name="Wood_Fixture_Install">'[3]BID COST BREAKDOWN'!#REF!</definedName>
    <definedName name="Work">#REF!</definedName>
    <definedName name="wrn.Executive._.Reports.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Financials.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Inv_Summary." hidden="1">{"Entire Spreadsheet",#N/A,FALSE,"ACCTLIST";"Invoices",#N/A,FALSE,"ACCTLIST"}</definedName>
    <definedName name="wrn.Jury.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Long._.Report." hidden="1">{#N/A,#N/A,TRUE,"Cover";#N/A,#N/A,TRUE,"Header (ld)";#N/A,#N/A,TRUE,"T&amp;O By Region";#N/A,#N/A,TRUE,"Region Charts ";#N/A,#N/A,TRUE,"T&amp;O London";#N/A,#N/A,TRUE,"AD Report";#N/A,#N/A,TRUE,"Var by OU"}</definedName>
    <definedName name="wrn.Rate._.Reports." hidden="1">{#N/A,#N/A,FALSE,"Monthly Rate By Activity";#N/A,#N/A,FALSE,"Hourly Rate By Activity";#N/A,#N/A,FALSE,"Monthly Rate By Custom Resource";#N/A,#N/A,FALSE,"Hourly Rate By Custom Resource"}</definedName>
    <definedName name="wrn.Rippert.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Short._.Report." hidden="1">{#N/A,#N/A,TRUE,"Cover";#N/A,#N/A,TRUE,"Header (eu)";#N/A,#N/A,TRUE,"Region Charts";#N/A,#N/A,TRUE,"T&amp;O By Region";#N/A,#N/A,TRUE,"AD Report"}</definedName>
    <definedName name="wrn.Staffing." hidden="1">{#N/A,#N/A,FALSE,"Assessment";#N/A,#N/A,FALSE,"Staffing";#N/A,#N/A,FALSE,"Hires";#N/A,#N/A,FALSE,"Assumptions"}</definedName>
    <definedName name="wrn.Staffing._.Inputs." hidden="1">{#N/A,#N/A,FALSE,"Overall Staffing Review";#N/A,#N/A,FALSE,"Detailed Resource Mix Review";#N/A,#N/A,FALSE,"Detailed Pyramid Review";#N/A,#N/A,FALSE,"Hours By Activity";#N/A,#N/A,FALSE,"Hours By Custom Resource"}</definedName>
    <definedName name="wrn.Staffing1" hidden="1">{#N/A,#N/A,FALSE,"Assessment";#N/A,#N/A,FALSE,"Staffing";#N/A,#N/A,FALSE,"Hires";#N/A,#N/A,FALSE,"Assumptions"}</definedName>
    <definedName name="wrn.Supplemental._.Information." hidden="1">{#N/A,#N/A,FALSE,"Assumptions";#N/A,#N/A,FALSE,"DNP Expense Summary";#N/A,#N/A,FALSE,"Sensitivity Analysis"}</definedName>
    <definedName name="wrs" hidden="1">{#N/A,#N/A,FALSE,"Assessment";#N/A,#N/A,FALSE,"Staffing";#N/A,#N/A,FALSE,"Hires";#N/A,#N/A,FALSE,"Assumptions"}</definedName>
    <definedName name="WS3A2">#N/A</definedName>
    <definedName name="XLDW_VER" hidden="1">"Office 2000 2.0 with Query Builder"</definedName>
    <definedName name="Year">[26]CONTROL!$F$7</definedName>
    <definedName name="YEAR_INPUT">#REF!</definedName>
    <definedName name="YTD">#REF!,#REF!,#REF!</definedName>
    <definedName name="YTD_VACATION">[22]MAIN!#REF!</definedName>
    <definedName name="YTDDEGREE">#REF!</definedName>
    <definedName name="YTDDEL">#REF!</definedName>
    <definedName name="YTDTRANSP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5" l="1"/>
  <c r="A2" i="25"/>
  <c r="A3" i="25"/>
  <c r="H3" i="25"/>
  <c r="I13" i="25" s="1"/>
  <c r="H4" i="25"/>
  <c r="A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AI8" i="25"/>
  <c r="AJ8" i="25"/>
  <c r="AK8" i="25"/>
  <c r="AM8" i="25"/>
  <c r="AN8" i="25"/>
  <c r="AU8" i="25" s="1"/>
  <c r="AV8" i="25"/>
  <c r="AW8" i="25" s="1"/>
  <c r="A9" i="25"/>
  <c r="AD9" i="25"/>
  <c r="AV9" i="25"/>
  <c r="AW9" i="25"/>
  <c r="A10" i="25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D13" i="25"/>
  <c r="H13" i="25"/>
  <c r="J13" i="25"/>
  <c r="L13" i="25"/>
  <c r="M13" i="25"/>
  <c r="BB13" i="25" s="1"/>
  <c r="W13" i="25"/>
  <c r="AC13" i="25"/>
  <c r="AD13" i="25"/>
  <c r="AF13" i="25"/>
  <c r="AI13" i="25"/>
  <c r="AJ13" i="25"/>
  <c r="AK13" i="25"/>
  <c r="AQ13" i="25"/>
  <c r="AR13" i="25"/>
  <c r="D14" i="25"/>
  <c r="H14" i="25"/>
  <c r="I14" i="25" s="1"/>
  <c r="J14" i="25"/>
  <c r="K14" i="25" s="1"/>
  <c r="L14" i="25"/>
  <c r="W14" i="25"/>
  <c r="AC14" i="25"/>
  <c r="AF14" i="25"/>
  <c r="AI14" i="25"/>
  <c r="AQ14" i="25"/>
  <c r="D15" i="25"/>
  <c r="H15" i="25"/>
  <c r="J15" i="25"/>
  <c r="L15" i="25"/>
  <c r="W15" i="25"/>
  <c r="AC15" i="25"/>
  <c r="AF15" i="25"/>
  <c r="AI15" i="25"/>
  <c r="AQ15" i="25"/>
  <c r="AR15" i="25"/>
  <c r="D16" i="25"/>
  <c r="H16" i="25"/>
  <c r="I16" i="25"/>
  <c r="X16" i="25" s="1"/>
  <c r="Y16" i="25" s="1"/>
  <c r="J16" i="25"/>
  <c r="L16" i="25"/>
  <c r="M16" i="25"/>
  <c r="BB16" i="25" s="1"/>
  <c r="W16" i="25"/>
  <c r="AC16" i="25"/>
  <c r="AF16" i="25"/>
  <c r="AI16" i="25"/>
  <c r="AQ16" i="25"/>
  <c r="AR16" i="25"/>
  <c r="D17" i="25"/>
  <c r="H17" i="25"/>
  <c r="J17" i="25"/>
  <c r="K17" i="25" s="1"/>
  <c r="L17" i="25"/>
  <c r="AR17" i="25" s="1"/>
  <c r="W17" i="25"/>
  <c r="AC17" i="25"/>
  <c r="AF17" i="25"/>
  <c r="AI17" i="25"/>
  <c r="AQ17" i="25"/>
  <c r="D18" i="25"/>
  <c r="H18" i="25"/>
  <c r="I18" i="25"/>
  <c r="J18" i="25"/>
  <c r="K18" i="25"/>
  <c r="AG18" i="25" s="1"/>
  <c r="L18" i="25"/>
  <c r="W18" i="25"/>
  <c r="AC18" i="25"/>
  <c r="AQ18" i="25" s="1"/>
  <c r="AF18" i="25"/>
  <c r="AR18" i="25" s="1"/>
  <c r="AI18" i="25"/>
  <c r="D19" i="25"/>
  <c r="H19" i="25"/>
  <c r="J19" i="25"/>
  <c r="L19" i="25"/>
  <c r="W19" i="25"/>
  <c r="AC19" i="25"/>
  <c r="AF19" i="25"/>
  <c r="AI19" i="25"/>
  <c r="D20" i="25"/>
  <c r="L20" i="25"/>
  <c r="W20" i="25"/>
  <c r="AC20" i="25"/>
  <c r="AF20" i="25"/>
  <c r="AR20" i="25" s="1"/>
  <c r="AI20" i="25"/>
  <c r="AQ21" i="25"/>
  <c r="AR21" i="25"/>
  <c r="AS21" i="25"/>
  <c r="AT21" i="25"/>
  <c r="D22" i="25"/>
  <c r="H22" i="25"/>
  <c r="I22" i="25"/>
  <c r="J22" i="25"/>
  <c r="K22" i="25"/>
  <c r="L22" i="25"/>
  <c r="AQ22" i="25" s="1"/>
  <c r="W22" i="25"/>
  <c r="AC22" i="25"/>
  <c r="AF22" i="25"/>
  <c r="AR22" i="25" s="1"/>
  <c r="AI22" i="25"/>
  <c r="D23" i="25"/>
  <c r="L23" i="25"/>
  <c r="W23" i="25"/>
  <c r="AC23" i="25"/>
  <c r="AF23" i="25"/>
  <c r="AI23" i="25"/>
  <c r="AQ23" i="25"/>
  <c r="AJ24" i="25"/>
  <c r="AQ24" i="25"/>
  <c r="AR24" i="25"/>
  <c r="AS24" i="25"/>
  <c r="AT24" i="25"/>
  <c r="D25" i="25"/>
  <c r="H25" i="25"/>
  <c r="I25" i="25" s="1"/>
  <c r="J25" i="25"/>
  <c r="K25" i="25" s="1"/>
  <c r="L25" i="25"/>
  <c r="W25" i="25"/>
  <c r="AC25" i="25"/>
  <c r="AF25" i="25"/>
  <c r="AI25" i="25"/>
  <c r="AQ25" i="25"/>
  <c r="AR25" i="25"/>
  <c r="D26" i="25"/>
  <c r="L26" i="25"/>
  <c r="AR26" i="25" s="1"/>
  <c r="W26" i="25"/>
  <c r="AC26" i="25"/>
  <c r="AF26" i="25"/>
  <c r="AI26" i="25"/>
  <c r="AQ26" i="25"/>
  <c r="AQ27" i="25"/>
  <c r="AR27" i="25"/>
  <c r="AS27" i="25"/>
  <c r="AT27" i="25"/>
  <c r="D28" i="25"/>
  <c r="H28" i="25"/>
  <c r="I28" i="25"/>
  <c r="J28" i="25"/>
  <c r="L28" i="25"/>
  <c r="W28" i="25"/>
  <c r="AC28" i="25"/>
  <c r="AF28" i="25"/>
  <c r="AI28" i="25"/>
  <c r="AQ28" i="25"/>
  <c r="AR28" i="25"/>
  <c r="D29" i="25"/>
  <c r="L29" i="25"/>
  <c r="W29" i="25"/>
  <c r="AC29" i="25"/>
  <c r="AQ29" i="25" s="1"/>
  <c r="AF29" i="25"/>
  <c r="AI29" i="25"/>
  <c r="AR29" i="25"/>
  <c r="M30" i="25"/>
  <c r="AJ30" i="25"/>
  <c r="AQ30" i="25"/>
  <c r="AR30" i="25"/>
  <c r="AS30" i="25"/>
  <c r="D31" i="25"/>
  <c r="G31" i="25"/>
  <c r="H31" i="25"/>
  <c r="I31" i="25"/>
  <c r="J31" i="25"/>
  <c r="L31" i="25"/>
  <c r="W31" i="25"/>
  <c r="AC31" i="25"/>
  <c r="AQ31" i="25" s="1"/>
  <c r="AF31" i="25"/>
  <c r="AR31" i="25" s="1"/>
  <c r="AI31" i="25"/>
  <c r="D32" i="25"/>
  <c r="L32" i="25"/>
  <c r="W32" i="25"/>
  <c r="AC32" i="25"/>
  <c r="AF32" i="25"/>
  <c r="AI32" i="25"/>
  <c r="AQ32" i="25"/>
  <c r="AR32" i="25"/>
  <c r="X33" i="25"/>
  <c r="AQ33" i="25"/>
  <c r="AR33" i="25"/>
  <c r="AT33" i="25" s="1"/>
  <c r="AS33" i="25"/>
  <c r="D34" i="25"/>
  <c r="G34" i="25"/>
  <c r="H34" i="25"/>
  <c r="I34" i="25" s="1"/>
  <c r="J34" i="25"/>
  <c r="L34" i="25"/>
  <c r="W34" i="25"/>
  <c r="AC34" i="25"/>
  <c r="AF34" i="25"/>
  <c r="AI34" i="25"/>
  <c r="BB34" i="25"/>
  <c r="D35" i="25"/>
  <c r="L35" i="25"/>
  <c r="W35" i="25"/>
  <c r="AC35" i="25"/>
  <c r="AF35" i="25"/>
  <c r="AI35" i="25"/>
  <c r="AQ35" i="25"/>
  <c r="AR35" i="25"/>
  <c r="M36" i="25"/>
  <c r="BB25" i="25" s="1"/>
  <c r="AQ36" i="25"/>
  <c r="AR36" i="25"/>
  <c r="AS36" i="25"/>
  <c r="AT36" i="25"/>
  <c r="D37" i="25"/>
  <c r="H37" i="25"/>
  <c r="I37" i="25"/>
  <c r="J37" i="25"/>
  <c r="K37" i="25" s="1"/>
  <c r="L37" i="25"/>
  <c r="W37" i="25"/>
  <c r="AC37" i="25"/>
  <c r="AF37" i="25"/>
  <c r="AI37" i="25"/>
  <c r="AR37" i="25"/>
  <c r="D38" i="25"/>
  <c r="L38" i="25"/>
  <c r="W38" i="25"/>
  <c r="AC38" i="25"/>
  <c r="AF38" i="25"/>
  <c r="AI38" i="25"/>
  <c r="AQ38" i="25"/>
  <c r="AR38" i="25"/>
  <c r="D39" i="25"/>
  <c r="L39" i="25"/>
  <c r="W39" i="25"/>
  <c r="AC39" i="25"/>
  <c r="AQ39" i="25" s="1"/>
  <c r="AF39" i="25"/>
  <c r="AR39" i="25" s="1"/>
  <c r="AI39" i="25"/>
  <c r="D40" i="25"/>
  <c r="L40" i="25"/>
  <c r="W40" i="25"/>
  <c r="AC40" i="25"/>
  <c r="AQ40" i="25" s="1"/>
  <c r="AF40" i="25"/>
  <c r="AR40" i="25" s="1"/>
  <c r="AI40" i="25"/>
  <c r="D41" i="25"/>
  <c r="L41" i="25"/>
  <c r="W41" i="25"/>
  <c r="AC41" i="25"/>
  <c r="AQ41" i="25" s="1"/>
  <c r="AF41" i="25"/>
  <c r="AR41" i="25" s="1"/>
  <c r="AI41" i="25"/>
  <c r="D42" i="25"/>
  <c r="L42" i="25"/>
  <c r="W42" i="25"/>
  <c r="AC42" i="25"/>
  <c r="AF42" i="25"/>
  <c r="AI42" i="25"/>
  <c r="AQ42" i="25"/>
  <c r="AR42" i="25"/>
  <c r="AJ43" i="25"/>
  <c r="AQ43" i="25"/>
  <c r="AR43" i="25"/>
  <c r="AS43" i="25"/>
  <c r="AT43" i="25"/>
  <c r="D44" i="25"/>
  <c r="H44" i="25"/>
  <c r="I44" i="25" s="1"/>
  <c r="J44" i="25"/>
  <c r="L44" i="25"/>
  <c r="W44" i="25"/>
  <c r="AC44" i="25"/>
  <c r="AF44" i="25"/>
  <c r="AR44" i="25" s="1"/>
  <c r="AI44" i="25"/>
  <c r="AQ44" i="25"/>
  <c r="D45" i="25"/>
  <c r="L45" i="25"/>
  <c r="W45" i="25"/>
  <c r="AC45" i="25"/>
  <c r="AF45" i="25"/>
  <c r="AI45" i="25"/>
  <c r="AQ45" i="25"/>
  <c r="AR45" i="25"/>
  <c r="D46" i="25"/>
  <c r="L46" i="25"/>
  <c r="W46" i="25"/>
  <c r="AC46" i="25"/>
  <c r="AQ46" i="25" s="1"/>
  <c r="AF46" i="25"/>
  <c r="AR46" i="25" s="1"/>
  <c r="AI46" i="25"/>
  <c r="D47" i="25"/>
  <c r="L47" i="25"/>
  <c r="W47" i="25"/>
  <c r="AC47" i="25"/>
  <c r="AF47" i="25"/>
  <c r="AI47" i="25"/>
  <c r="AQ47" i="25"/>
  <c r="AR47" i="25"/>
  <c r="D48" i="25"/>
  <c r="L48" i="25"/>
  <c r="W48" i="25"/>
  <c r="AC48" i="25"/>
  <c r="AF48" i="25"/>
  <c r="AI48" i="25"/>
  <c r="AQ48" i="25"/>
  <c r="AR48" i="25"/>
  <c r="D49" i="25"/>
  <c r="L49" i="25"/>
  <c r="AR49" i="25" s="1"/>
  <c r="W49" i="25"/>
  <c r="AC49" i="25"/>
  <c r="AF49" i="25"/>
  <c r="AI49" i="25"/>
  <c r="AQ49" i="25"/>
  <c r="X50" i="25"/>
  <c r="AQ50" i="25"/>
  <c r="AR50" i="25"/>
  <c r="AS50" i="25"/>
  <c r="AT50" i="25" s="1"/>
  <c r="D51" i="25"/>
  <c r="G51" i="25"/>
  <c r="I51" i="25" s="1"/>
  <c r="H51" i="25"/>
  <c r="J51" i="25"/>
  <c r="L51" i="25"/>
  <c r="W51" i="25"/>
  <c r="AC51" i="25"/>
  <c r="AQ51" i="25" s="1"/>
  <c r="AF51" i="25"/>
  <c r="AR51" i="25" s="1"/>
  <c r="AI51" i="25"/>
  <c r="AJ57" i="25" s="1"/>
  <c r="D52" i="25"/>
  <c r="L52" i="25"/>
  <c r="W52" i="25"/>
  <c r="AC52" i="25"/>
  <c r="AF52" i="25"/>
  <c r="AI52" i="25"/>
  <c r="AQ52" i="25"/>
  <c r="AR52" i="25"/>
  <c r="D53" i="25"/>
  <c r="L53" i="25"/>
  <c r="W53" i="25"/>
  <c r="AC53" i="25"/>
  <c r="AF53" i="25"/>
  <c r="AR53" i="25" s="1"/>
  <c r="AI53" i="25"/>
  <c r="AQ53" i="25"/>
  <c r="D54" i="25"/>
  <c r="L54" i="25"/>
  <c r="W54" i="25"/>
  <c r="AC54" i="25"/>
  <c r="AF54" i="25"/>
  <c r="AI54" i="25"/>
  <c r="D55" i="25"/>
  <c r="L55" i="25"/>
  <c r="AR55" i="25" s="1"/>
  <c r="W55" i="25"/>
  <c r="AC55" i="25"/>
  <c r="AF55" i="25"/>
  <c r="AI55" i="25"/>
  <c r="D56" i="25"/>
  <c r="L56" i="25"/>
  <c r="AR56" i="25" s="1"/>
  <c r="W56" i="25"/>
  <c r="AC56" i="25"/>
  <c r="AF56" i="25"/>
  <c r="AI56" i="25"/>
  <c r="AQ57" i="25"/>
  <c r="AR57" i="25"/>
  <c r="AS57" i="25"/>
  <c r="D58" i="25"/>
  <c r="G58" i="25"/>
  <c r="H58" i="25"/>
  <c r="I58" i="25"/>
  <c r="J58" i="25"/>
  <c r="K58" i="25"/>
  <c r="L58" i="25"/>
  <c r="AR58" i="25" s="1"/>
  <c r="W58" i="25"/>
  <c r="AC58" i="25"/>
  <c r="AF58" i="25"/>
  <c r="AI58" i="25"/>
  <c r="D59" i="25"/>
  <c r="L59" i="25"/>
  <c r="W59" i="25"/>
  <c r="X64" i="25" s="1"/>
  <c r="AC59" i="25"/>
  <c r="AF59" i="25"/>
  <c r="AI59" i="25"/>
  <c r="AR59" i="25"/>
  <c r="D60" i="25"/>
  <c r="L60" i="25"/>
  <c r="AQ60" i="25" s="1"/>
  <c r="W60" i="25"/>
  <c r="AC60" i="25"/>
  <c r="AF60" i="25"/>
  <c r="AR60" i="25" s="1"/>
  <c r="AI60" i="25"/>
  <c r="D61" i="25"/>
  <c r="L61" i="25"/>
  <c r="W61" i="25"/>
  <c r="AC61" i="25"/>
  <c r="AF61" i="25"/>
  <c r="AI61" i="25"/>
  <c r="D62" i="25"/>
  <c r="L62" i="25"/>
  <c r="AQ62" i="25" s="1"/>
  <c r="W62" i="25"/>
  <c r="AC62" i="25"/>
  <c r="AF62" i="25"/>
  <c r="AR62" i="25" s="1"/>
  <c r="AI62" i="25"/>
  <c r="D63" i="25"/>
  <c r="L63" i="25"/>
  <c r="W63" i="25"/>
  <c r="AC63" i="25"/>
  <c r="AQ63" i="25" s="1"/>
  <c r="AF63" i="25"/>
  <c r="AR63" i="25" s="1"/>
  <c r="AI63" i="25"/>
  <c r="AQ64" i="25"/>
  <c r="AR64" i="25"/>
  <c r="AT64" i="25" s="1"/>
  <c r="AS64" i="25"/>
  <c r="D65" i="25"/>
  <c r="H65" i="25"/>
  <c r="I65" i="25" s="1"/>
  <c r="J65" i="25"/>
  <c r="L65" i="25"/>
  <c r="W65" i="25"/>
  <c r="AC65" i="25"/>
  <c r="AQ65" i="25" s="1"/>
  <c r="AF65" i="25"/>
  <c r="AR65" i="25" s="1"/>
  <c r="AI65" i="25"/>
  <c r="AJ71" i="25" s="1"/>
  <c r="D66" i="25"/>
  <c r="L66" i="25"/>
  <c r="W66" i="25"/>
  <c r="AC66" i="25"/>
  <c r="AF66" i="25"/>
  <c r="AI66" i="25"/>
  <c r="AQ66" i="25"/>
  <c r="AR66" i="25"/>
  <c r="D67" i="25"/>
  <c r="L67" i="25"/>
  <c r="W67" i="25"/>
  <c r="AC67" i="25"/>
  <c r="AF67" i="25"/>
  <c r="AI67" i="25"/>
  <c r="AQ67" i="25"/>
  <c r="AR67" i="25"/>
  <c r="D68" i="25"/>
  <c r="L68" i="25"/>
  <c r="W68" i="25"/>
  <c r="AC68" i="25"/>
  <c r="AF68" i="25"/>
  <c r="AI68" i="25"/>
  <c r="AQ68" i="25"/>
  <c r="AR68" i="25"/>
  <c r="D69" i="25"/>
  <c r="L69" i="25"/>
  <c r="W69" i="25"/>
  <c r="AC69" i="25"/>
  <c r="AQ69" i="25" s="1"/>
  <c r="AF69" i="25"/>
  <c r="AR69" i="25" s="1"/>
  <c r="AI69" i="25"/>
  <c r="D70" i="25"/>
  <c r="L70" i="25"/>
  <c r="W70" i="25"/>
  <c r="AC70" i="25"/>
  <c r="AF70" i="25"/>
  <c r="AR70" i="25" s="1"/>
  <c r="AI70" i="25"/>
  <c r="M71" i="25"/>
  <c r="BB23" i="25" s="1"/>
  <c r="AQ71" i="25"/>
  <c r="AR71" i="25"/>
  <c r="AS71" i="25"/>
  <c r="D72" i="25"/>
  <c r="H72" i="25"/>
  <c r="I72" i="25" s="1"/>
  <c r="J72" i="25"/>
  <c r="K72" i="25" s="1"/>
  <c r="L72" i="25"/>
  <c r="AQ72" i="25" s="1"/>
  <c r="W72" i="25"/>
  <c r="AC72" i="25"/>
  <c r="AF72" i="25"/>
  <c r="AR72" i="25" s="1"/>
  <c r="AI72" i="25"/>
  <c r="D73" i="25"/>
  <c r="L73" i="25"/>
  <c r="W73" i="25"/>
  <c r="AC73" i="25"/>
  <c r="AF73" i="25"/>
  <c r="AI73" i="25"/>
  <c r="D74" i="25"/>
  <c r="L74" i="25"/>
  <c r="W74" i="25"/>
  <c r="AC74" i="25"/>
  <c r="AF74" i="25"/>
  <c r="AR74" i="25" s="1"/>
  <c r="AI74" i="25"/>
  <c r="AQ74" i="25"/>
  <c r="D75" i="25"/>
  <c r="L75" i="25"/>
  <c r="W75" i="25"/>
  <c r="AC75" i="25"/>
  <c r="AQ75" i="25" s="1"/>
  <c r="AF75" i="25"/>
  <c r="AI75" i="25"/>
  <c r="D76" i="25"/>
  <c r="L76" i="25"/>
  <c r="AQ76" i="25" s="1"/>
  <c r="W76" i="25"/>
  <c r="AC76" i="25"/>
  <c r="AF76" i="25"/>
  <c r="AI76" i="25"/>
  <c r="AR76" i="25"/>
  <c r="D77" i="25"/>
  <c r="L77" i="25"/>
  <c r="AR77" i="25" s="1"/>
  <c r="W77" i="25"/>
  <c r="AC77" i="25"/>
  <c r="AF77" i="25"/>
  <c r="AI77" i="25"/>
  <c r="AQ78" i="25"/>
  <c r="AR78" i="25"/>
  <c r="AS78" i="25"/>
  <c r="AT78" i="25" s="1"/>
  <c r="D79" i="25"/>
  <c r="G79" i="25"/>
  <c r="H79" i="25"/>
  <c r="I79" i="25"/>
  <c r="J79" i="25"/>
  <c r="L79" i="25"/>
  <c r="M85" i="25" s="1"/>
  <c r="BB28" i="25" s="1"/>
  <c r="W79" i="25"/>
  <c r="AC79" i="25"/>
  <c r="AQ79" i="25" s="1"/>
  <c r="AF79" i="25"/>
  <c r="AI79" i="25"/>
  <c r="D80" i="25"/>
  <c r="L80" i="25"/>
  <c r="W80" i="25"/>
  <c r="AC80" i="25"/>
  <c r="AQ80" i="25" s="1"/>
  <c r="AF80" i="25"/>
  <c r="AI80" i="25"/>
  <c r="AR80" i="25"/>
  <c r="D81" i="25"/>
  <c r="L81" i="25"/>
  <c r="W81" i="25"/>
  <c r="AC81" i="25"/>
  <c r="AF81" i="25"/>
  <c r="AI81" i="25"/>
  <c r="D82" i="25"/>
  <c r="L82" i="25"/>
  <c r="W82" i="25"/>
  <c r="AC82" i="25"/>
  <c r="AF82" i="25"/>
  <c r="AR82" i="25" s="1"/>
  <c r="AI82" i="25"/>
  <c r="D83" i="25"/>
  <c r="L83" i="25"/>
  <c r="W83" i="25"/>
  <c r="AC83" i="25"/>
  <c r="AQ83" i="25" s="1"/>
  <c r="AF83" i="25"/>
  <c r="AI83" i="25"/>
  <c r="D84" i="25"/>
  <c r="L84" i="25"/>
  <c r="AQ84" i="25" s="1"/>
  <c r="W84" i="25"/>
  <c r="AC84" i="25"/>
  <c r="AF84" i="25"/>
  <c r="AI84" i="25"/>
  <c r="X85" i="25"/>
  <c r="Y85" i="25"/>
  <c r="AQ85" i="25"/>
  <c r="AT85" i="25" s="1"/>
  <c r="AR85" i="25"/>
  <c r="AS85" i="25"/>
  <c r="D86" i="25"/>
  <c r="G86" i="25"/>
  <c r="H86" i="25"/>
  <c r="I86" i="25"/>
  <c r="J86" i="25"/>
  <c r="K86" i="25" s="1"/>
  <c r="L86" i="25"/>
  <c r="W86" i="25"/>
  <c r="AC86" i="25"/>
  <c r="AQ86" i="25" s="1"/>
  <c r="AF86" i="25"/>
  <c r="AI86" i="25"/>
  <c r="AR86" i="25"/>
  <c r="D87" i="25"/>
  <c r="L87" i="25"/>
  <c r="AQ87" i="25" s="1"/>
  <c r="W87" i="25"/>
  <c r="AC87" i="25"/>
  <c r="AF87" i="25"/>
  <c r="AI87" i="25"/>
  <c r="D88" i="25"/>
  <c r="L88" i="25"/>
  <c r="AR88" i="25" s="1"/>
  <c r="W88" i="25"/>
  <c r="AC88" i="25"/>
  <c r="AF88" i="25"/>
  <c r="AI88" i="25"/>
  <c r="D89" i="25"/>
  <c r="L89" i="25"/>
  <c r="W89" i="25"/>
  <c r="AC89" i="25"/>
  <c r="AF89" i="25"/>
  <c r="AI89" i="25"/>
  <c r="D90" i="25"/>
  <c r="L90" i="25"/>
  <c r="W90" i="25"/>
  <c r="AC90" i="25"/>
  <c r="AQ90" i="25" s="1"/>
  <c r="AF90" i="25"/>
  <c r="AI90" i="25"/>
  <c r="AR90" i="25"/>
  <c r="D91" i="25"/>
  <c r="L91" i="25"/>
  <c r="W91" i="25"/>
  <c r="AC91" i="25"/>
  <c r="AQ91" i="25" s="1"/>
  <c r="AF91" i="25"/>
  <c r="AR91" i="25" s="1"/>
  <c r="AI91" i="25"/>
  <c r="X92" i="25"/>
  <c r="AQ92" i="25"/>
  <c r="AR92" i="25"/>
  <c r="AS92" i="25"/>
  <c r="AT92" i="25"/>
  <c r="D93" i="25"/>
  <c r="I93" i="25"/>
  <c r="J93" i="25"/>
  <c r="L93" i="25"/>
  <c r="W93" i="25"/>
  <c r="X93" i="25" s="1"/>
  <c r="AC93" i="25"/>
  <c r="AD93" i="25"/>
  <c r="AF93" i="25"/>
  <c r="AG93" i="25"/>
  <c r="AI93" i="25"/>
  <c r="AJ93" i="25" s="1"/>
  <c r="AR93" i="25"/>
  <c r="D94" i="25"/>
  <c r="I94" i="25"/>
  <c r="J94" i="25"/>
  <c r="L94" i="25"/>
  <c r="M94" i="25"/>
  <c r="W94" i="25"/>
  <c r="AC94" i="25"/>
  <c r="AQ94" i="25" s="1"/>
  <c r="AD94" i="25"/>
  <c r="AE94" i="25" s="1"/>
  <c r="AF94" i="25"/>
  <c r="AR94" i="25" s="1"/>
  <c r="AG94" i="25"/>
  <c r="AH94" i="25"/>
  <c r="AI94" i="25"/>
  <c r="AJ94" i="25"/>
  <c r="AK94" i="25" s="1"/>
  <c r="AF95" i="25"/>
  <c r="AG95" i="25"/>
  <c r="AK71" i="25" l="1"/>
  <c r="AE13" i="25"/>
  <c r="AD16" i="25"/>
  <c r="AJ85" i="25"/>
  <c r="AK85" i="25" s="1"/>
  <c r="AG92" i="25"/>
  <c r="AG78" i="25"/>
  <c r="M78" i="25"/>
  <c r="BB24" i="25" s="1"/>
  <c r="AD78" i="25"/>
  <c r="AJ78" i="25"/>
  <c r="AQ59" i="25"/>
  <c r="AD64" i="25"/>
  <c r="M27" i="25"/>
  <c r="BB20" i="25" s="1"/>
  <c r="AJ27" i="25"/>
  <c r="AK27" i="25" s="1"/>
  <c r="X27" i="25"/>
  <c r="AD27" i="25"/>
  <c r="AE27" i="25" s="1"/>
  <c r="AG43" i="25"/>
  <c r="AR81" i="25"/>
  <c r="AQ81" i="25"/>
  <c r="X78" i="25"/>
  <c r="AK30" i="25"/>
  <c r="BB27" i="25"/>
  <c r="AH18" i="25"/>
  <c r="AG17" i="25"/>
  <c r="X24" i="25"/>
  <c r="AD24" i="25"/>
  <c r="M24" i="25"/>
  <c r="AQ89" i="25"/>
  <c r="AR89" i="25"/>
  <c r="AG14" i="25"/>
  <c r="AH14" i="25" s="1"/>
  <c r="M93" i="25"/>
  <c r="AH93" i="25" s="1"/>
  <c r="AQ93" i="25"/>
  <c r="AD92" i="25"/>
  <c r="AJ92" i="25"/>
  <c r="M92" i="25"/>
  <c r="AG27" i="25"/>
  <c r="AH27" i="25" s="1"/>
  <c r="AG24" i="25"/>
  <c r="AG64" i="25"/>
  <c r="AD14" i="25"/>
  <c r="AJ14" i="25"/>
  <c r="M14" i="25"/>
  <c r="BB14" i="25" s="1"/>
  <c r="X14" i="25"/>
  <c r="AR83" i="25"/>
  <c r="AR79" i="25"/>
  <c r="AQ70" i="25"/>
  <c r="K13" i="25"/>
  <c r="K65" i="25"/>
  <c r="K16" i="25"/>
  <c r="K34" i="25"/>
  <c r="K19" i="25"/>
  <c r="AQ77" i="25"/>
  <c r="AD71" i="25"/>
  <c r="AE71" i="25" s="1"/>
  <c r="AD36" i="25"/>
  <c r="AE36" i="25" s="1"/>
  <c r="AJ36" i="25"/>
  <c r="AK36" i="25" s="1"/>
  <c r="X36" i="25"/>
  <c r="Y36" i="25" s="1"/>
  <c r="AR84" i="25"/>
  <c r="X71" i="25"/>
  <c r="Y71" i="25" s="1"/>
  <c r="AQ37" i="25"/>
  <c r="AD43" i="25"/>
  <c r="AE43" i="25" s="1"/>
  <c r="M18" i="25"/>
  <c r="BB18" i="25" s="1"/>
  <c r="AJ18" i="25"/>
  <c r="AK18" i="25" s="1"/>
  <c r="X18" i="25"/>
  <c r="AD18" i="25"/>
  <c r="AE18" i="25" s="1"/>
  <c r="AE16" i="25"/>
  <c r="X57" i="25"/>
  <c r="AD57" i="25"/>
  <c r="M57" i="25"/>
  <c r="BB33" i="25" s="1"/>
  <c r="M50" i="25"/>
  <c r="BB32" i="25" s="1"/>
  <c r="AJ50" i="25"/>
  <c r="AD50" i="25"/>
  <c r="AQ20" i="25"/>
  <c r="AR61" i="25"/>
  <c r="AQ82" i="25"/>
  <c r="AR73" i="25"/>
  <c r="AQ61" i="25"/>
  <c r="Y33" i="25"/>
  <c r="AQ73" i="25"/>
  <c r="AQ58" i="25"/>
  <c r="AT57" i="25"/>
  <c r="AQ34" i="25"/>
  <c r="AR34" i="25"/>
  <c r="AR54" i="25"/>
  <c r="M33" i="25"/>
  <c r="BB21" i="25" s="1"/>
  <c r="AJ33" i="25"/>
  <c r="AD33" i="25"/>
  <c r="K28" i="25"/>
  <c r="M64" i="25"/>
  <c r="BB22" i="25" s="1"/>
  <c r="AJ64" i="25"/>
  <c r="AK64" i="25" s="1"/>
  <c r="AQ54" i="25"/>
  <c r="K44" i="25"/>
  <c r="X30" i="25"/>
  <c r="Y30" i="25" s="1"/>
  <c r="X13" i="25"/>
  <c r="Y13" i="25" s="1"/>
  <c r="X94" i="25"/>
  <c r="Y94" i="25" s="1"/>
  <c r="AQ88" i="25"/>
  <c r="AR87" i="25"/>
  <c r="AD85" i="25"/>
  <c r="AE85" i="25" s="1"/>
  <c r="AQ55" i="25"/>
  <c r="K31" i="25"/>
  <c r="AJ16" i="25"/>
  <c r="AK16" i="25" s="1"/>
  <c r="K79" i="25"/>
  <c r="AQ56" i="25"/>
  <c r="K51" i="25"/>
  <c r="AR19" i="25"/>
  <c r="AT71" i="25"/>
  <c r="X43" i="25"/>
  <c r="M43" i="25"/>
  <c r="BB31" i="25" s="1"/>
  <c r="AD30" i="25"/>
  <c r="AE30" i="25" s="1"/>
  <c r="AQ19" i="25"/>
  <c r="AR14" i="25"/>
  <c r="AR75" i="25"/>
  <c r="I19" i="25"/>
  <c r="I17" i="25"/>
  <c r="K15" i="25"/>
  <c r="AR23" i="25"/>
  <c r="I15" i="25"/>
  <c r="AT30" i="25"/>
  <c r="Y24" i="25" l="1"/>
  <c r="AK14" i="25"/>
  <c r="AE92" i="25"/>
  <c r="Y64" i="25"/>
  <c r="AE14" i="25"/>
  <c r="AE33" i="25"/>
  <c r="Y43" i="25"/>
  <c r="AG13" i="25"/>
  <c r="AH13" i="25" s="1"/>
  <c r="AG30" i="25"/>
  <c r="AH30" i="25" s="1"/>
  <c r="Y57" i="25"/>
  <c r="AG15" i="25"/>
  <c r="AK33" i="25"/>
  <c r="Y27" i="25"/>
  <c r="AD17" i="25"/>
  <c r="AJ17" i="25"/>
  <c r="X17" i="25"/>
  <c r="M17" i="25"/>
  <c r="BB17" i="25" s="1"/>
  <c r="AG85" i="25"/>
  <c r="AH85" i="25" s="1"/>
  <c r="AK43" i="25"/>
  <c r="Y18" i="25"/>
  <c r="AH24" i="25"/>
  <c r="AG71" i="25"/>
  <c r="AH71" i="25" s="1"/>
  <c r="BB30" i="25"/>
  <c r="Y93" i="25"/>
  <c r="AK93" i="25"/>
  <c r="AK78" i="25"/>
  <c r="AE78" i="25"/>
  <c r="AG57" i="25"/>
  <c r="AH57" i="25" s="1"/>
  <c r="AH64" i="25"/>
  <c r="AD21" i="25"/>
  <c r="AJ21" i="25"/>
  <c r="X21" i="25"/>
  <c r="M21" i="25"/>
  <c r="BB19" i="25" s="1"/>
  <c r="Y78" i="25"/>
  <c r="AE50" i="25"/>
  <c r="BB26" i="25"/>
  <c r="AK24" i="25"/>
  <c r="AH78" i="25"/>
  <c r="AE57" i="25"/>
  <c r="X15" i="25"/>
  <c r="AD15" i="25"/>
  <c r="M15" i="25"/>
  <c r="BB15" i="25" s="1"/>
  <c r="AJ15" i="25"/>
  <c r="AK50" i="25"/>
  <c r="AG21" i="25"/>
  <c r="AE93" i="25"/>
  <c r="BB29" i="25"/>
  <c r="Y92" i="25"/>
  <c r="Y50" i="25"/>
  <c r="AG33" i="25"/>
  <c r="AH33" i="25" s="1"/>
  <c r="AG50" i="25"/>
  <c r="AH50" i="25" s="1"/>
  <c r="AG36" i="25"/>
  <c r="AH36" i="25" s="1"/>
  <c r="Y14" i="25"/>
  <c r="AK92" i="25"/>
  <c r="AE24" i="25"/>
  <c r="AH43" i="25"/>
  <c r="AE64" i="25"/>
  <c r="AH92" i="25"/>
  <c r="AG16" i="25"/>
  <c r="AH16" i="25" s="1"/>
  <c r="AK57" i="25"/>
  <c r="AH17" i="25" l="1"/>
  <c r="AK17" i="25"/>
  <c r="AE17" i="25"/>
  <c r="Y21" i="25"/>
  <c r="Y102" i="25" s="1"/>
  <c r="AE15" i="25"/>
  <c r="AK21" i="25"/>
  <c r="AE21" i="25"/>
  <c r="AH21" i="25"/>
  <c r="Y15" i="25"/>
  <c r="AH15" i="25"/>
  <c r="AK15" i="25"/>
  <c r="Y17" i="25"/>
  <c r="AH102" i="25"/>
  <c r="AE102" i="25" l="1"/>
  <c r="Q93" i="25" l="1"/>
  <c r="R93" i="25" s="1"/>
  <c r="S93" i="25" s="1"/>
  <c r="N16" i="25" l="1"/>
  <c r="O16" i="25" s="1"/>
  <c r="P16" i="25" s="1"/>
  <c r="AU16" i="25"/>
  <c r="AV16" i="25" s="1"/>
  <c r="AW16" i="25" s="1"/>
  <c r="N93" i="25"/>
  <c r="O93" i="25" s="1"/>
  <c r="P93" i="25" s="1"/>
  <c r="AU93" i="25"/>
  <c r="AV93" i="25" s="1"/>
  <c r="N89" i="25"/>
  <c r="AU88" i="25"/>
  <c r="N15" i="25"/>
  <c r="O15" i="25" s="1"/>
  <c r="P15" i="25" s="1"/>
  <c r="Z93" i="25"/>
  <c r="AA93" i="25" s="1"/>
  <c r="AB93" i="25" s="1"/>
  <c r="Z15" i="25"/>
  <c r="AA15" i="25" s="1"/>
  <c r="AB15" i="25" s="1"/>
  <c r="Z94" i="25"/>
  <c r="AA94" i="25" s="1"/>
  <c r="AB94" i="25" s="1"/>
  <c r="N94" i="25"/>
  <c r="O94" i="25" s="1"/>
  <c r="P94" i="25" s="1"/>
  <c r="AU91" i="25"/>
  <c r="Q88" i="25"/>
  <c r="N86" i="25"/>
  <c r="N34" i="25"/>
  <c r="O36" i="25" s="1"/>
  <c r="P36" i="25" s="1"/>
  <c r="AU53" i="25" l="1"/>
  <c r="AU68" i="25"/>
  <c r="N68" i="25"/>
  <c r="N54" i="25"/>
  <c r="N26" i="25"/>
  <c r="AU26" i="25"/>
  <c r="AU13" i="25"/>
  <c r="AV13" i="25" s="1"/>
  <c r="AW13" i="25" s="1"/>
  <c r="N13" i="25"/>
  <c r="O13" i="25" s="1"/>
  <c r="P13" i="25" s="1"/>
  <c r="Z87" i="25"/>
  <c r="Z16" i="25"/>
  <c r="AA16" i="25" s="1"/>
  <c r="AB16" i="25" s="1"/>
  <c r="AU73" i="25"/>
  <c r="N73" i="25"/>
  <c r="AU52" i="25"/>
  <c r="N52" i="25"/>
  <c r="N83" i="25"/>
  <c r="AU83" i="25"/>
  <c r="N91" i="25"/>
  <c r="AU90" i="25"/>
  <c r="Z74" i="25"/>
  <c r="Z40" i="25"/>
  <c r="N23" i="25"/>
  <c r="AU23" i="25"/>
  <c r="N76" i="25"/>
  <c r="AU76" i="25"/>
  <c r="AU45" i="25"/>
  <c r="AU35" i="25"/>
  <c r="N22" i="25"/>
  <c r="O24" i="25" s="1"/>
  <c r="P24" i="25" s="1"/>
  <c r="AU22" i="25"/>
  <c r="AV24" i="25" s="1"/>
  <c r="AW24" i="25" s="1"/>
  <c r="Z73" i="25"/>
  <c r="Z20" i="25"/>
  <c r="N18" i="25"/>
  <c r="O18" i="25" s="1"/>
  <c r="P18" i="25" s="1"/>
  <c r="AU18" i="25"/>
  <c r="AV18" i="25" s="1"/>
  <c r="AW18" i="25" s="1"/>
  <c r="AU29" i="25"/>
  <c r="N29" i="25"/>
  <c r="AU60" i="25"/>
  <c r="N60" i="25"/>
  <c r="N90" i="25"/>
  <c r="AU89" i="25"/>
  <c r="Z45" i="25"/>
  <c r="N41" i="25"/>
  <c r="AU41" i="25"/>
  <c r="N75" i="25"/>
  <c r="AU75" i="25"/>
  <c r="AU17" i="25"/>
  <c r="AV17" i="25" s="1"/>
  <c r="AW17" i="25" s="1"/>
  <c r="N17" i="25"/>
  <c r="O17" i="25" s="1"/>
  <c r="P17" i="25" s="1"/>
  <c r="AU69" i="25"/>
  <c r="N69" i="25"/>
  <c r="Z75" i="25"/>
  <c r="Z28" i="25"/>
  <c r="AA30" i="25" s="1"/>
  <c r="AB30" i="25" s="1"/>
  <c r="Z76" i="25"/>
  <c r="AU84" i="25"/>
  <c r="N84" i="25"/>
  <c r="AU19" i="25"/>
  <c r="AV21" i="25" s="1"/>
  <c r="AW21" i="25" s="1"/>
  <c r="N19" i="25"/>
  <c r="O21" i="25" s="1"/>
  <c r="P21" i="25" s="1"/>
  <c r="N59" i="25"/>
  <c r="AU86" i="25"/>
  <c r="N87" i="25"/>
  <c r="Z54" i="25"/>
  <c r="Z31" i="25"/>
  <c r="AA33" i="25" s="1"/>
  <c r="AB33" i="25" s="1"/>
  <c r="N79" i="25"/>
  <c r="O85" i="25" s="1"/>
  <c r="P85" i="25" s="1"/>
  <c r="AU79" i="25"/>
  <c r="AV85" i="25" s="1"/>
  <c r="AW85" i="25" s="1"/>
  <c r="Z25" i="25"/>
  <c r="AA27" i="25" s="1"/>
  <c r="AB27" i="25" s="1"/>
  <c r="AU39" i="25"/>
  <c r="N77" i="25"/>
  <c r="AU77" i="25"/>
  <c r="AU49" i="25"/>
  <c r="N67" i="25"/>
  <c r="AU67" i="25"/>
  <c r="AU63" i="25"/>
  <c r="Z34" i="25"/>
  <c r="AA36" i="25" s="1"/>
  <c r="AB36" i="25" s="1"/>
  <c r="AU65" i="25"/>
  <c r="Z63" i="25"/>
  <c r="Z14" i="25"/>
  <c r="AA14" i="25" s="1"/>
  <c r="AB14" i="25" s="1"/>
  <c r="Z83" i="25"/>
  <c r="N32" i="25"/>
  <c r="AU37" i="25"/>
  <c r="AU87" i="25"/>
  <c r="N88" i="25"/>
  <c r="O92" i="25" s="1"/>
  <c r="P92" i="25" s="1"/>
  <c r="Z17" i="25"/>
  <c r="AA17" i="25" s="1"/>
  <c r="AB17" i="25" s="1"/>
  <c r="AU15" i="25"/>
  <c r="AV15" i="25" s="1"/>
  <c r="AW15" i="25" s="1"/>
  <c r="AU20" i="25"/>
  <c r="N20" i="25"/>
  <c r="N42" i="25"/>
  <c r="AU42" i="25"/>
  <c r="AU28" i="25"/>
  <c r="AV30" i="25" s="1"/>
  <c r="AW30" i="25" s="1"/>
  <c r="N28" i="25"/>
  <c r="O30" i="25" s="1"/>
  <c r="P30" i="25" s="1"/>
  <c r="Z77" i="25"/>
  <c r="Z68" i="25"/>
  <c r="AU80" i="25"/>
  <c r="N80" i="25"/>
  <c r="AU40" i="25"/>
  <c r="N14" i="25"/>
  <c r="O14" i="25" s="1"/>
  <c r="P14" i="25" s="1"/>
  <c r="AU14" i="25"/>
  <c r="AV14" i="25" s="1"/>
  <c r="AW14" i="25" s="1"/>
  <c r="Z72" i="25"/>
  <c r="AU94" i="25"/>
  <c r="AV94" i="25" s="1"/>
  <c r="AU81" i="25"/>
  <c r="AU31" i="25"/>
  <c r="N31" i="25"/>
  <c r="N44" i="25"/>
  <c r="AU44" i="25"/>
  <c r="Z23" i="25"/>
  <c r="N81" i="25"/>
  <c r="Z18" i="25"/>
  <c r="AA18" i="25" s="1"/>
  <c r="AB18" i="25" s="1"/>
  <c r="Z82" i="25"/>
  <c r="Z46" i="25"/>
  <c r="Z55" i="25"/>
  <c r="Z90" i="25"/>
  <c r="Z22" i="25"/>
  <c r="Z32" i="25"/>
  <c r="Z13" i="25"/>
  <c r="AA13" i="25" s="1"/>
  <c r="AB13" i="25" s="1"/>
  <c r="Z56" i="25"/>
  <c r="Z84" i="25"/>
  <c r="N48" i="25"/>
  <c r="AU61" i="25"/>
  <c r="N35" i="25"/>
  <c r="Q90" i="25"/>
  <c r="N53" i="25"/>
  <c r="N62" i="25"/>
  <c r="N63" i="25"/>
  <c r="N38" i="25"/>
  <c r="Q91" i="25"/>
  <c r="Q86" i="25"/>
  <c r="N65" i="25"/>
  <c r="N70" i="25"/>
  <c r="N37" i="25"/>
  <c r="AU58" i="25"/>
  <c r="AU59" i="25"/>
  <c r="N39" i="25"/>
  <c r="AU62" i="25"/>
  <c r="N66" i="25"/>
  <c r="AU38" i="25"/>
  <c r="N40" i="25"/>
  <c r="AU25" i="25"/>
  <c r="AV27" i="25" s="1"/>
  <c r="AW27" i="25" s="1"/>
  <c r="AA24" i="25" l="1"/>
  <c r="AB24" i="25" s="1"/>
  <c r="AA78" i="25"/>
  <c r="AB78" i="25" s="1"/>
  <c r="AV64" i="25"/>
  <c r="AW64" i="25" s="1"/>
  <c r="O71" i="25"/>
  <c r="P71" i="25" s="1"/>
  <c r="O33" i="25"/>
  <c r="P33" i="25" s="1"/>
  <c r="O43" i="25"/>
  <c r="P43" i="25" s="1"/>
  <c r="O50" i="25"/>
  <c r="P50" i="25" s="1"/>
  <c r="Z79" i="25"/>
  <c r="AA85" i="25" s="1"/>
  <c r="AB85" i="25" s="1"/>
  <c r="Z61" i="25"/>
  <c r="Z42" i="25"/>
  <c r="Z69" i="25"/>
  <c r="Z35" i="25"/>
  <c r="Z41" i="25"/>
  <c r="AU70" i="25"/>
  <c r="Q89" i="25"/>
  <c r="Z60" i="25"/>
  <c r="Z70" i="25"/>
  <c r="Z29" i="25"/>
  <c r="N49" i="25"/>
  <c r="AU51" i="25"/>
  <c r="AV57" i="25" s="1"/>
  <c r="AW57" i="25" s="1"/>
  <c r="N82" i="25"/>
  <c r="N47" i="25"/>
  <c r="AU46" i="25"/>
  <c r="AU34" i="25"/>
  <c r="AV36" i="25" s="1"/>
  <c r="AW36" i="25" s="1"/>
  <c r="N51" i="25"/>
  <c r="O57" i="25" s="1"/>
  <c r="P57" i="25" s="1"/>
  <c r="AU82" i="25"/>
  <c r="Z67" i="25"/>
  <c r="Z88" i="25"/>
  <c r="AU47" i="25"/>
  <c r="N46" i="25"/>
  <c r="AV92" i="25"/>
  <c r="AW92" i="25" s="1"/>
  <c r="AU54" i="25"/>
  <c r="Z91" i="25"/>
  <c r="Z62" i="25"/>
  <c r="Z39" i="25"/>
  <c r="Z48" i="25"/>
  <c r="Z65" i="25"/>
  <c r="Z86" i="25"/>
  <c r="AV50" i="25"/>
  <c r="AW50" i="25" s="1"/>
  <c r="Q87" i="25"/>
  <c r="R92" i="25" s="1"/>
  <c r="S92" i="25" s="1"/>
  <c r="AV43" i="25"/>
  <c r="AW43" i="25" s="1"/>
  <c r="AU72" i="25"/>
  <c r="AV78" i="25" s="1"/>
  <c r="AW78" i="25" s="1"/>
  <c r="N61" i="25"/>
  <c r="AU48" i="25"/>
  <c r="Z37" i="25"/>
  <c r="Z51" i="25"/>
  <c r="Z81" i="25"/>
  <c r="Z80" i="25"/>
  <c r="Z58" i="25"/>
  <c r="N72" i="25"/>
  <c r="O78" i="25" s="1"/>
  <c r="P78" i="25" s="1"/>
  <c r="N74" i="25"/>
  <c r="AU66" i="25"/>
  <c r="AV71" i="25" s="1"/>
  <c r="AW71" i="25" s="1"/>
  <c r="AU74" i="25"/>
  <c r="Z44" i="25"/>
  <c r="AA50" i="25" s="1"/>
  <c r="AB50" i="25" s="1"/>
  <c r="Z89" i="25"/>
  <c r="Z19" i="25"/>
  <c r="AA21" i="25" s="1"/>
  <c r="AB21" i="25" s="1"/>
  <c r="Z59" i="25"/>
  <c r="Z38" i="25"/>
  <c r="Z47" i="25"/>
  <c r="AU32" i="25"/>
  <c r="AV33" i="25" s="1"/>
  <c r="AW33" i="25" s="1"/>
  <c r="N55" i="25"/>
  <c r="N58" i="25"/>
  <c r="N56" i="25"/>
  <c r="AU55" i="25"/>
  <c r="Z66" i="25"/>
  <c r="Z26" i="25"/>
  <c r="Z53" i="25"/>
  <c r="Z49" i="25"/>
  <c r="Z52" i="25"/>
  <c r="AU56" i="25"/>
  <c r="N45" i="25"/>
  <c r="N25" i="25"/>
  <c r="O27" i="25" s="1"/>
  <c r="P27" i="25" s="1"/>
  <c r="AA92" i="25" l="1"/>
  <c r="AB92" i="25" s="1"/>
  <c r="AA64" i="25"/>
  <c r="AB64" i="25" s="1"/>
  <c r="AA71" i="25"/>
  <c r="AB71" i="25" s="1"/>
  <c r="AA57" i="25"/>
  <c r="AB57" i="25" s="1"/>
  <c r="AA43" i="25"/>
  <c r="AB43" i="25" s="1"/>
  <c r="AB102" i="25" s="1"/>
  <c r="O64" i="25"/>
  <c r="P64" i="25" s="1"/>
  <c r="P102" i="25" s="1"/>
  <c r="T17" i="25" l="1"/>
  <c r="U17" i="25" s="1"/>
  <c r="T18" i="25"/>
  <c r="U18" i="25" s="1"/>
  <c r="T94" i="25"/>
  <c r="U94" i="25" s="1"/>
  <c r="T93" i="25"/>
  <c r="U93" i="25" s="1"/>
  <c r="T14" i="25"/>
  <c r="U14" i="25" s="1"/>
  <c r="T16" i="25"/>
  <c r="U16" i="25" s="1"/>
  <c r="T13" i="25"/>
  <c r="U13" i="25" s="1"/>
  <c r="T15" i="25"/>
  <c r="U15" i="25" s="1"/>
  <c r="V93" i="25" l="1"/>
  <c r="BC30" i="25"/>
  <c r="BC16" i="25"/>
  <c r="V16" i="25"/>
  <c r="V94" i="25"/>
  <c r="BC34" i="25"/>
  <c r="BC18" i="25"/>
  <c r="V18" i="25"/>
  <c r="V15" i="25"/>
  <c r="BC15" i="25"/>
  <c r="V17" i="25"/>
  <c r="BC17" i="25"/>
  <c r="BC13" i="25"/>
  <c r="V13" i="25"/>
  <c r="V14" i="25"/>
  <c r="BC14" i="25"/>
  <c r="T44" i="25"/>
  <c r="T51" i="25"/>
  <c r="T86" i="25"/>
  <c r="T31" i="25"/>
  <c r="T32" i="25"/>
  <c r="T20" i="25"/>
  <c r="T25" i="25"/>
  <c r="U27" i="25" s="1"/>
  <c r="T23" i="25"/>
  <c r="T26" i="25"/>
  <c r="T22" i="25"/>
  <c r="T35" i="25"/>
  <c r="T65" i="25"/>
  <c r="T37" i="25"/>
  <c r="T72" i="25"/>
  <c r="T28" i="25"/>
  <c r="U30" i="25" s="1"/>
  <c r="T58" i="25"/>
  <c r="T29" i="25"/>
  <c r="T79" i="25"/>
  <c r="U85" i="25" s="1"/>
  <c r="T19" i="25"/>
  <c r="T34" i="25"/>
  <c r="U36" i="25" s="1"/>
  <c r="U33" i="25" l="1"/>
  <c r="U24" i="25"/>
  <c r="BC20" i="25"/>
  <c r="V27" i="25"/>
  <c r="BC21" i="25"/>
  <c r="V33" i="25"/>
  <c r="BD13" i="25"/>
  <c r="BE13" i="25"/>
  <c r="BD17" i="25"/>
  <c r="BE17" i="25"/>
  <c r="BD15" i="25"/>
  <c r="BE15" i="25"/>
  <c r="V36" i="25"/>
  <c r="BC25" i="25"/>
  <c r="V30" i="25"/>
  <c r="BC27" i="25"/>
  <c r="V24" i="25"/>
  <c r="BC26" i="25"/>
  <c r="U21" i="25"/>
  <c r="BD18" i="25"/>
  <c r="BE18" i="25"/>
  <c r="U78" i="25"/>
  <c r="BD34" i="25"/>
  <c r="BE34" i="25"/>
  <c r="V85" i="25"/>
  <c r="BC28" i="25"/>
  <c r="BD16" i="25"/>
  <c r="BE16" i="25"/>
  <c r="BD14" i="25"/>
  <c r="BE14" i="25"/>
  <c r="BD30" i="25"/>
  <c r="BE30" i="25"/>
  <c r="T73" i="25"/>
  <c r="T66" i="25"/>
  <c r="T52" i="25"/>
  <c r="T59" i="25"/>
  <c r="T87" i="25"/>
  <c r="T45" i="25"/>
  <c r="U50" i="25" s="1"/>
  <c r="T80" i="25"/>
  <c r="T38" i="25"/>
  <c r="U43" i="25" s="1"/>
  <c r="BC32" i="25" l="1"/>
  <c r="V50" i="25"/>
  <c r="V43" i="25"/>
  <c r="BC31" i="25"/>
  <c r="BC24" i="25"/>
  <c r="V78" i="25"/>
  <c r="BC19" i="25"/>
  <c r="V21" i="25"/>
  <c r="BD26" i="25"/>
  <c r="BE26" i="25"/>
  <c r="BD27" i="25"/>
  <c r="BE27" i="25"/>
  <c r="BD21" i="25"/>
  <c r="BE21" i="25"/>
  <c r="BE25" i="25"/>
  <c r="BD25" i="25"/>
  <c r="BD28" i="25"/>
  <c r="BE28" i="25"/>
  <c r="BD20" i="25"/>
  <c r="BE20" i="25"/>
  <c r="T81" i="25"/>
  <c r="T53" i="25"/>
  <c r="T46" i="25"/>
  <c r="T67" i="25"/>
  <c r="U71" i="25" s="1"/>
  <c r="T60" i="25"/>
  <c r="T39" i="25"/>
  <c r="T74" i="25"/>
  <c r="T88" i="25"/>
  <c r="BD19" i="25" l="1"/>
  <c r="BE19" i="25"/>
  <c r="V71" i="25"/>
  <c r="BC23" i="25"/>
  <c r="BD24" i="25"/>
  <c r="BE24" i="25"/>
  <c r="BD31" i="25"/>
  <c r="BE31" i="25"/>
  <c r="BD32" i="25"/>
  <c r="BE32" i="25"/>
  <c r="T89" i="25"/>
  <c r="U92" i="25" s="1"/>
  <c r="T40" i="25"/>
  <c r="T68" i="25"/>
  <c r="T82" i="25"/>
  <c r="T61" i="25"/>
  <c r="U64" i="25" s="1"/>
  <c r="T75" i="25"/>
  <c r="T47" i="25"/>
  <c r="T54" i="25"/>
  <c r="U57" i="25" s="1"/>
  <c r="V57" i="25" l="1"/>
  <c r="BC33" i="25"/>
  <c r="BC22" i="25"/>
  <c r="V64" i="25"/>
  <c r="BC29" i="25"/>
  <c r="V92" i="25"/>
  <c r="BD23" i="25"/>
  <c r="BE23" i="25"/>
  <c r="T56" i="25"/>
  <c r="T83" i="25"/>
  <c r="T84" i="25"/>
  <c r="T55" i="25"/>
  <c r="T41" i="25"/>
  <c r="T63" i="25"/>
  <c r="T42" i="25"/>
  <c r="T62" i="25"/>
  <c r="T49" i="25"/>
  <c r="T70" i="25"/>
  <c r="T48" i="25"/>
  <c r="T76" i="25"/>
  <c r="T90" i="25"/>
  <c r="T69" i="25"/>
  <c r="T91" i="25"/>
  <c r="T77" i="25"/>
  <c r="V102" i="25" l="1"/>
  <c r="BD29" i="25"/>
  <c r="BE29" i="25"/>
  <c r="BE22" i="25"/>
  <c r="BD22" i="25"/>
  <c r="BE33" i="25"/>
  <c r="BD33" i="25"/>
  <c r="Q16" i="25" l="1"/>
  <c r="R16" i="25" s="1"/>
  <c r="S16" i="25" s="1"/>
  <c r="Q94" i="25"/>
  <c r="R94" i="25" s="1"/>
  <c r="S94" i="25" s="1"/>
  <c r="Q15" i="25"/>
  <c r="R15" i="25" s="1"/>
  <c r="S15" i="25" s="1"/>
  <c r="Q55" i="25" l="1"/>
  <c r="Q34" i="25"/>
  <c r="R36" i="25" s="1"/>
  <c r="S36" i="25" s="1"/>
  <c r="Q49" i="25"/>
  <c r="Q28" i="25"/>
  <c r="R30" i="25" s="1"/>
  <c r="S30" i="25" s="1"/>
  <c r="Q29" i="25"/>
  <c r="Q83" i="25"/>
  <c r="Q68" i="25"/>
  <c r="Q14" i="25"/>
  <c r="R14" i="25" s="1"/>
  <c r="S14" i="25" s="1"/>
  <c r="Q13" i="25"/>
  <c r="R13" i="25" s="1"/>
  <c r="S13" i="25" s="1"/>
  <c r="Q35" i="25"/>
  <c r="Q76" i="25"/>
  <c r="Q31" i="25"/>
  <c r="R33" i="25" s="1"/>
  <c r="S33" i="25" s="1"/>
  <c r="Q65" i="25"/>
  <c r="Q84" i="25"/>
  <c r="Q74" i="25"/>
  <c r="Q32" i="25"/>
  <c r="Q20" i="25"/>
  <c r="Q79" i="25"/>
  <c r="R85" i="25" s="1"/>
  <c r="S85" i="25" s="1"/>
  <c r="Q37" i="25"/>
  <c r="R43" i="25" s="1"/>
  <c r="S43" i="25" s="1"/>
  <c r="Q72" i="25"/>
  <c r="Q19" i="25"/>
  <c r="Q54" i="25"/>
  <c r="Q42" i="25"/>
  <c r="Q73" i="25"/>
  <c r="Q18" i="25"/>
  <c r="R18" i="25" s="1"/>
  <c r="S18" i="25" s="1"/>
  <c r="Q61" i="25"/>
  <c r="Q17" i="25"/>
  <c r="R17" i="25" s="1"/>
  <c r="S17" i="25" s="1"/>
  <c r="Q66" i="25"/>
  <c r="Q41" i="25"/>
  <c r="Q75" i="25"/>
  <c r="Q45" i="25"/>
  <c r="Q63" i="25"/>
  <c r="Q67" i="25"/>
  <c r="Q81" i="25"/>
  <c r="Q39" i="25"/>
  <c r="Q77" i="25"/>
  <c r="Q47" i="25"/>
  <c r="Q59" i="25"/>
  <c r="Q52" i="25"/>
  <c r="Q80" i="25"/>
  <c r="Q38" i="25"/>
  <c r="Q25" i="25"/>
  <c r="R27" i="25" s="1"/>
  <c r="S27" i="25" s="1"/>
  <c r="Q44" i="25"/>
  <c r="R50" i="25" s="1"/>
  <c r="S50" i="25" s="1"/>
  <c r="Q62" i="25"/>
  <c r="Q69" i="25"/>
  <c r="Q23" i="25"/>
  <c r="Q40" i="25"/>
  <c r="Q26" i="25"/>
  <c r="Q48" i="25"/>
  <c r="Q58" i="25"/>
  <c r="Q82" i="25"/>
  <c r="Q22" i="25"/>
  <c r="Q51" i="25"/>
  <c r="Q56" i="25"/>
  <c r="Q53" i="25"/>
  <c r="Q70" i="25"/>
  <c r="Q46" i="25"/>
  <c r="Q60" i="25"/>
  <c r="R24" i="25" l="1"/>
  <c r="S24" i="25" s="1"/>
  <c r="R71" i="25"/>
  <c r="S71" i="25" s="1"/>
  <c r="R64" i="25"/>
  <c r="S64" i="25" s="1"/>
  <c r="R57" i="25"/>
  <c r="S57" i="25" s="1"/>
  <c r="R21" i="25"/>
  <c r="S21" i="25" s="1"/>
  <c r="R78" i="25"/>
  <c r="S78" i="25" s="1"/>
  <c r="S102" i="25" l="1"/>
  <c r="AL14" i="25"/>
  <c r="AL20" i="25"/>
  <c r="AS20" i="25" s="1"/>
  <c r="AT20" i="25" s="1"/>
  <c r="AL45" i="25"/>
  <c r="AS45" i="25" s="1"/>
  <c r="AT45" i="25" s="1"/>
  <c r="AL23" i="25"/>
  <c r="AS23" i="25" s="1"/>
  <c r="AT23" i="25" s="1"/>
  <c r="AL48" i="25"/>
  <c r="AS48" i="25" s="1"/>
  <c r="AT48" i="25" s="1"/>
  <c r="AL47" i="25"/>
  <c r="AS47" i="25" s="1"/>
  <c r="AT47" i="25" s="1"/>
  <c r="AL70" i="25"/>
  <c r="AS70" i="25" s="1"/>
  <c r="AT70" i="25" s="1"/>
  <c r="AL56" i="25"/>
  <c r="AS56" i="25" s="1"/>
  <c r="AT56" i="25" s="1"/>
  <c r="AL13" i="25"/>
  <c r="AL94" i="25"/>
  <c r="AL66" i="25"/>
  <c r="AS66" i="25" s="1"/>
  <c r="AT66" i="25" s="1"/>
  <c r="AL40" i="25"/>
  <c r="AS40" i="25" s="1"/>
  <c r="AT40" i="25" s="1"/>
  <c r="AL29" i="25"/>
  <c r="AS29" i="25" s="1"/>
  <c r="AT29" i="25" s="1"/>
  <c r="AL81" i="25"/>
  <c r="AS81" i="25" s="1"/>
  <c r="AT81" i="25" s="1"/>
  <c r="AL35" i="25"/>
  <c r="AS35" i="25" s="1"/>
  <c r="AT35" i="25" s="1"/>
  <c r="AL86" i="25"/>
  <c r="AL17" i="25"/>
  <c r="AL67" i="25"/>
  <c r="AS67" i="25" s="1"/>
  <c r="AT67" i="25" s="1"/>
  <c r="AL69" i="25"/>
  <c r="AS69" i="25" s="1"/>
  <c r="AT69" i="25" s="1"/>
  <c r="AL52" i="25"/>
  <c r="AS52" i="25" s="1"/>
  <c r="AT52" i="25" s="1"/>
  <c r="AL54" i="25"/>
  <c r="AS54" i="25" s="1"/>
  <c r="AT54" i="25" s="1"/>
  <c r="AL74" i="25"/>
  <c r="AS74" i="25" s="1"/>
  <c r="AT74" i="25" s="1"/>
  <c r="AL31" i="25"/>
  <c r="AL18" i="25"/>
  <c r="AL32" i="25"/>
  <c r="AS32" i="25" s="1"/>
  <c r="AT32" i="25" s="1"/>
  <c r="AL28" i="25"/>
  <c r="AL37" i="25"/>
  <c r="AL75" i="25"/>
  <c r="AS75" i="25" s="1"/>
  <c r="AT75" i="25" s="1"/>
  <c r="AL53" i="25"/>
  <c r="AS53" i="25" s="1"/>
  <c r="AT53" i="25" s="1"/>
  <c r="AL62" i="25"/>
  <c r="AS62" i="25" s="1"/>
  <c r="AT62" i="25" s="1"/>
  <c r="AL79" i="25"/>
  <c r="AL77" i="25"/>
  <c r="AS77" i="25" s="1"/>
  <c r="AT77" i="25" s="1"/>
  <c r="AL26" i="25"/>
  <c r="AS26" i="25" s="1"/>
  <c r="AT26" i="25" s="1"/>
  <c r="AL16" i="25"/>
  <c r="AL38" i="25"/>
  <c r="AS38" i="25" s="1"/>
  <c r="AT38" i="25" s="1"/>
  <c r="AL60" i="25"/>
  <c r="AS60" i="25" s="1"/>
  <c r="AT60" i="25" s="1"/>
  <c r="AL19" i="25"/>
  <c r="AL88" i="25"/>
  <c r="AS88" i="25" s="1"/>
  <c r="AT88" i="25" s="1"/>
  <c r="AL44" i="25"/>
  <c r="AL84" i="25"/>
  <c r="AS84" i="25" s="1"/>
  <c r="AT84" i="25" s="1"/>
  <c r="AL90" i="25"/>
  <c r="AS90" i="25" s="1"/>
  <c r="AT90" i="25" s="1"/>
  <c r="AL91" i="25"/>
  <c r="AS91" i="25" s="1"/>
  <c r="AT91" i="25" s="1"/>
  <c r="AL93" i="25"/>
  <c r="AL22" i="25"/>
  <c r="AL73" i="25"/>
  <c r="AS73" i="25" s="1"/>
  <c r="AT73" i="25" s="1"/>
  <c r="AL59" i="25"/>
  <c r="AS59" i="25" s="1"/>
  <c r="AT59" i="25" s="1"/>
  <c r="AL25" i="25"/>
  <c r="AL89" i="25"/>
  <c r="AS89" i="25" s="1"/>
  <c r="AT89" i="25" s="1"/>
  <c r="AL63" i="25"/>
  <c r="AS63" i="25" s="1"/>
  <c r="AT63" i="25" s="1"/>
  <c r="AL55" i="25"/>
  <c r="AS55" i="25" s="1"/>
  <c r="AT55" i="25" s="1"/>
  <c r="AL76" i="25"/>
  <c r="AS76" i="25" s="1"/>
  <c r="AT76" i="25" s="1"/>
  <c r="AL41" i="25"/>
  <c r="AS41" i="25" s="1"/>
  <c r="AT41" i="25" s="1"/>
  <c r="AL72" i="25"/>
  <c r="AL34" i="25"/>
  <c r="AL61" i="25"/>
  <c r="AS61" i="25" s="1"/>
  <c r="AT61" i="25" s="1"/>
  <c r="AL82" i="25"/>
  <c r="AS82" i="25" s="1"/>
  <c r="AT82" i="25" s="1"/>
  <c r="AL42" i="25"/>
  <c r="AS42" i="25" s="1"/>
  <c r="AT42" i="25" s="1"/>
  <c r="AL51" i="25"/>
  <c r="AL65" i="25"/>
  <c r="AL46" i="25"/>
  <c r="AS46" i="25" s="1"/>
  <c r="AT46" i="25" s="1"/>
  <c r="AL80" i="25"/>
  <c r="AS80" i="25" s="1"/>
  <c r="AT80" i="25" s="1"/>
  <c r="AL87" i="25"/>
  <c r="AS87" i="25" s="1"/>
  <c r="AT87" i="25" s="1"/>
  <c r="AL83" i="25"/>
  <c r="AS83" i="25" s="1"/>
  <c r="AT83" i="25" s="1"/>
  <c r="AL58" i="25"/>
  <c r="AL68" i="25"/>
  <c r="AS68" i="25" s="1"/>
  <c r="AT68" i="25" s="1"/>
  <c r="AL39" i="25"/>
  <c r="AS39" i="25" s="1"/>
  <c r="AT39" i="25" s="1"/>
  <c r="AL49" i="25"/>
  <c r="AS49" i="25" s="1"/>
  <c r="AT49" i="25" s="1"/>
  <c r="AS34" i="25" l="1"/>
  <c r="AT34" i="25" s="1"/>
  <c r="AM36" i="25"/>
  <c r="AN36" i="25" s="1"/>
  <c r="AS17" i="25"/>
  <c r="AT17" i="25" s="1"/>
  <c r="AM17" i="25"/>
  <c r="AN17" i="25" s="1"/>
  <c r="AS28" i="25"/>
  <c r="AT28" i="25" s="1"/>
  <c r="AM30" i="25"/>
  <c r="AN30" i="25" s="1"/>
  <c r="AS51" i="25"/>
  <c r="AT51" i="25" s="1"/>
  <c r="AM57" i="25"/>
  <c r="AN57" i="25" s="1"/>
  <c r="AS72" i="25"/>
  <c r="AT72" i="25" s="1"/>
  <c r="AM78" i="25"/>
  <c r="AN78" i="25" s="1"/>
  <c r="AS86" i="25"/>
  <c r="AT86" i="25" s="1"/>
  <c r="AM92" i="25"/>
  <c r="AN92" i="25" s="1"/>
  <c r="AS22" i="25"/>
  <c r="AT22" i="25" s="1"/>
  <c r="AM24" i="25"/>
  <c r="AN24" i="25" s="1"/>
  <c r="AS44" i="25"/>
  <c r="AT44" i="25" s="1"/>
  <c r="AM50" i="25"/>
  <c r="AN50" i="25" s="1"/>
  <c r="AS58" i="25"/>
  <c r="AT58" i="25" s="1"/>
  <c r="AM64" i="25"/>
  <c r="AN64" i="25" s="1"/>
  <c r="AS79" i="25"/>
  <c r="AT79" i="25" s="1"/>
  <c r="AM85" i="25"/>
  <c r="AN85" i="25" s="1"/>
  <c r="AS13" i="25"/>
  <c r="AT13" i="25" s="1"/>
  <c r="AM13" i="25"/>
  <c r="AN13" i="25" s="1"/>
  <c r="AS16" i="25"/>
  <c r="AT16" i="25" s="1"/>
  <c r="AM16" i="25"/>
  <c r="AN16" i="25" s="1"/>
  <c r="AS25" i="25"/>
  <c r="AT25" i="25" s="1"/>
  <c r="AM27" i="25"/>
  <c r="AN27" i="25" s="1"/>
  <c r="AS65" i="25"/>
  <c r="AT65" i="25" s="1"/>
  <c r="AM71" i="25"/>
  <c r="AN71" i="25" s="1"/>
  <c r="AS18" i="25"/>
  <c r="AT18" i="25" s="1"/>
  <c r="AM18" i="25"/>
  <c r="AN18" i="25" s="1"/>
  <c r="AM93" i="25"/>
  <c r="AS93" i="25"/>
  <c r="AT93" i="25" s="1"/>
  <c r="AS31" i="25"/>
  <c r="AT31" i="25" s="1"/>
  <c r="AM33" i="25"/>
  <c r="AN33" i="25" s="1"/>
  <c r="AS94" i="25"/>
  <c r="AT94" i="25" s="1"/>
  <c r="AM94" i="25"/>
  <c r="AS14" i="25"/>
  <c r="AT14" i="25" s="1"/>
  <c r="AM14" i="25"/>
  <c r="AN14" i="25" s="1"/>
  <c r="AS19" i="25"/>
  <c r="AT19" i="25" s="1"/>
  <c r="AM21" i="25"/>
  <c r="AN21" i="25" s="1"/>
  <c r="AS37" i="25"/>
  <c r="AT37" i="25" s="1"/>
  <c r="AM43" i="25"/>
  <c r="AN43" i="25" s="1"/>
  <c r="AL15" i="25"/>
  <c r="AS15" i="25" l="1"/>
  <c r="AT15" i="25" s="1"/>
  <c r="AM15" i="25"/>
  <c r="AN15" i="25" s="1"/>
  <c r="AN3" i="25" s="1"/>
  <c r="AN102" i="25" l="1"/>
  <c r="A1" i="22" l="1"/>
  <c r="A2" i="22"/>
  <c r="A10" i="22"/>
  <c r="A11" i="22"/>
  <c r="A12" i="22"/>
  <c r="A13" i="22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C13" i="22"/>
  <c r="C14" i="22"/>
  <c r="C15" i="22"/>
  <c r="C16" i="22"/>
  <c r="C17" i="22"/>
  <c r="C18" i="22"/>
  <c r="C19" i="22"/>
  <c r="C20" i="22"/>
  <c r="C21" i="22"/>
  <c r="C22" i="22"/>
  <c r="C23" i="22"/>
  <c r="C24" i="22"/>
  <c r="A1" i="21"/>
  <c r="D16" i="21"/>
  <c r="D17" i="21"/>
  <c r="D24" i="21"/>
  <c r="D40" i="21" s="1"/>
  <c r="F40" i="21" s="1"/>
  <c r="F24" i="21"/>
  <c r="D25" i="21"/>
  <c r="D41" i="21" s="1"/>
  <c r="F25" i="21"/>
  <c r="D26" i="21"/>
  <c r="F26" i="21"/>
  <c r="C33" i="21"/>
  <c r="D33" i="21"/>
  <c r="A1" i="20"/>
  <c r="A2" i="20"/>
  <c r="A10" i="20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D11" i="20"/>
  <c r="E11" i="20"/>
  <c r="F11" i="20"/>
  <c r="G11" i="20"/>
  <c r="H11" i="20"/>
  <c r="I11" i="20"/>
  <c r="J11" i="20"/>
  <c r="K11" i="20"/>
  <c r="L11" i="20"/>
  <c r="M11" i="20"/>
  <c r="N11" i="20"/>
  <c r="O11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D16" i="20"/>
  <c r="E16" i="20"/>
  <c r="F16" i="20"/>
  <c r="G16" i="20"/>
  <c r="H16" i="20"/>
  <c r="I16" i="20"/>
  <c r="J16" i="20"/>
  <c r="K16" i="20"/>
  <c r="L16" i="20"/>
  <c r="M16" i="20"/>
  <c r="P16" i="20" s="1"/>
  <c r="R16" i="20" s="1"/>
  <c r="N16" i="20"/>
  <c r="O16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2" i="20"/>
  <c r="R22" i="20" s="1"/>
  <c r="D24" i="20"/>
  <c r="E24" i="20"/>
  <c r="F24" i="20"/>
  <c r="G24" i="20"/>
  <c r="H24" i="20"/>
  <c r="I24" i="20"/>
  <c r="J24" i="20"/>
  <c r="K24" i="20"/>
  <c r="L24" i="20"/>
  <c r="M24" i="20"/>
  <c r="N24" i="20"/>
  <c r="O24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H30" i="20"/>
  <c r="I30" i="20"/>
  <c r="Q30" i="20"/>
  <c r="A1" i="19"/>
  <c r="A2" i="19"/>
  <c r="A2" i="21" s="1"/>
  <c r="A8" i="19"/>
  <c r="A9" i="19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E9" i="19"/>
  <c r="E11" i="19" s="1"/>
  <c r="F9" i="19"/>
  <c r="F20" i="19" s="1"/>
  <c r="G9" i="19"/>
  <c r="G11" i="19" s="1"/>
  <c r="H9" i="19"/>
  <c r="H20" i="19" s="1"/>
  <c r="D11" i="19"/>
  <c r="F11" i="19"/>
  <c r="D14" i="19"/>
  <c r="E14" i="19"/>
  <c r="D16" i="19"/>
  <c r="E16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D20" i="19"/>
  <c r="E20" i="19"/>
  <c r="D27" i="19"/>
  <c r="E27" i="19"/>
  <c r="F27" i="19"/>
  <c r="G27" i="19"/>
  <c r="D28" i="19"/>
  <c r="E28" i="19"/>
  <c r="F28" i="19"/>
  <c r="F29" i="19" s="1"/>
  <c r="G28" i="19"/>
  <c r="H28" i="19"/>
  <c r="I28" i="19"/>
  <c r="J28" i="19"/>
  <c r="K28" i="19"/>
  <c r="L28" i="19"/>
  <c r="M28" i="19"/>
  <c r="N28" i="19"/>
  <c r="O28" i="19"/>
  <c r="D31" i="19"/>
  <c r="E31" i="19"/>
  <c r="D32" i="19"/>
  <c r="E32" i="19"/>
  <c r="D37" i="19"/>
  <c r="G37" i="19"/>
  <c r="H37" i="19"/>
  <c r="P49" i="19"/>
  <c r="D50" i="19"/>
  <c r="P50" i="19" s="1"/>
  <c r="R50" i="19" s="1"/>
  <c r="E50" i="19"/>
  <c r="F50" i="19"/>
  <c r="G50" i="19"/>
  <c r="H50" i="19"/>
  <c r="I50" i="19"/>
  <c r="J50" i="19"/>
  <c r="K50" i="19"/>
  <c r="L50" i="19"/>
  <c r="M50" i="19"/>
  <c r="N50" i="19"/>
  <c r="O50" i="19"/>
  <c r="D69" i="19"/>
  <c r="P69" i="19" s="1"/>
  <c r="E69" i="19"/>
  <c r="F69" i="19"/>
  <c r="G69" i="19"/>
  <c r="H69" i="19"/>
  <c r="I69" i="19"/>
  <c r="J69" i="19"/>
  <c r="K69" i="19"/>
  <c r="L69" i="19"/>
  <c r="M69" i="19"/>
  <c r="N69" i="19"/>
  <c r="O69" i="19"/>
  <c r="N30" i="20" l="1"/>
  <c r="P14" i="20"/>
  <c r="R14" i="20" s="1"/>
  <c r="E29" i="19"/>
  <c r="M30" i="20"/>
  <c r="L30" i="20"/>
  <c r="K30" i="20"/>
  <c r="J30" i="20"/>
  <c r="G30" i="20"/>
  <c r="P24" i="20"/>
  <c r="F30" i="20"/>
  <c r="P28" i="20"/>
  <c r="P26" i="20"/>
  <c r="R26" i="20" s="1"/>
  <c r="P20" i="20"/>
  <c r="R20" i="20" s="1"/>
  <c r="P18" i="20"/>
  <c r="R18" i="20" s="1"/>
  <c r="O30" i="20"/>
  <c r="E30" i="20"/>
  <c r="F33" i="21"/>
  <c r="F41" i="21"/>
  <c r="D21" i="21" s="1"/>
  <c r="F21" i="21" s="1"/>
  <c r="D29" i="19"/>
  <c r="D35" i="19" s="1"/>
  <c r="P11" i="20"/>
  <c r="G29" i="19"/>
  <c r="E33" i="19"/>
  <c r="E35" i="19" s="1"/>
  <c r="C34" i="21"/>
  <c r="D13" i="21" s="1"/>
  <c r="D27" i="22"/>
  <c r="D33" i="19"/>
  <c r="P28" i="19"/>
  <c r="E24" i="19"/>
  <c r="E54" i="19" s="1"/>
  <c r="E55" i="19" s="1"/>
  <c r="E57" i="19" s="1"/>
  <c r="E59" i="19" s="1"/>
  <c r="P18" i="19"/>
  <c r="R18" i="19" s="1"/>
  <c r="D29" i="22"/>
  <c r="D31" i="22" s="1"/>
  <c r="F42" i="21"/>
  <c r="D20" i="21"/>
  <c r="D30" i="20"/>
  <c r="E70" i="19"/>
  <c r="E71" i="19" s="1"/>
  <c r="A56" i="19"/>
  <c r="A57" i="19" s="1"/>
  <c r="A58" i="19" s="1"/>
  <c r="A59" i="19" s="1"/>
  <c r="A67" i="19" s="1"/>
  <c r="A68" i="19" s="1"/>
  <c r="A69" i="19" s="1"/>
  <c r="A70" i="19" s="1"/>
  <c r="A71" i="19" s="1"/>
  <c r="A72" i="19" s="1"/>
  <c r="B57" i="19"/>
  <c r="H16" i="19"/>
  <c r="F37" i="19"/>
  <c r="G16" i="19"/>
  <c r="E37" i="19"/>
  <c r="H32" i="19"/>
  <c r="H31" i="19"/>
  <c r="F16" i="19"/>
  <c r="H14" i="19"/>
  <c r="G32" i="19"/>
  <c r="G31" i="19"/>
  <c r="G33" i="19" s="1"/>
  <c r="G14" i="19"/>
  <c r="F32" i="19"/>
  <c r="F31" i="19"/>
  <c r="F33" i="19" s="1"/>
  <c r="F35" i="19" s="1"/>
  <c r="H27" i="19"/>
  <c r="H29" i="19" s="1"/>
  <c r="F14" i="19"/>
  <c r="I9" i="19"/>
  <c r="H11" i="19"/>
  <c r="D24" i="19"/>
  <c r="D54" i="19" s="1"/>
  <c r="G20" i="19"/>
  <c r="P30" i="20" l="1"/>
  <c r="G35" i="19"/>
  <c r="G39" i="19" s="1"/>
  <c r="D34" i="21"/>
  <c r="F34" i="21" s="1"/>
  <c r="H24" i="19"/>
  <c r="H54" i="19" s="1"/>
  <c r="H55" i="19" s="1"/>
  <c r="H57" i="19" s="1"/>
  <c r="H59" i="19" s="1"/>
  <c r="G24" i="19"/>
  <c r="G54" i="19" s="1"/>
  <c r="G55" i="19" s="1"/>
  <c r="G57" i="19" s="1"/>
  <c r="G70" i="19" s="1"/>
  <c r="G71" i="19" s="1"/>
  <c r="D28" i="21"/>
  <c r="D22" i="21" s="1"/>
  <c r="F22" i="21" s="1"/>
  <c r="F20" i="21"/>
  <c r="F39" i="19"/>
  <c r="D39" i="19"/>
  <c r="F24" i="19"/>
  <c r="F54" i="19" s="1"/>
  <c r="F55" i="19" s="1"/>
  <c r="F57" i="19" s="1"/>
  <c r="I37" i="19"/>
  <c r="I20" i="19"/>
  <c r="I11" i="19"/>
  <c r="J9" i="19"/>
  <c r="I27" i="19"/>
  <c r="I29" i="19" s="1"/>
  <c r="I16" i="19"/>
  <c r="I14" i="19"/>
  <c r="I31" i="19"/>
  <c r="I32" i="19"/>
  <c r="E39" i="19"/>
  <c r="D55" i="19"/>
  <c r="H33" i="19"/>
  <c r="H35" i="19" s="1"/>
  <c r="H70" i="19"/>
  <c r="H71" i="19" s="1"/>
  <c r="R30" i="20" l="1"/>
  <c r="D12" i="21"/>
  <c r="D14" i="21" s="1"/>
  <c r="F43" i="21" s="1"/>
  <c r="I24" i="19"/>
  <c r="I54" i="19" s="1"/>
  <c r="I55" i="19" s="1"/>
  <c r="I57" i="19" s="1"/>
  <c r="I59" i="19" s="1"/>
  <c r="G59" i="19"/>
  <c r="H39" i="19"/>
  <c r="D57" i="19"/>
  <c r="F70" i="19"/>
  <c r="F71" i="19" s="1"/>
  <c r="F59" i="19"/>
  <c r="I70" i="19"/>
  <c r="I71" i="19" s="1"/>
  <c r="I33" i="19"/>
  <c r="I35" i="19"/>
  <c r="I39" i="19" s="1"/>
  <c r="J16" i="19"/>
  <c r="J37" i="19"/>
  <c r="J20" i="19"/>
  <c r="J11" i="19"/>
  <c r="J32" i="19"/>
  <c r="K9" i="19"/>
  <c r="J27" i="19"/>
  <c r="J14" i="19"/>
  <c r="J31" i="19"/>
  <c r="J24" i="19" l="1"/>
  <c r="J54" i="19" s="1"/>
  <c r="J55" i="19" s="1"/>
  <c r="J57" i="19" s="1"/>
  <c r="J59" i="19" s="1"/>
  <c r="J33" i="19"/>
  <c r="J29" i="19"/>
  <c r="K20" i="19"/>
  <c r="K16" i="19"/>
  <c r="K37" i="19"/>
  <c r="K14" i="19"/>
  <c r="K31" i="19"/>
  <c r="K32" i="19"/>
  <c r="K11" i="19"/>
  <c r="L9" i="19"/>
  <c r="K27" i="19"/>
  <c r="K29" i="19" s="1"/>
  <c r="D70" i="19"/>
  <c r="D71" i="19" s="1"/>
  <c r="D59" i="19"/>
  <c r="K24" i="19" l="1"/>
  <c r="K54" i="19" s="1"/>
  <c r="K55" i="19" s="1"/>
  <c r="K57" i="19" s="1"/>
  <c r="J70" i="19"/>
  <c r="J71" i="19" s="1"/>
  <c r="L14" i="19"/>
  <c r="L31" i="19"/>
  <c r="L32" i="19"/>
  <c r="L20" i="19"/>
  <c r="L16" i="19"/>
  <c r="L37" i="19"/>
  <c r="L11" i="19"/>
  <c r="L24" i="19" s="1"/>
  <c r="L54" i="19" s="1"/>
  <c r="L55" i="19" s="1"/>
  <c r="L57" i="19" s="1"/>
  <c r="M9" i="19"/>
  <c r="L27" i="19"/>
  <c r="K33" i="19"/>
  <c r="K35" i="19" s="1"/>
  <c r="K39" i="19" s="1"/>
  <c r="J35" i="19"/>
  <c r="K59" i="19"/>
  <c r="K70" i="19"/>
  <c r="K71" i="19" s="1"/>
  <c r="L29" i="19" l="1"/>
  <c r="M27" i="19"/>
  <c r="M29" i="19" s="1"/>
  <c r="M14" i="19"/>
  <c r="M31" i="19"/>
  <c r="M32" i="19"/>
  <c r="M37" i="19"/>
  <c r="M16" i="19"/>
  <c r="M20" i="19"/>
  <c r="N9" i="19"/>
  <c r="M11" i="19"/>
  <c r="L59" i="19"/>
  <c r="L70" i="19"/>
  <c r="L71" i="19" s="1"/>
  <c r="J39" i="19"/>
  <c r="L33" i="19"/>
  <c r="M24" i="19" l="1"/>
  <c r="M54" i="19" s="1"/>
  <c r="M55" i="19" s="1"/>
  <c r="M57" i="19" s="1"/>
  <c r="M33" i="19"/>
  <c r="M59" i="19"/>
  <c r="M70" i="19"/>
  <c r="M71" i="19" s="1"/>
  <c r="O9" i="19"/>
  <c r="N27" i="19"/>
  <c r="N29" i="19" s="1"/>
  <c r="N14" i="19"/>
  <c r="N31" i="19"/>
  <c r="N32" i="19"/>
  <c r="N16" i="19"/>
  <c r="N37" i="19"/>
  <c r="N20" i="19"/>
  <c r="N11" i="19"/>
  <c r="M35" i="19"/>
  <c r="M39" i="19" s="1"/>
  <c r="L35" i="19"/>
  <c r="N24" i="19" l="1"/>
  <c r="N54" i="19" s="1"/>
  <c r="N55" i="19" s="1"/>
  <c r="N57" i="19" s="1"/>
  <c r="N33" i="19"/>
  <c r="N59" i="19"/>
  <c r="N70" i="19"/>
  <c r="N71" i="19" s="1"/>
  <c r="N35" i="19"/>
  <c r="N39" i="19" s="1"/>
  <c r="O11" i="19"/>
  <c r="O16" i="19"/>
  <c r="P16" i="19" s="1"/>
  <c r="R16" i="19" s="1"/>
  <c r="O27" i="19"/>
  <c r="O37" i="19"/>
  <c r="P37" i="19" s="1"/>
  <c r="R37" i="19" s="1"/>
  <c r="O14" i="19"/>
  <c r="P14" i="19" s="1"/>
  <c r="R14" i="19" s="1"/>
  <c r="O31" i="19"/>
  <c r="O32" i="19"/>
  <c r="P32" i="19" s="1"/>
  <c r="O20" i="19"/>
  <c r="P20" i="19" s="1"/>
  <c r="R20" i="19" s="1"/>
  <c r="L39" i="19"/>
  <c r="O33" i="19" l="1"/>
  <c r="P33" i="19" s="1"/>
  <c r="R33" i="19" s="1"/>
  <c r="P31" i="19"/>
  <c r="O29" i="19"/>
  <c r="P27" i="19"/>
  <c r="O24" i="19"/>
  <c r="O54" i="19" s="1"/>
  <c r="P11" i="19"/>
  <c r="P24" i="19" l="1"/>
  <c r="R11" i="19"/>
  <c r="O55" i="19"/>
  <c r="P54" i="19"/>
  <c r="O35" i="19"/>
  <c r="P29" i="19"/>
  <c r="R29" i="19" s="1"/>
  <c r="O57" i="19" l="1"/>
  <c r="P55" i="19"/>
  <c r="P57" i="19" s="1"/>
  <c r="O39" i="19"/>
  <c r="P39" i="19" s="1"/>
  <c r="P35" i="19"/>
  <c r="P59" i="19" l="1"/>
  <c r="S60" i="19" s="1"/>
  <c r="S61" i="19" s="1"/>
  <c r="D35" i="22"/>
  <c r="E35" i="22"/>
  <c r="R39" i="19"/>
  <c r="P40" i="19"/>
  <c r="O70" i="19"/>
  <c r="O71" i="19" s="1"/>
  <c r="P71" i="19" s="1"/>
  <c r="O59" i="19"/>
  <c r="D37" i="22" l="1"/>
  <c r="D36" i="22"/>
  <c r="E36" i="22" s="1"/>
  <c r="A1" i="17"/>
  <c r="A2" i="17"/>
  <c r="F7" i="17"/>
  <c r="I7" i="17"/>
  <c r="L7" i="17"/>
  <c r="O7" i="17"/>
  <c r="A8" i="17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F9" i="17"/>
  <c r="I9" i="17"/>
  <c r="L9" i="17"/>
  <c r="O9" i="17"/>
  <c r="R9" i="17"/>
  <c r="G10" i="17"/>
  <c r="J10" i="17"/>
  <c r="M10" i="17"/>
  <c r="P10" i="17"/>
  <c r="S10" i="17"/>
  <c r="U10" i="17"/>
  <c r="V10" i="17"/>
  <c r="D13" i="17"/>
  <c r="S13" i="17" s="1"/>
  <c r="G13" i="17"/>
  <c r="D14" i="17"/>
  <c r="J14" i="17" s="1"/>
  <c r="W14" i="17"/>
  <c r="D15" i="17"/>
  <c r="G15" i="17" s="1"/>
  <c r="W15" i="17"/>
  <c r="AF15" i="17" s="1"/>
  <c r="D16" i="17"/>
  <c r="G16" i="17" s="1"/>
  <c r="D17" i="17"/>
  <c r="S17" i="17" s="1"/>
  <c r="G17" i="17"/>
  <c r="J17" i="17"/>
  <c r="D18" i="17"/>
  <c r="G18" i="17" s="1"/>
  <c r="D19" i="17"/>
  <c r="J19" i="17" s="1"/>
  <c r="G19" i="17"/>
  <c r="D20" i="17"/>
  <c r="D21" i="17"/>
  <c r="D22" i="17"/>
  <c r="G22" i="17" s="1"/>
  <c r="D23" i="17"/>
  <c r="G23" i="17" s="1"/>
  <c r="J23" i="17"/>
  <c r="D24" i="17"/>
  <c r="S24" i="17" s="1"/>
  <c r="G24" i="17"/>
  <c r="J24" i="17"/>
  <c r="D25" i="17"/>
  <c r="G25" i="17" s="1"/>
  <c r="D26" i="17"/>
  <c r="J26" i="17" s="1"/>
  <c r="D27" i="17"/>
  <c r="M27" i="17" s="1"/>
  <c r="D28" i="17"/>
  <c r="P28" i="17" s="1"/>
  <c r="D29" i="17"/>
  <c r="G29" i="17" s="1"/>
  <c r="D30" i="17"/>
  <c r="G30" i="17" s="1"/>
  <c r="D31" i="17"/>
  <c r="S31" i="17" s="1"/>
  <c r="G31" i="17"/>
  <c r="D32" i="17"/>
  <c r="G32" i="17" s="1"/>
  <c r="D33" i="17"/>
  <c r="M33" i="17" s="1"/>
  <c r="D34" i="17"/>
  <c r="G34" i="17" s="1"/>
  <c r="J34" i="17"/>
  <c r="D35" i="17"/>
  <c r="G35" i="17" s="1"/>
  <c r="J35" i="17"/>
  <c r="D36" i="17"/>
  <c r="G36" i="17" s="1"/>
  <c r="D37" i="17"/>
  <c r="G37" i="17" s="1"/>
  <c r="D38" i="17"/>
  <c r="D39" i="17"/>
  <c r="G39" i="17" s="1"/>
  <c r="P39" i="17"/>
  <c r="D40" i="17"/>
  <c r="M40" i="17" s="1"/>
  <c r="D41" i="17"/>
  <c r="D42" i="17"/>
  <c r="M42" i="17" s="1"/>
  <c r="S42" i="17"/>
  <c r="D43" i="17"/>
  <c r="G43" i="17" s="1"/>
  <c r="D44" i="17"/>
  <c r="J44" i="17" s="1"/>
  <c r="D45" i="17"/>
  <c r="G45" i="17" s="1"/>
  <c r="D46" i="17"/>
  <c r="G46" i="17" s="1"/>
  <c r="P46" i="17"/>
  <c r="S46" i="17"/>
  <c r="D47" i="17"/>
  <c r="M47" i="17" s="1"/>
  <c r="G47" i="17"/>
  <c r="J47" i="17"/>
  <c r="S47" i="17"/>
  <c r="D48" i="17"/>
  <c r="G48" i="17" s="1"/>
  <c r="D49" i="17"/>
  <c r="G49" i="17" s="1"/>
  <c r="D50" i="17"/>
  <c r="G50" i="17" s="1"/>
  <c r="D51" i="17"/>
  <c r="J51" i="17" s="1"/>
  <c r="D52" i="17"/>
  <c r="S52" i="17" s="1"/>
  <c r="D53" i="17"/>
  <c r="G53" i="17" s="1"/>
  <c r="D54" i="17"/>
  <c r="J54" i="17" s="1"/>
  <c r="D55" i="17"/>
  <c r="M55" i="17" s="1"/>
  <c r="D56" i="17"/>
  <c r="S56" i="17" s="1"/>
  <c r="G56" i="17"/>
  <c r="J56" i="17"/>
  <c r="D57" i="17"/>
  <c r="G57" i="17" s="1"/>
  <c r="D58" i="17"/>
  <c r="S58" i="17" s="1"/>
  <c r="J58" i="17"/>
  <c r="D59" i="17"/>
  <c r="J59" i="17" s="1"/>
  <c r="D60" i="17"/>
  <c r="G60" i="17" s="1"/>
  <c r="D61" i="17"/>
  <c r="M61" i="17" s="1"/>
  <c r="D62" i="17"/>
  <c r="G62" i="17" s="1"/>
  <c r="D63" i="17"/>
  <c r="S63" i="17" s="1"/>
  <c r="D64" i="17"/>
  <c r="J64" i="17" s="1"/>
  <c r="D65" i="17"/>
  <c r="J65" i="17" s="1"/>
  <c r="G65" i="17"/>
  <c r="D66" i="17"/>
  <c r="S66" i="17" s="1"/>
  <c r="D67" i="17"/>
  <c r="D68" i="17"/>
  <c r="G68" i="17" s="1"/>
  <c r="D69" i="17"/>
  <c r="J69" i="17" s="1"/>
  <c r="D70" i="17"/>
  <c r="J70" i="17" s="1"/>
  <c r="M70" i="17"/>
  <c r="D71" i="17"/>
  <c r="M71" i="17" s="1"/>
  <c r="S71" i="17"/>
  <c r="D72" i="17"/>
  <c r="M72" i="17" s="1"/>
  <c r="D73" i="17"/>
  <c r="G73" i="17" s="1"/>
  <c r="S73" i="17"/>
  <c r="D74" i="17"/>
  <c r="S74" i="17" s="1"/>
  <c r="D75" i="17"/>
  <c r="P75" i="17" s="1"/>
  <c r="D76" i="17"/>
  <c r="J76" i="17" s="1"/>
  <c r="D77" i="17"/>
  <c r="D78" i="17"/>
  <c r="P78" i="17"/>
  <c r="D79" i="17"/>
  <c r="M79" i="17" s="1"/>
  <c r="D80" i="17"/>
  <c r="S80" i="17" s="1"/>
  <c r="AA81" i="17"/>
  <c r="AB81" i="17"/>
  <c r="AC81" i="17"/>
  <c r="AD81" i="17"/>
  <c r="AE81" i="17"/>
  <c r="AF81" i="17"/>
  <c r="V83" i="17"/>
  <c r="A1" i="16"/>
  <c r="A2" i="16"/>
  <c r="A3" i="16"/>
  <c r="A8" i="16"/>
  <c r="A9" i="16" s="1"/>
  <c r="A10" i="16" s="1"/>
  <c r="A11" i="16" s="1"/>
  <c r="K10" i="16"/>
  <c r="L10" i="16"/>
  <c r="M10" i="16"/>
  <c r="N10" i="16"/>
  <c r="O10" i="16"/>
  <c r="P10" i="16"/>
  <c r="AM10" i="16" s="1"/>
  <c r="U10" i="16"/>
  <c r="AP10" i="16" s="1"/>
  <c r="AJ10" i="16"/>
  <c r="AK10" i="16"/>
  <c r="AN10" i="16"/>
  <c r="AO10" i="16"/>
  <c r="AQ10" i="16"/>
  <c r="A12" i="16"/>
  <c r="A13" i="16"/>
  <c r="A14" i="16" s="1"/>
  <c r="A15" i="16" s="1"/>
  <c r="A16" i="16" s="1"/>
  <c r="A17" i="16" s="1"/>
  <c r="A18" i="16" s="1"/>
  <c r="A19" i="16" s="1"/>
  <c r="A20" i="16" s="1"/>
  <c r="R13" i="16"/>
  <c r="AJ13" i="16" s="1"/>
  <c r="U13" i="16"/>
  <c r="AP13" i="16" s="1"/>
  <c r="V13" i="16"/>
  <c r="AQ13" i="16" s="1"/>
  <c r="AW13" i="16"/>
  <c r="AX13" i="16"/>
  <c r="AY13" i="16"/>
  <c r="AZ13" i="16"/>
  <c r="BA13" i="16"/>
  <c r="BB13" i="16"/>
  <c r="BC13" i="16"/>
  <c r="BD13" i="16"/>
  <c r="BE13" i="16"/>
  <c r="R14" i="16"/>
  <c r="AJ14" i="16" s="1"/>
  <c r="U14" i="16"/>
  <c r="AP14" i="16" s="1"/>
  <c r="V14" i="16"/>
  <c r="AQ14" i="16" s="1"/>
  <c r="AW14" i="16"/>
  <c r="AX14" i="16"/>
  <c r="AY14" i="16"/>
  <c r="AZ14" i="16"/>
  <c r="BA14" i="16"/>
  <c r="BB14" i="16"/>
  <c r="BC14" i="16"/>
  <c r="BD14" i="16"/>
  <c r="BE14" i="16"/>
  <c r="R15" i="16"/>
  <c r="AJ15" i="16" s="1"/>
  <c r="U15" i="16"/>
  <c r="AP15" i="16" s="1"/>
  <c r="V15" i="16"/>
  <c r="AQ15" i="16"/>
  <c r="AW15" i="16"/>
  <c r="AX15" i="16"/>
  <c r="AY15" i="16"/>
  <c r="AZ15" i="16"/>
  <c r="BA15" i="16"/>
  <c r="BB15" i="16"/>
  <c r="BC15" i="16"/>
  <c r="BD15" i="16"/>
  <c r="BE15" i="16"/>
  <c r="R16" i="16"/>
  <c r="AJ16" i="16" s="1"/>
  <c r="U16" i="16"/>
  <c r="AP16" i="16" s="1"/>
  <c r="AW16" i="16"/>
  <c r="AX16" i="16"/>
  <c r="AY16" i="16"/>
  <c r="AZ16" i="16"/>
  <c r="BA16" i="16"/>
  <c r="BB16" i="16"/>
  <c r="BC16" i="16"/>
  <c r="BD16" i="16"/>
  <c r="BE16" i="16"/>
  <c r="R17" i="16"/>
  <c r="AJ17" i="16" s="1"/>
  <c r="U17" i="16"/>
  <c r="AP17" i="16" s="1"/>
  <c r="AW17" i="16"/>
  <c r="AX17" i="16"/>
  <c r="AY17" i="16"/>
  <c r="AZ17" i="16"/>
  <c r="BA17" i="16"/>
  <c r="BB17" i="16"/>
  <c r="BC17" i="16"/>
  <c r="BD17" i="16"/>
  <c r="BE17" i="16"/>
  <c r="R18" i="16"/>
  <c r="AJ18" i="16" s="1"/>
  <c r="U18" i="16"/>
  <c r="AP18" i="16" s="1"/>
  <c r="AW18" i="16"/>
  <c r="AX18" i="16"/>
  <c r="AY18" i="16"/>
  <c r="AZ18" i="16"/>
  <c r="BA18" i="16"/>
  <c r="BB18" i="16"/>
  <c r="BC18" i="16"/>
  <c r="BD18" i="16"/>
  <c r="BE18" i="16"/>
  <c r="R19" i="16"/>
  <c r="AJ19" i="16" s="1"/>
  <c r="U19" i="16"/>
  <c r="AP19" i="16"/>
  <c r="AW19" i="16"/>
  <c r="AX19" i="16"/>
  <c r="AY19" i="16"/>
  <c r="AZ19" i="16"/>
  <c r="BA19" i="16"/>
  <c r="BB19" i="16"/>
  <c r="BC19" i="16"/>
  <c r="BD19" i="16"/>
  <c r="BE19" i="16"/>
  <c r="R20" i="16"/>
  <c r="AJ20" i="16" s="1"/>
  <c r="U20" i="16"/>
  <c r="AP20" i="16" s="1"/>
  <c r="AW20" i="16"/>
  <c r="AX20" i="16"/>
  <c r="AY20" i="16"/>
  <c r="AZ20" i="16"/>
  <c r="BA20" i="16"/>
  <c r="BB20" i="16"/>
  <c r="BC20" i="16"/>
  <c r="BD20" i="16"/>
  <c r="BE20" i="16"/>
  <c r="BH20" i="16"/>
  <c r="A21" i="16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R21" i="16"/>
  <c r="AJ21" i="16" s="1"/>
  <c r="U21" i="16"/>
  <c r="AP21" i="16" s="1"/>
  <c r="AW21" i="16"/>
  <c r="AX21" i="16"/>
  <c r="AY21" i="16"/>
  <c r="AZ21" i="16"/>
  <c r="BA21" i="16"/>
  <c r="BB21" i="16"/>
  <c r="BC21" i="16"/>
  <c r="BD21" i="16"/>
  <c r="BE21" i="16"/>
  <c r="R22" i="16"/>
  <c r="AJ22" i="16" s="1"/>
  <c r="U22" i="16"/>
  <c r="AP22" i="16" s="1"/>
  <c r="AW22" i="16"/>
  <c r="AX22" i="16"/>
  <c r="AY22" i="16"/>
  <c r="AZ22" i="16"/>
  <c r="BA22" i="16"/>
  <c r="BB22" i="16"/>
  <c r="BC22" i="16"/>
  <c r="BD22" i="16"/>
  <c r="BE22" i="16"/>
  <c r="R23" i="16"/>
  <c r="AJ23" i="16" s="1"/>
  <c r="U23" i="16"/>
  <c r="AP23" i="16" s="1"/>
  <c r="AW23" i="16"/>
  <c r="AX23" i="16"/>
  <c r="AY23" i="16"/>
  <c r="AZ23" i="16"/>
  <c r="BA23" i="16"/>
  <c r="BB23" i="16"/>
  <c r="BC23" i="16"/>
  <c r="BD23" i="16"/>
  <c r="BE23" i="16"/>
  <c r="R24" i="16"/>
  <c r="AJ24" i="16" s="1"/>
  <c r="U24" i="16"/>
  <c r="AP24" i="16" s="1"/>
  <c r="AW24" i="16"/>
  <c r="AX24" i="16"/>
  <c r="AY24" i="16"/>
  <c r="AZ24" i="16"/>
  <c r="BA24" i="16"/>
  <c r="BB24" i="16"/>
  <c r="BC24" i="16"/>
  <c r="BD24" i="16"/>
  <c r="BE24" i="16"/>
  <c r="R25" i="16"/>
  <c r="AJ25" i="16" s="1"/>
  <c r="U25" i="16"/>
  <c r="AP25" i="16" s="1"/>
  <c r="AW25" i="16"/>
  <c r="BH25" i="16" s="1"/>
  <c r="AX25" i="16"/>
  <c r="AY25" i="16"/>
  <c r="AZ25" i="16"/>
  <c r="BA25" i="16"/>
  <c r="BB25" i="16"/>
  <c r="BC25" i="16"/>
  <c r="BD25" i="16"/>
  <c r="BE25" i="16"/>
  <c r="R26" i="16"/>
  <c r="AJ26" i="16" s="1"/>
  <c r="U26" i="16"/>
  <c r="AP26" i="16" s="1"/>
  <c r="AW26" i="16"/>
  <c r="AX26" i="16"/>
  <c r="AY26" i="16"/>
  <c r="AZ26" i="16"/>
  <c r="BA26" i="16"/>
  <c r="BB26" i="16"/>
  <c r="BC26" i="16"/>
  <c r="BD26" i="16"/>
  <c r="BE26" i="16"/>
  <c r="R27" i="16"/>
  <c r="AJ27" i="16" s="1"/>
  <c r="U27" i="16"/>
  <c r="AP27" i="16" s="1"/>
  <c r="AW27" i="16"/>
  <c r="AX27" i="16"/>
  <c r="AY27" i="16"/>
  <c r="AZ27" i="16"/>
  <c r="BA27" i="16"/>
  <c r="BB27" i="16"/>
  <c r="BC27" i="16"/>
  <c r="BD27" i="16"/>
  <c r="BE27" i="16"/>
  <c r="R28" i="16"/>
  <c r="AJ28" i="16" s="1"/>
  <c r="U28" i="16"/>
  <c r="AP28" i="16" s="1"/>
  <c r="AW28" i="16"/>
  <c r="AX28" i="16"/>
  <c r="AY28" i="16"/>
  <c r="AZ28" i="16"/>
  <c r="BA28" i="16"/>
  <c r="BB28" i="16"/>
  <c r="BC28" i="16"/>
  <c r="BD28" i="16"/>
  <c r="BE28" i="16"/>
  <c r="R29" i="16"/>
  <c r="AJ29" i="16" s="1"/>
  <c r="U29" i="16"/>
  <c r="AP29" i="16" s="1"/>
  <c r="AW29" i="16"/>
  <c r="AX29" i="16"/>
  <c r="AY29" i="16"/>
  <c r="AZ29" i="16"/>
  <c r="BA29" i="16"/>
  <c r="BB29" i="16"/>
  <c r="BC29" i="16"/>
  <c r="BD29" i="16"/>
  <c r="BE29" i="16"/>
  <c r="R30" i="16"/>
  <c r="AJ30" i="16" s="1"/>
  <c r="U30" i="16"/>
  <c r="AP30" i="16" s="1"/>
  <c r="AW30" i="16"/>
  <c r="AX30" i="16"/>
  <c r="AY30" i="16"/>
  <c r="AZ30" i="16"/>
  <c r="BA30" i="16"/>
  <c r="BB30" i="16"/>
  <c r="BC30" i="16"/>
  <c r="BD30" i="16"/>
  <c r="BE30" i="16"/>
  <c r="R31" i="16"/>
  <c r="AJ31" i="16" s="1"/>
  <c r="U31" i="16"/>
  <c r="AP31" i="16" s="1"/>
  <c r="AW31" i="16"/>
  <c r="AX31" i="16"/>
  <c r="AY31" i="16"/>
  <c r="AZ31" i="16"/>
  <c r="BA31" i="16"/>
  <c r="BB31" i="16"/>
  <c r="BC31" i="16"/>
  <c r="BD31" i="16"/>
  <c r="BE31" i="16"/>
  <c r="R32" i="16"/>
  <c r="AJ32" i="16" s="1"/>
  <c r="U32" i="16"/>
  <c r="AP32" i="16" s="1"/>
  <c r="AW32" i="16"/>
  <c r="AX32" i="16"/>
  <c r="AY32" i="16"/>
  <c r="AZ32" i="16"/>
  <c r="BA32" i="16"/>
  <c r="BB32" i="16"/>
  <c r="BC32" i="16"/>
  <c r="BD32" i="16"/>
  <c r="BE32" i="16"/>
  <c r="R33" i="16"/>
  <c r="AJ33" i="16" s="1"/>
  <c r="U33" i="16"/>
  <c r="AP33" i="16" s="1"/>
  <c r="AW33" i="16"/>
  <c r="AX33" i="16"/>
  <c r="AY33" i="16"/>
  <c r="AZ33" i="16"/>
  <c r="BA33" i="16"/>
  <c r="BB33" i="16"/>
  <c r="BC33" i="16"/>
  <c r="BD33" i="16"/>
  <c r="BE33" i="16"/>
  <c r="R34" i="16"/>
  <c r="AJ34" i="16" s="1"/>
  <c r="U34" i="16"/>
  <c r="AP34" i="16" s="1"/>
  <c r="AW34" i="16"/>
  <c r="AX34" i="16"/>
  <c r="AY34" i="16"/>
  <c r="AZ34" i="16"/>
  <c r="BA34" i="16"/>
  <c r="BB34" i="16"/>
  <c r="BC34" i="16"/>
  <c r="BD34" i="16"/>
  <c r="BE34" i="16"/>
  <c r="R35" i="16"/>
  <c r="AJ35" i="16" s="1"/>
  <c r="U35" i="16"/>
  <c r="AP35" i="16" s="1"/>
  <c r="AW35" i="16"/>
  <c r="AX35" i="16"/>
  <c r="AY35" i="16"/>
  <c r="AZ35" i="16"/>
  <c r="BA35" i="16"/>
  <c r="BB35" i="16"/>
  <c r="BC35" i="16"/>
  <c r="BD35" i="16"/>
  <c r="BE35" i="16"/>
  <c r="R36" i="16"/>
  <c r="AJ36" i="16" s="1"/>
  <c r="U36" i="16"/>
  <c r="AP36" i="16" s="1"/>
  <c r="AW36" i="16"/>
  <c r="AX36" i="16"/>
  <c r="AY36" i="16"/>
  <c r="AZ36" i="16"/>
  <c r="BA36" i="16"/>
  <c r="BB36" i="16"/>
  <c r="BC36" i="16"/>
  <c r="BD36" i="16"/>
  <c r="BE36" i="16"/>
  <c r="R37" i="16"/>
  <c r="AJ37" i="16" s="1"/>
  <c r="U37" i="16"/>
  <c r="AP37" i="16" s="1"/>
  <c r="AW37" i="16"/>
  <c r="AX37" i="16"/>
  <c r="AY37" i="16"/>
  <c r="AZ37" i="16"/>
  <c r="BA37" i="16"/>
  <c r="BB37" i="16"/>
  <c r="BC37" i="16"/>
  <c r="BD37" i="16"/>
  <c r="BE37" i="16"/>
  <c r="R38" i="16"/>
  <c r="AJ38" i="16" s="1"/>
  <c r="U38" i="16"/>
  <c r="AP38" i="16" s="1"/>
  <c r="AW38" i="16"/>
  <c r="AX38" i="16"/>
  <c r="AY38" i="16"/>
  <c r="AZ38" i="16"/>
  <c r="BA38" i="16"/>
  <c r="BB38" i="16"/>
  <c r="BC38" i="16"/>
  <c r="BD38" i="16"/>
  <c r="BE38" i="16"/>
  <c r="R39" i="16"/>
  <c r="AJ39" i="16" s="1"/>
  <c r="U39" i="16"/>
  <c r="AP39" i="16" s="1"/>
  <c r="AW39" i="16"/>
  <c r="AX39" i="16"/>
  <c r="AY39" i="16"/>
  <c r="AZ39" i="16"/>
  <c r="BA39" i="16"/>
  <c r="BB39" i="16"/>
  <c r="BC39" i="16"/>
  <c r="BD39" i="16"/>
  <c r="BE39" i="16"/>
  <c r="R40" i="16"/>
  <c r="AJ40" i="16" s="1"/>
  <c r="U40" i="16"/>
  <c r="AP40" i="16"/>
  <c r="AW40" i="16"/>
  <c r="AX40" i="16"/>
  <c r="AY40" i="16"/>
  <c r="AZ40" i="16"/>
  <c r="BA40" i="16"/>
  <c r="BB40" i="16"/>
  <c r="BC40" i="16"/>
  <c r="BD40" i="16"/>
  <c r="BE40" i="16"/>
  <c r="R41" i="16"/>
  <c r="AJ41" i="16" s="1"/>
  <c r="U41" i="16"/>
  <c r="AP41" i="16" s="1"/>
  <c r="AW41" i="16"/>
  <c r="AX41" i="16"/>
  <c r="AY41" i="16"/>
  <c r="AZ41" i="16"/>
  <c r="BA41" i="16"/>
  <c r="BB41" i="16"/>
  <c r="BC41" i="16"/>
  <c r="BD41" i="16"/>
  <c r="BE41" i="16"/>
  <c r="R42" i="16"/>
  <c r="AJ42" i="16" s="1"/>
  <c r="U42" i="16"/>
  <c r="AP42" i="16" s="1"/>
  <c r="AW42" i="16"/>
  <c r="AX42" i="16"/>
  <c r="AY42" i="16"/>
  <c r="AZ42" i="16"/>
  <c r="BA42" i="16"/>
  <c r="BB42" i="16"/>
  <c r="BC42" i="16"/>
  <c r="BD42" i="16"/>
  <c r="BE42" i="16"/>
  <c r="R43" i="16"/>
  <c r="AJ43" i="16" s="1"/>
  <c r="U43" i="16"/>
  <c r="AP43" i="16"/>
  <c r="AW43" i="16"/>
  <c r="AX43" i="16"/>
  <c r="AY43" i="16"/>
  <c r="AZ43" i="16"/>
  <c r="BA43" i="16"/>
  <c r="BB43" i="16"/>
  <c r="BC43" i="16"/>
  <c r="BD43" i="16"/>
  <c r="BE43" i="16"/>
  <c r="R44" i="16"/>
  <c r="AJ44" i="16" s="1"/>
  <c r="U44" i="16"/>
  <c r="AP44" i="16" s="1"/>
  <c r="AW44" i="16"/>
  <c r="AX44" i="16"/>
  <c r="AY44" i="16"/>
  <c r="AZ44" i="16"/>
  <c r="BA44" i="16"/>
  <c r="BB44" i="16"/>
  <c r="BC44" i="16"/>
  <c r="BD44" i="16"/>
  <c r="BE44" i="16"/>
  <c r="R45" i="16"/>
  <c r="AJ45" i="16" s="1"/>
  <c r="U45" i="16"/>
  <c r="AP45" i="16"/>
  <c r="AW45" i="16"/>
  <c r="AX45" i="16"/>
  <c r="AY45" i="16"/>
  <c r="AZ45" i="16"/>
  <c r="BA45" i="16"/>
  <c r="BB45" i="16"/>
  <c r="BC45" i="16"/>
  <c r="BD45" i="16"/>
  <c r="BE45" i="16"/>
  <c r="R46" i="16"/>
  <c r="AJ46" i="16" s="1"/>
  <c r="U46" i="16"/>
  <c r="AP46" i="16" s="1"/>
  <c r="AW46" i="16"/>
  <c r="AX46" i="16"/>
  <c r="AY46" i="16"/>
  <c r="AZ46" i="16"/>
  <c r="BA46" i="16"/>
  <c r="BB46" i="16"/>
  <c r="BC46" i="16"/>
  <c r="BD46" i="16"/>
  <c r="BE46" i="16"/>
  <c r="R47" i="16"/>
  <c r="AJ47" i="16" s="1"/>
  <c r="U47" i="16"/>
  <c r="AP47" i="16" s="1"/>
  <c r="AW47" i="16"/>
  <c r="AX47" i="16"/>
  <c r="AY47" i="16"/>
  <c r="AZ47" i="16"/>
  <c r="BA47" i="16"/>
  <c r="BB47" i="16"/>
  <c r="BC47" i="16"/>
  <c r="BD47" i="16"/>
  <c r="BE47" i="16"/>
  <c r="R48" i="16"/>
  <c r="AJ48" i="16" s="1"/>
  <c r="U48" i="16"/>
  <c r="AP48" i="16" s="1"/>
  <c r="AW48" i="16"/>
  <c r="AX48" i="16"/>
  <c r="AY48" i="16"/>
  <c r="AZ48" i="16"/>
  <c r="BA48" i="16"/>
  <c r="BB48" i="16"/>
  <c r="BC48" i="16"/>
  <c r="BD48" i="16"/>
  <c r="BE48" i="16"/>
  <c r="R49" i="16"/>
  <c r="AJ49" i="16" s="1"/>
  <c r="U49" i="16"/>
  <c r="AP49" i="16" s="1"/>
  <c r="AW49" i="16"/>
  <c r="AX49" i="16"/>
  <c r="AY49" i="16"/>
  <c r="AZ49" i="16"/>
  <c r="BA49" i="16"/>
  <c r="BB49" i="16"/>
  <c r="BC49" i="16"/>
  <c r="BD49" i="16"/>
  <c r="BE49" i="16"/>
  <c r="R50" i="16"/>
  <c r="AJ50" i="16" s="1"/>
  <c r="U50" i="16"/>
  <c r="AP50" i="16"/>
  <c r="AW50" i="16"/>
  <c r="AX50" i="16"/>
  <c r="AY50" i="16"/>
  <c r="AZ50" i="16"/>
  <c r="BA50" i="16"/>
  <c r="BB50" i="16"/>
  <c r="BC50" i="16"/>
  <c r="BD50" i="16"/>
  <c r="BE50" i="16"/>
  <c r="R51" i="16"/>
  <c r="AJ51" i="16" s="1"/>
  <c r="U51" i="16"/>
  <c r="AP51" i="16" s="1"/>
  <c r="AW51" i="16"/>
  <c r="AX51" i="16"/>
  <c r="AY51" i="16"/>
  <c r="AZ51" i="16"/>
  <c r="BA51" i="16"/>
  <c r="BB51" i="16"/>
  <c r="BC51" i="16"/>
  <c r="BD51" i="16"/>
  <c r="BE51" i="16"/>
  <c r="R52" i="16"/>
  <c r="AJ52" i="16" s="1"/>
  <c r="U52" i="16"/>
  <c r="AP52" i="16" s="1"/>
  <c r="AW52" i="16"/>
  <c r="AX52" i="16"/>
  <c r="AY52" i="16"/>
  <c r="AZ52" i="16"/>
  <c r="BA52" i="16"/>
  <c r="BB52" i="16"/>
  <c r="BC52" i="16"/>
  <c r="BD52" i="16"/>
  <c r="BE52" i="16"/>
  <c r="R53" i="16"/>
  <c r="AJ53" i="16" s="1"/>
  <c r="U53" i="16"/>
  <c r="AP53" i="16" s="1"/>
  <c r="AW53" i="16"/>
  <c r="AX53" i="16"/>
  <c r="AY53" i="16"/>
  <c r="AZ53" i="16"/>
  <c r="BA53" i="16"/>
  <c r="BB53" i="16"/>
  <c r="BC53" i="16"/>
  <c r="BD53" i="16"/>
  <c r="BE53" i="16"/>
  <c r="R54" i="16"/>
  <c r="AJ54" i="16" s="1"/>
  <c r="U54" i="16"/>
  <c r="AP54" i="16" s="1"/>
  <c r="AW54" i="16"/>
  <c r="AX54" i="16"/>
  <c r="AY54" i="16"/>
  <c r="AZ54" i="16"/>
  <c r="BA54" i="16"/>
  <c r="BB54" i="16"/>
  <c r="BC54" i="16"/>
  <c r="BD54" i="16"/>
  <c r="BE54" i="16"/>
  <c r="R55" i="16"/>
  <c r="U55" i="16"/>
  <c r="AP55" i="16" s="1"/>
  <c r="AJ55" i="16"/>
  <c r="AW55" i="16"/>
  <c r="AX55" i="16"/>
  <c r="AY55" i="16"/>
  <c r="AZ55" i="16"/>
  <c r="BA55" i="16"/>
  <c r="BB55" i="16"/>
  <c r="BC55" i="16"/>
  <c r="BD55" i="16"/>
  <c r="BE55" i="16"/>
  <c r="R56" i="16"/>
  <c r="AJ56" i="16" s="1"/>
  <c r="U56" i="16"/>
  <c r="AP56" i="16" s="1"/>
  <c r="AW56" i="16"/>
  <c r="AX56" i="16"/>
  <c r="AY56" i="16"/>
  <c r="AZ56" i="16"/>
  <c r="BA56" i="16"/>
  <c r="BB56" i="16"/>
  <c r="BC56" i="16"/>
  <c r="BD56" i="16"/>
  <c r="BE56" i="16"/>
  <c r="R57" i="16"/>
  <c r="AJ57" i="16" s="1"/>
  <c r="U57" i="16"/>
  <c r="AP57" i="16" s="1"/>
  <c r="AW57" i="16"/>
  <c r="AX57" i="16"/>
  <c r="AY57" i="16"/>
  <c r="AZ57" i="16"/>
  <c r="BA57" i="16"/>
  <c r="BB57" i="16"/>
  <c r="BC57" i="16"/>
  <c r="BD57" i="16"/>
  <c r="BE57" i="16"/>
  <c r="R58" i="16"/>
  <c r="AJ58" i="16" s="1"/>
  <c r="U58" i="16"/>
  <c r="AP58" i="16" s="1"/>
  <c r="AW58" i="16"/>
  <c r="AX58" i="16"/>
  <c r="AY58" i="16"/>
  <c r="AZ58" i="16"/>
  <c r="BA58" i="16"/>
  <c r="BB58" i="16"/>
  <c r="BC58" i="16"/>
  <c r="BD58" i="16"/>
  <c r="BE58" i="16"/>
  <c r="R59" i="16"/>
  <c r="AJ59" i="16" s="1"/>
  <c r="U59" i="16"/>
  <c r="AP59" i="16" s="1"/>
  <c r="AW59" i="16"/>
  <c r="AX59" i="16"/>
  <c r="AY59" i="16"/>
  <c r="AZ59" i="16"/>
  <c r="BA59" i="16"/>
  <c r="BB59" i="16"/>
  <c r="BC59" i="16"/>
  <c r="BD59" i="16"/>
  <c r="BE59" i="16"/>
  <c r="R60" i="16"/>
  <c r="AJ60" i="16" s="1"/>
  <c r="U60" i="16"/>
  <c r="AP60" i="16" s="1"/>
  <c r="AW60" i="16"/>
  <c r="AX60" i="16"/>
  <c r="AY60" i="16"/>
  <c r="AZ60" i="16"/>
  <c r="BA60" i="16"/>
  <c r="BB60" i="16"/>
  <c r="BC60" i="16"/>
  <c r="BD60" i="16"/>
  <c r="BE60" i="16"/>
  <c r="R61" i="16"/>
  <c r="AJ61" i="16" s="1"/>
  <c r="U61" i="16"/>
  <c r="AP61" i="16" s="1"/>
  <c r="AW61" i="16"/>
  <c r="AX61" i="16"/>
  <c r="AY61" i="16"/>
  <c r="AZ61" i="16"/>
  <c r="BA61" i="16"/>
  <c r="BB61" i="16"/>
  <c r="BC61" i="16"/>
  <c r="BD61" i="16"/>
  <c r="BE61" i="16"/>
  <c r="R62" i="16"/>
  <c r="AJ62" i="16" s="1"/>
  <c r="U62" i="16"/>
  <c r="AP62" i="16" s="1"/>
  <c r="AW62" i="16"/>
  <c r="AX62" i="16"/>
  <c r="AY62" i="16"/>
  <c r="AZ62" i="16"/>
  <c r="BA62" i="16"/>
  <c r="BB62" i="16"/>
  <c r="BC62" i="16"/>
  <c r="BD62" i="16"/>
  <c r="BE62" i="16"/>
  <c r="R63" i="16"/>
  <c r="AJ63" i="16" s="1"/>
  <c r="U63" i="16"/>
  <c r="AP63" i="16" s="1"/>
  <c r="AW63" i="16"/>
  <c r="AX63" i="16"/>
  <c r="AY63" i="16"/>
  <c r="AZ63" i="16"/>
  <c r="BA63" i="16"/>
  <c r="BB63" i="16"/>
  <c r="BC63" i="16"/>
  <c r="BD63" i="16"/>
  <c r="BE63" i="16"/>
  <c r="R64" i="16"/>
  <c r="AJ64" i="16" s="1"/>
  <c r="U64" i="16"/>
  <c r="AP64" i="16"/>
  <c r="AW64" i="16"/>
  <c r="AX64" i="16"/>
  <c r="AY64" i="16"/>
  <c r="AZ64" i="16"/>
  <c r="BA64" i="16"/>
  <c r="BB64" i="16"/>
  <c r="BC64" i="16"/>
  <c r="BD64" i="16"/>
  <c r="BE64" i="16"/>
  <c r="R65" i="16"/>
  <c r="AJ65" i="16" s="1"/>
  <c r="U65" i="16"/>
  <c r="AP65" i="16" s="1"/>
  <c r="AW65" i="16"/>
  <c r="AX65" i="16"/>
  <c r="AY65" i="16"/>
  <c r="AZ65" i="16"/>
  <c r="BA65" i="16"/>
  <c r="BB65" i="16"/>
  <c r="BC65" i="16"/>
  <c r="BD65" i="16"/>
  <c r="BE65" i="16"/>
  <c r="R66" i="16"/>
  <c r="AJ66" i="16" s="1"/>
  <c r="U66" i="16"/>
  <c r="AP66" i="16" s="1"/>
  <c r="AW66" i="16"/>
  <c r="AX66" i="16"/>
  <c r="AY66" i="16"/>
  <c r="AZ66" i="16"/>
  <c r="BA66" i="16"/>
  <c r="BB66" i="16"/>
  <c r="BC66" i="16"/>
  <c r="BD66" i="16"/>
  <c r="BE66" i="16"/>
  <c r="R67" i="16"/>
  <c r="AJ67" i="16" s="1"/>
  <c r="U67" i="16"/>
  <c r="AP67" i="16" s="1"/>
  <c r="AW67" i="16"/>
  <c r="AX67" i="16"/>
  <c r="AY67" i="16"/>
  <c r="AZ67" i="16"/>
  <c r="BA67" i="16"/>
  <c r="BB67" i="16"/>
  <c r="BC67" i="16"/>
  <c r="BD67" i="16"/>
  <c r="BE67" i="16"/>
  <c r="R68" i="16"/>
  <c r="AJ68" i="16" s="1"/>
  <c r="U68" i="16"/>
  <c r="AP68" i="16"/>
  <c r="AW68" i="16"/>
  <c r="AX68" i="16"/>
  <c r="AY68" i="16"/>
  <c r="AZ68" i="16"/>
  <c r="BA68" i="16"/>
  <c r="BB68" i="16"/>
  <c r="BC68" i="16"/>
  <c r="BD68" i="16"/>
  <c r="BE68" i="16"/>
  <c r="R69" i="16"/>
  <c r="AJ69" i="16" s="1"/>
  <c r="U69" i="16"/>
  <c r="AP69" i="16" s="1"/>
  <c r="AW69" i="16"/>
  <c r="AX69" i="16"/>
  <c r="AY69" i="16"/>
  <c r="AZ69" i="16"/>
  <c r="BA69" i="16"/>
  <c r="BB69" i="16"/>
  <c r="BC69" i="16"/>
  <c r="BD69" i="16"/>
  <c r="BE69" i="16"/>
  <c r="R70" i="16"/>
  <c r="AJ70" i="16" s="1"/>
  <c r="U70" i="16"/>
  <c r="AP70" i="16" s="1"/>
  <c r="AW70" i="16"/>
  <c r="AX70" i="16"/>
  <c r="AY70" i="16"/>
  <c r="AZ70" i="16"/>
  <c r="BA70" i="16"/>
  <c r="BB70" i="16"/>
  <c r="BC70" i="16"/>
  <c r="BD70" i="16"/>
  <c r="BE70" i="16"/>
  <c r="R71" i="16"/>
  <c r="AJ71" i="16" s="1"/>
  <c r="U71" i="16"/>
  <c r="AP71" i="16" s="1"/>
  <c r="AW71" i="16"/>
  <c r="AX71" i="16"/>
  <c r="AY71" i="16"/>
  <c r="AZ71" i="16"/>
  <c r="BA71" i="16"/>
  <c r="BB71" i="16"/>
  <c r="BC71" i="16"/>
  <c r="BD71" i="16"/>
  <c r="BE71" i="16"/>
  <c r="R72" i="16"/>
  <c r="AJ72" i="16" s="1"/>
  <c r="U72" i="16"/>
  <c r="AP72" i="16" s="1"/>
  <c r="AW72" i="16"/>
  <c r="AX72" i="16"/>
  <c r="AY72" i="16"/>
  <c r="AZ72" i="16"/>
  <c r="BA72" i="16"/>
  <c r="BB72" i="16"/>
  <c r="BC72" i="16"/>
  <c r="BD72" i="16"/>
  <c r="BE72" i="16"/>
  <c r="G73" i="16"/>
  <c r="L73" i="16"/>
  <c r="O73" i="16"/>
  <c r="AU73" i="16" s="1"/>
  <c r="R73" i="16"/>
  <c r="AJ73" i="16" s="1"/>
  <c r="U73" i="16"/>
  <c r="AP73" i="16" s="1"/>
  <c r="AW73" i="16"/>
  <c r="AX73" i="16"/>
  <c r="AY73" i="16"/>
  <c r="AZ73" i="16"/>
  <c r="BA73" i="16"/>
  <c r="BB73" i="16"/>
  <c r="BC73" i="16"/>
  <c r="BD73" i="16"/>
  <c r="BE73" i="16"/>
  <c r="G74" i="16"/>
  <c r="L74" i="16"/>
  <c r="M74" i="16"/>
  <c r="O74" i="16"/>
  <c r="AU74" i="16" s="1"/>
  <c r="R74" i="16"/>
  <c r="AJ74" i="16" s="1"/>
  <c r="U74" i="16"/>
  <c r="AP74" i="16" s="1"/>
  <c r="AW74" i="16"/>
  <c r="AX74" i="16"/>
  <c r="AY74" i="16"/>
  <c r="AZ74" i="16"/>
  <c r="BA74" i="16"/>
  <c r="BB74" i="16"/>
  <c r="BC74" i="16"/>
  <c r="BD74" i="16"/>
  <c r="BE74" i="16"/>
  <c r="G75" i="16"/>
  <c r="L75" i="16"/>
  <c r="M75" i="16"/>
  <c r="O75" i="16"/>
  <c r="AU75" i="16" s="1"/>
  <c r="R75" i="16"/>
  <c r="AJ75" i="16" s="1"/>
  <c r="U75" i="16"/>
  <c r="AP75" i="16" s="1"/>
  <c r="AW75" i="16"/>
  <c r="AX75" i="16"/>
  <c r="AY75" i="16"/>
  <c r="AZ75" i="16"/>
  <c r="BA75" i="16"/>
  <c r="BB75" i="16"/>
  <c r="BC75" i="16"/>
  <c r="BD75" i="16"/>
  <c r="BE75" i="16"/>
  <c r="G76" i="16"/>
  <c r="H76" i="16"/>
  <c r="AC76" i="16" s="1"/>
  <c r="L76" i="16"/>
  <c r="M76" i="16"/>
  <c r="O76" i="16"/>
  <c r="R76" i="16"/>
  <c r="AJ76" i="16" s="1"/>
  <c r="U76" i="16"/>
  <c r="AP76" i="16" s="1"/>
  <c r="AW76" i="16"/>
  <c r="AX76" i="16"/>
  <c r="AY76" i="16"/>
  <c r="AZ76" i="16"/>
  <c r="BA76" i="16"/>
  <c r="BB76" i="16"/>
  <c r="BC76" i="16"/>
  <c r="BD76" i="16"/>
  <c r="BE76" i="16"/>
  <c r="G77" i="16"/>
  <c r="L77" i="16"/>
  <c r="M77" i="16"/>
  <c r="O77" i="16"/>
  <c r="AU77" i="16" s="1"/>
  <c r="R77" i="16"/>
  <c r="AJ77" i="16" s="1"/>
  <c r="U77" i="16"/>
  <c r="AP77" i="16" s="1"/>
  <c r="AW77" i="16"/>
  <c r="AX77" i="16"/>
  <c r="AY77" i="16"/>
  <c r="AZ77" i="16"/>
  <c r="BA77" i="16"/>
  <c r="BB77" i="16"/>
  <c r="BC77" i="16"/>
  <c r="BD77" i="16"/>
  <c r="BE77" i="16"/>
  <c r="G78" i="16"/>
  <c r="L78" i="16"/>
  <c r="M78" i="16"/>
  <c r="O78" i="16"/>
  <c r="AU78" i="16" s="1"/>
  <c r="R78" i="16"/>
  <c r="AJ78" i="16" s="1"/>
  <c r="U78" i="16"/>
  <c r="AP78" i="16" s="1"/>
  <c r="AW78" i="16"/>
  <c r="AX78" i="16"/>
  <c r="AY78" i="16"/>
  <c r="AZ78" i="16"/>
  <c r="BA78" i="16"/>
  <c r="BB78" i="16"/>
  <c r="BC78" i="16"/>
  <c r="BD78" i="16"/>
  <c r="BE78" i="16"/>
  <c r="G79" i="16"/>
  <c r="L79" i="16"/>
  <c r="O79" i="16"/>
  <c r="AU79" i="16" s="1"/>
  <c r="R79" i="16"/>
  <c r="U79" i="16"/>
  <c r="AP79" i="16" s="1"/>
  <c r="AJ79" i="16"/>
  <c r="AW79" i="16"/>
  <c r="AX79" i="16"/>
  <c r="AY79" i="16"/>
  <c r="AZ79" i="16"/>
  <c r="BA79" i="16"/>
  <c r="BB79" i="16"/>
  <c r="BC79" i="16"/>
  <c r="BD79" i="16"/>
  <c r="BE79" i="16"/>
  <c r="R80" i="16"/>
  <c r="AJ80" i="16" s="1"/>
  <c r="U80" i="16"/>
  <c r="AP80" i="16" s="1"/>
  <c r="AW80" i="16"/>
  <c r="AX80" i="16"/>
  <c r="AY80" i="16"/>
  <c r="AZ80" i="16"/>
  <c r="BA80" i="16"/>
  <c r="BB80" i="16"/>
  <c r="BC80" i="16"/>
  <c r="BD80" i="16"/>
  <c r="BE80" i="16"/>
  <c r="Z81" i="16"/>
  <c r="AA81" i="16"/>
  <c r="AB81" i="16"/>
  <c r="AC81" i="16"/>
  <c r="AD81" i="16"/>
  <c r="BI81" i="16" s="1"/>
  <c r="AE81" i="16"/>
  <c r="BJ81" i="16" s="1"/>
  <c r="AF81" i="16"/>
  <c r="AH81" i="16"/>
  <c r="AI81" i="16"/>
  <c r="AJ81" i="16"/>
  <c r="AK81" i="16"/>
  <c r="AL81" i="16"/>
  <c r="AM81" i="16"/>
  <c r="AN81" i="16"/>
  <c r="AO81" i="16"/>
  <c r="AP81" i="16"/>
  <c r="AQ81" i="16"/>
  <c r="AT81" i="16"/>
  <c r="AU81" i="16"/>
  <c r="AV81" i="16"/>
  <c r="AW81" i="16"/>
  <c r="AX81" i="16"/>
  <c r="AY81" i="16"/>
  <c r="AZ81" i="16"/>
  <c r="BA81" i="16"/>
  <c r="BB81" i="16"/>
  <c r="BC81" i="16"/>
  <c r="BD81" i="16"/>
  <c r="BE81" i="16"/>
  <c r="E84" i="16"/>
  <c r="F90" i="16"/>
  <c r="G90" i="16"/>
  <c r="H90" i="16"/>
  <c r="K90" i="16"/>
  <c r="L90" i="16" s="1"/>
  <c r="N90" i="16"/>
  <c r="O90" i="16"/>
  <c r="Q90" i="16"/>
  <c r="B27" i="15"/>
  <c r="H20" i="15"/>
  <c r="F20" i="15"/>
  <c r="J20" i="15" s="1"/>
  <c r="H18" i="15"/>
  <c r="H10" i="15"/>
  <c r="H12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" i="15"/>
  <c r="BH51" i="16" l="1"/>
  <c r="S53" i="17"/>
  <c r="M34" i="17"/>
  <c r="J27" i="17"/>
  <c r="P19" i="17"/>
  <c r="M39" i="17"/>
  <c r="G33" i="17"/>
  <c r="S76" i="17"/>
  <c r="S49" i="17"/>
  <c r="P76" i="17"/>
  <c r="P49" i="17"/>
  <c r="J55" i="17"/>
  <c r="M49" i="17"/>
  <c r="BH77" i="16"/>
  <c r="P69" i="17"/>
  <c r="S60" i="17"/>
  <c r="G55" i="17"/>
  <c r="J49" i="17"/>
  <c r="S35" i="17"/>
  <c r="M74" i="17"/>
  <c r="G69" i="17"/>
  <c r="P60" i="17"/>
  <c r="M35" i="17"/>
  <c r="J74" i="17"/>
  <c r="H74" i="16" s="1"/>
  <c r="G54" i="17"/>
  <c r="G74" i="17"/>
  <c r="BH34" i="16"/>
  <c r="BH45" i="16"/>
  <c r="BH16" i="16"/>
  <c r="BH61" i="16"/>
  <c r="BH56" i="16"/>
  <c r="BH39" i="16"/>
  <c r="BH66" i="16"/>
  <c r="BH60" i="16"/>
  <c r="BH67" i="16"/>
  <c r="BH55" i="16"/>
  <c r="BH72" i="16"/>
  <c r="BH49" i="16"/>
  <c r="BH23" i="16"/>
  <c r="BH44" i="16"/>
  <c r="BH32" i="16"/>
  <c r="BH50" i="16"/>
  <c r="BH47" i="16"/>
  <c r="BH41" i="16"/>
  <c r="BH26" i="16"/>
  <c r="BH68" i="16"/>
  <c r="BH15" i="16"/>
  <c r="BH30" i="16"/>
  <c r="BH31" i="16"/>
  <c r="BH46" i="16"/>
  <c r="BH64" i="16"/>
  <c r="BH35" i="16"/>
  <c r="G52" i="17"/>
  <c r="S15" i="17"/>
  <c r="S37" i="17"/>
  <c r="M22" i="17"/>
  <c r="P15" i="17"/>
  <c r="P56" i="17"/>
  <c r="P79" i="17"/>
  <c r="S64" i="17"/>
  <c r="M56" i="17"/>
  <c r="M60" i="17"/>
  <c r="P50" i="17"/>
  <c r="P29" i="17"/>
  <c r="J60" i="17"/>
  <c r="M50" i="17"/>
  <c r="M29" i="17"/>
  <c r="J39" i="17"/>
  <c r="P71" i="17"/>
  <c r="P64" i="17"/>
  <c r="G58" i="17"/>
  <c r="G44" i="17"/>
  <c r="M15" i="17"/>
  <c r="M64" i="17"/>
  <c r="J32" i="17"/>
  <c r="S26" i="17"/>
  <c r="J15" i="17"/>
  <c r="M57" i="17"/>
  <c r="P53" i="17"/>
  <c r="S43" i="17"/>
  <c r="M53" i="17"/>
  <c r="M48" i="17"/>
  <c r="P43" i="17"/>
  <c r="P36" i="17"/>
  <c r="M31" i="17"/>
  <c r="S18" i="17"/>
  <c r="S69" i="17"/>
  <c r="J48" i="17"/>
  <c r="M43" i="17"/>
  <c r="M36" i="17"/>
  <c r="J31" i="17"/>
  <c r="M24" i="17"/>
  <c r="P18" i="17"/>
  <c r="M75" i="17"/>
  <c r="P40" i="17"/>
  <c r="P25" i="17"/>
  <c r="J75" i="17"/>
  <c r="H75" i="16" s="1"/>
  <c r="AC75" i="16" s="1"/>
  <c r="S61" i="17"/>
  <c r="S44" i="17"/>
  <c r="J40" i="17"/>
  <c r="M25" i="17"/>
  <c r="G75" i="17"/>
  <c r="P61" i="17"/>
  <c r="G40" i="17"/>
  <c r="S32" i="17"/>
  <c r="J25" i="17"/>
  <c r="J61" i="17"/>
  <c r="S57" i="17"/>
  <c r="S54" i="17"/>
  <c r="P32" i="17"/>
  <c r="S28" i="17"/>
  <c r="P74" i="17"/>
  <c r="G61" i="17"/>
  <c r="P57" i="17"/>
  <c r="P54" i="17"/>
  <c r="S50" i="17"/>
  <c r="P47" i="17"/>
  <c r="S39" i="17"/>
  <c r="P35" i="17"/>
  <c r="M32" i="17"/>
  <c r="P24" i="17"/>
  <c r="S19" i="17"/>
  <c r="S68" i="17"/>
  <c r="G76" i="17"/>
  <c r="P68" i="17"/>
  <c r="G64" i="17"/>
  <c r="J53" i="17"/>
  <c r="M46" i="17"/>
  <c r="P42" i="17"/>
  <c r="P26" i="17"/>
  <c r="M18" i="17"/>
  <c r="P72" i="17"/>
  <c r="M68" i="17"/>
  <c r="J46" i="17"/>
  <c r="S33" i="17"/>
  <c r="G26" i="17"/>
  <c r="J18" i="17"/>
  <c r="S75" i="17"/>
  <c r="J68" i="17"/>
  <c r="M52" i="17"/>
  <c r="P33" i="17"/>
  <c r="S22" i="17"/>
  <c r="J52" i="17"/>
  <c r="S40" i="17"/>
  <c r="S36" i="17"/>
  <c r="J33" i="17"/>
  <c r="S29" i="17"/>
  <c r="S25" i="17"/>
  <c r="P22" i="17"/>
  <c r="M17" i="17"/>
  <c r="G67" i="17"/>
  <c r="S67" i="17"/>
  <c r="M67" i="17"/>
  <c r="P67" i="17"/>
  <c r="J67" i="17"/>
  <c r="S38" i="17"/>
  <c r="G38" i="17"/>
  <c r="J38" i="17"/>
  <c r="M38" i="17"/>
  <c r="P38" i="17"/>
  <c r="S45" i="17"/>
  <c r="M45" i="17"/>
  <c r="P45" i="17"/>
  <c r="J45" i="17"/>
  <c r="P20" i="17"/>
  <c r="S20" i="17"/>
  <c r="G20" i="17"/>
  <c r="J20" i="17"/>
  <c r="M20" i="17"/>
  <c r="P77" i="17"/>
  <c r="S77" i="17"/>
  <c r="G77" i="17"/>
  <c r="J77" i="17"/>
  <c r="H77" i="16" s="1"/>
  <c r="AC77" i="16" s="1"/>
  <c r="M77" i="17"/>
  <c r="G63" i="17"/>
  <c r="P63" i="17"/>
  <c r="J63" i="17"/>
  <c r="M63" i="17"/>
  <c r="S59" i="17"/>
  <c r="M59" i="17"/>
  <c r="P59" i="17"/>
  <c r="G59" i="17"/>
  <c r="M80" i="17"/>
  <c r="P80" i="17"/>
  <c r="G80" i="17"/>
  <c r="J80" i="17"/>
  <c r="M78" i="17"/>
  <c r="G78" i="17"/>
  <c r="J78" i="17"/>
  <c r="H78" i="16" s="1"/>
  <c r="AC78" i="16" s="1"/>
  <c r="S78" i="17"/>
  <c r="M51" i="17"/>
  <c r="P51" i="17"/>
  <c r="G51" i="17"/>
  <c r="S51" i="17"/>
  <c r="P62" i="17"/>
  <c r="S62" i="17"/>
  <c r="M62" i="17"/>
  <c r="J62" i="17"/>
  <c r="Y9" i="17"/>
  <c r="J66" i="17"/>
  <c r="P66" i="17"/>
  <c r="M66" i="17"/>
  <c r="G66" i="17"/>
  <c r="P27" i="17"/>
  <c r="S27" i="17"/>
  <c r="G27" i="17"/>
  <c r="G21" i="17"/>
  <c r="J21" i="17"/>
  <c r="P21" i="17"/>
  <c r="S21" i="17"/>
  <c r="M21" i="17"/>
  <c r="P41" i="17"/>
  <c r="S41" i="17"/>
  <c r="J41" i="17"/>
  <c r="M41" i="17"/>
  <c r="G28" i="17"/>
  <c r="J28" i="17"/>
  <c r="M37" i="17"/>
  <c r="P37" i="17"/>
  <c r="J37" i="17"/>
  <c r="G14" i="17"/>
  <c r="D83" i="17"/>
  <c r="AF14" i="17"/>
  <c r="M14" i="17"/>
  <c r="S14" i="17"/>
  <c r="AG81" i="17"/>
  <c r="G79" i="17"/>
  <c r="J79" i="17"/>
  <c r="H79" i="16" s="1"/>
  <c r="AC79" i="16" s="1"/>
  <c r="S79" i="17"/>
  <c r="G42" i="17"/>
  <c r="J42" i="17"/>
  <c r="M30" i="17"/>
  <c r="P30" i="17"/>
  <c r="S30" i="17"/>
  <c r="J30" i="17"/>
  <c r="M16" i="17"/>
  <c r="P16" i="17"/>
  <c r="S16" i="17"/>
  <c r="J16" i="17"/>
  <c r="J73" i="17"/>
  <c r="H73" i="16" s="1"/>
  <c r="AC73" i="16" s="1"/>
  <c r="J71" i="17"/>
  <c r="M28" i="17"/>
  <c r="G72" i="17"/>
  <c r="J72" i="17"/>
  <c r="S72" i="17"/>
  <c r="G71" i="17"/>
  <c r="M73" i="17"/>
  <c r="P73" i="17"/>
  <c r="P70" i="17"/>
  <c r="S70" i="17"/>
  <c r="G70" i="17"/>
  <c r="G41" i="17"/>
  <c r="P14" i="17"/>
  <c r="M65" i="17"/>
  <c r="P65" i="17"/>
  <c r="M58" i="17"/>
  <c r="P58" i="17"/>
  <c r="M44" i="17"/>
  <c r="P44" i="17"/>
  <c r="M13" i="17"/>
  <c r="P13" i="17"/>
  <c r="J13" i="17"/>
  <c r="M76" i="17"/>
  <c r="M69" i="17"/>
  <c r="M23" i="17"/>
  <c r="P23" i="17"/>
  <c r="S23" i="17"/>
  <c r="S65" i="17"/>
  <c r="P55" i="17"/>
  <c r="S55" i="17"/>
  <c r="AF13" i="17"/>
  <c r="P52" i="17"/>
  <c r="P48" i="17"/>
  <c r="S48" i="17"/>
  <c r="P34" i="17"/>
  <c r="S34" i="17"/>
  <c r="P31" i="17"/>
  <c r="P17" i="17"/>
  <c r="W16" i="17"/>
  <c r="J57" i="17"/>
  <c r="M54" i="17"/>
  <c r="J50" i="17"/>
  <c r="J43" i="17"/>
  <c r="J36" i="17"/>
  <c r="J29" i="17"/>
  <c r="M26" i="17"/>
  <c r="J22" i="17"/>
  <c r="M19" i="17"/>
  <c r="BH80" i="16"/>
  <c r="AG81" i="16"/>
  <c r="BH71" i="16"/>
  <c r="BH78" i="16"/>
  <c r="BH48" i="16"/>
  <c r="BH76" i="16"/>
  <c r="AU76" i="16"/>
  <c r="BH62" i="16"/>
  <c r="BH75" i="16"/>
  <c r="BH81" i="16"/>
  <c r="AC74" i="16"/>
  <c r="BH70" i="16"/>
  <c r="BH37" i="16"/>
  <c r="BH52" i="16"/>
  <c r="BH79" i="16"/>
  <c r="BH69" i="16"/>
  <c r="BH65" i="16"/>
  <c r="M90" i="16"/>
  <c r="BH73" i="16"/>
  <c r="BH59" i="16"/>
  <c r="BH57" i="16"/>
  <c r="BH54" i="16"/>
  <c r="BH74" i="16"/>
  <c r="BH29" i="16"/>
  <c r="BH24" i="16"/>
  <c r="BH19" i="16"/>
  <c r="BH17" i="16"/>
  <c r="BH53" i="16"/>
  <c r="BH13" i="16"/>
  <c r="BH58" i="16"/>
  <c r="BH38" i="16"/>
  <c r="BH33" i="16"/>
  <c r="BH21" i="16"/>
  <c r="BH63" i="16"/>
  <c r="BH43" i="16"/>
  <c r="BH40" i="16"/>
  <c r="BH28" i="16"/>
  <c r="BH42" i="16"/>
  <c r="BH14" i="16"/>
  <c r="BH22" i="16"/>
  <c r="BH36" i="16"/>
  <c r="BH27" i="16"/>
  <c r="BH18" i="16"/>
  <c r="G83" i="17" l="1"/>
  <c r="S83" i="17"/>
  <c r="J83" i="17"/>
  <c r="P83" i="17"/>
  <c r="M83" i="17"/>
  <c r="W17" i="17"/>
  <c r="V16" i="16"/>
  <c r="AQ16" i="16" s="1"/>
  <c r="AF16" i="17"/>
  <c r="AF17" i="17" l="1"/>
  <c r="V17" i="16"/>
  <c r="AQ17" i="16" s="1"/>
  <c r="W18" i="17"/>
  <c r="AF18" i="17" l="1"/>
  <c r="W19" i="17"/>
  <c r="V18" i="16"/>
  <c r="AQ18" i="16" s="1"/>
  <c r="AF19" i="17" l="1"/>
  <c r="W20" i="17"/>
  <c r="V19" i="16"/>
  <c r="AQ19" i="16" s="1"/>
  <c r="W21" i="17" l="1"/>
  <c r="AF20" i="17"/>
  <c r="V20" i="16"/>
  <c r="AQ20" i="16" s="1"/>
  <c r="W22" i="17" l="1"/>
  <c r="V21" i="16"/>
  <c r="AQ21" i="16" s="1"/>
  <c r="AF21" i="17"/>
  <c r="AF22" i="17" l="1"/>
  <c r="V22" i="16"/>
  <c r="AQ22" i="16" s="1"/>
  <c r="W23" i="17"/>
  <c r="W24" i="17" l="1"/>
  <c r="V23" i="16"/>
  <c r="AQ23" i="16" s="1"/>
  <c r="AF23" i="17"/>
  <c r="W25" i="17" l="1"/>
  <c r="V24" i="16"/>
  <c r="AQ24" i="16" s="1"/>
  <c r="AF24" i="17"/>
  <c r="AF25" i="17" l="1"/>
  <c r="W26" i="17"/>
  <c r="V25" i="16"/>
  <c r="AQ25" i="16" s="1"/>
  <c r="AF26" i="17" l="1"/>
  <c r="W27" i="17"/>
  <c r="V26" i="16"/>
  <c r="AQ26" i="16" s="1"/>
  <c r="W28" i="17" l="1"/>
  <c r="AF27" i="17"/>
  <c r="V27" i="16"/>
  <c r="AQ27" i="16" s="1"/>
  <c r="AF28" i="17" l="1"/>
  <c r="W29" i="17"/>
  <c r="V28" i="16"/>
  <c r="AQ28" i="16" s="1"/>
  <c r="AF29" i="17" l="1"/>
  <c r="W30" i="17"/>
  <c r="V29" i="16"/>
  <c r="AQ29" i="16" s="1"/>
  <c r="W31" i="17" l="1"/>
  <c r="AF30" i="17"/>
  <c r="V30" i="16"/>
  <c r="AQ30" i="16" s="1"/>
  <c r="AF31" i="17" l="1"/>
  <c r="W32" i="17"/>
  <c r="V31" i="16"/>
  <c r="AQ31" i="16" s="1"/>
  <c r="AF32" i="17" l="1"/>
  <c r="W33" i="17"/>
  <c r="V32" i="16"/>
  <c r="AQ32" i="16" s="1"/>
  <c r="AF33" i="17" l="1"/>
  <c r="W34" i="17"/>
  <c r="V33" i="16"/>
  <c r="AQ33" i="16" s="1"/>
  <c r="A9" i="10"/>
  <c r="A10" i="10" s="1"/>
  <c r="A11" i="10" s="1"/>
  <c r="A12" i="10" s="1"/>
  <c r="A13" i="10" s="1"/>
  <c r="A14" i="10" s="1"/>
  <c r="A15" i="10" s="1"/>
  <c r="A16" i="10" s="1"/>
  <c r="B16" i="10"/>
  <c r="F16" i="10"/>
  <c r="G16" i="10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B17" i="10"/>
  <c r="B18" i="10" s="1"/>
  <c r="B19" i="10" s="1"/>
  <c r="B20" i="10" s="1"/>
  <c r="B21" i="10" s="1"/>
  <c r="B22" i="10" s="1"/>
  <c r="F17" i="10"/>
  <c r="F18" i="10"/>
  <c r="F19" i="10"/>
  <c r="F20" i="10"/>
  <c r="F21" i="10"/>
  <c r="F22" i="10"/>
  <c r="B23" i="10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F23" i="10"/>
  <c r="F24" i="10"/>
  <c r="F25" i="10"/>
  <c r="F26" i="10"/>
  <c r="F27" i="10"/>
  <c r="F28" i="10"/>
  <c r="F29" i="10"/>
  <c r="F30" i="10"/>
  <c r="F31" i="10"/>
  <c r="F33" i="10"/>
  <c r="F34" i="10"/>
  <c r="F35" i="10"/>
  <c r="F36" i="10"/>
  <c r="F37" i="10"/>
  <c r="F38" i="10"/>
  <c r="F39" i="10"/>
  <c r="F40" i="10"/>
  <c r="F41" i="10"/>
  <c r="F43" i="10"/>
  <c r="F44" i="10"/>
  <c r="F45" i="10"/>
  <c r="F46" i="10"/>
  <c r="A47" i="10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F47" i="10"/>
  <c r="F48" i="10"/>
  <c r="F49" i="10"/>
  <c r="F50" i="10"/>
  <c r="F51" i="10"/>
  <c r="F52" i="10"/>
  <c r="F53" i="10"/>
  <c r="F55" i="10"/>
  <c r="F56" i="10"/>
  <c r="F57" i="10"/>
  <c r="F58" i="10"/>
  <c r="F59" i="10"/>
  <c r="F60" i="10"/>
  <c r="F61" i="10"/>
  <c r="F62" i="10"/>
  <c r="F63" i="10"/>
  <c r="F64" i="10"/>
  <c r="F65" i="10"/>
  <c r="F67" i="10"/>
  <c r="F68" i="10"/>
  <c r="A69" i="10"/>
  <c r="A70" i="10" s="1"/>
  <c r="A71" i="10" s="1"/>
  <c r="A72" i="10" s="1"/>
  <c r="A73" i="10" s="1"/>
  <c r="A74" i="10" s="1"/>
  <c r="F69" i="10"/>
  <c r="F70" i="10"/>
  <c r="F71" i="10"/>
  <c r="F72" i="10"/>
  <c r="F73" i="10"/>
  <c r="F74" i="10"/>
  <c r="A75" i="10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F75" i="10"/>
  <c r="F76" i="10"/>
  <c r="F77" i="10"/>
  <c r="F79" i="10"/>
  <c r="F80" i="10"/>
  <c r="F81" i="10"/>
  <c r="D82" i="10"/>
  <c r="F82" i="10" s="1"/>
  <c r="F83" i="10"/>
  <c r="F84" i="10"/>
  <c r="F85" i="10"/>
  <c r="F86" i="10"/>
  <c r="F87" i="10"/>
  <c r="F88" i="10"/>
  <c r="F89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D125" i="10"/>
  <c r="F125" i="10" s="1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D210" i="10"/>
  <c r="F210" i="10" s="1"/>
  <c r="F211" i="10"/>
  <c r="F212" i="10"/>
  <c r="F213" i="10"/>
  <c r="A214" i="10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5" i="10"/>
  <c r="F236" i="10"/>
  <c r="F237" i="10"/>
  <c r="F238" i="10"/>
  <c r="F239" i="10"/>
  <c r="F240" i="10"/>
  <c r="F241" i="10"/>
  <c r="F242" i="10"/>
  <c r="F243" i="10"/>
  <c r="A9" i="9"/>
  <c r="A10" i="9"/>
  <c r="A11" i="9" s="1"/>
  <c r="A12" i="9" s="1"/>
  <c r="A13" i="9" s="1"/>
  <c r="A14" i="9" s="1"/>
  <c r="A15" i="9" s="1"/>
  <c r="A16" i="9" s="1"/>
  <c r="A17" i="9" s="1"/>
  <c r="B16" i="9"/>
  <c r="D16" i="9"/>
  <c r="E16" i="9"/>
  <c r="H16" i="9" s="1"/>
  <c r="I16" i="9" s="1"/>
  <c r="I17" i="9" s="1"/>
  <c r="I18" i="9" s="1"/>
  <c r="I19" i="9" s="1"/>
  <c r="G16" i="9"/>
  <c r="B17" i="9"/>
  <c r="H17" i="9"/>
  <c r="A18" i="9"/>
  <c r="A19" i="9" s="1"/>
  <c r="A20" i="9" s="1"/>
  <c r="A21" i="9" s="1"/>
  <c r="A22" i="9" s="1"/>
  <c r="A23" i="9" s="1"/>
  <c r="A24" i="9" s="1"/>
  <c r="A25" i="9" s="1"/>
  <c r="A26" i="9" s="1"/>
  <c r="A27" i="9" s="1"/>
  <c r="B18" i="9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H18" i="9"/>
  <c r="H19" i="9"/>
  <c r="E20" i="9"/>
  <c r="H20" i="9"/>
  <c r="H21" i="9"/>
  <c r="H22" i="9"/>
  <c r="H23" i="9"/>
  <c r="A28" i="9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G29" i="9"/>
  <c r="H29" i="9" s="1"/>
  <c r="H34" i="9"/>
  <c r="H35" i="9"/>
  <c r="H36" i="9"/>
  <c r="E41" i="9"/>
  <c r="H45" i="9"/>
  <c r="B47" i="9"/>
  <c r="B48" i="9" s="1"/>
  <c r="B49" i="9" s="1"/>
  <c r="B50" i="9" s="1"/>
  <c r="B51" i="9" s="1"/>
  <c r="B52" i="9" s="1"/>
  <c r="B53" i="9" s="1"/>
  <c r="D51" i="9"/>
  <c r="D56" i="9"/>
  <c r="D57" i="9"/>
  <c r="E81" i="9"/>
  <c r="G81" i="9" s="1"/>
  <c r="H81" i="9" s="1"/>
  <c r="G94" i="9"/>
  <c r="H94" i="9" s="1"/>
  <c r="E109" i="9"/>
  <c r="E120" i="9"/>
  <c r="G120" i="9" s="1"/>
  <c r="H120" i="9"/>
  <c r="G133" i="9"/>
  <c r="H133" i="9"/>
  <c r="G146" i="9"/>
  <c r="H146" i="9" s="1"/>
  <c r="G159" i="9"/>
  <c r="H159" i="9" s="1"/>
  <c r="G172" i="9"/>
  <c r="H172" i="9" s="1"/>
  <c r="D184" i="9"/>
  <c r="G185" i="9"/>
  <c r="H185" i="9" s="1"/>
  <c r="G198" i="9"/>
  <c r="H198" i="9"/>
  <c r="E211" i="9"/>
  <c r="G211" i="9" s="1"/>
  <c r="D217" i="9"/>
  <c r="G224" i="9"/>
  <c r="H224" i="9"/>
  <c r="D232" i="9"/>
  <c r="G237" i="9"/>
  <c r="H237" i="9"/>
  <c r="G250" i="9"/>
  <c r="H250" i="9" s="1"/>
  <c r="D260" i="9"/>
  <c r="D261" i="9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B16" i="8"/>
  <c r="B17" i="8" s="1"/>
  <c r="B18" i="8" s="1"/>
  <c r="H16" i="8"/>
  <c r="I16" i="8"/>
  <c r="D17" i="8"/>
  <c r="G17" i="8"/>
  <c r="H17" i="8" s="1"/>
  <c r="I17" i="8" s="1"/>
  <c r="I18" i="8" s="1"/>
  <c r="I19" i="8" s="1"/>
  <c r="I20" i="8" s="1"/>
  <c r="H18" i="8"/>
  <c r="B19" i="8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H19" i="8"/>
  <c r="H20" i="8"/>
  <c r="H21" i="8"/>
  <c r="H22" i="8"/>
  <c r="G23" i="8"/>
  <c r="H23" i="8" s="1"/>
  <c r="G24" i="8"/>
  <c r="H24" i="8"/>
  <c r="H25" i="8"/>
  <c r="H26" i="8"/>
  <c r="H27" i="8"/>
  <c r="A28" i="8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H30" i="8"/>
  <c r="H31" i="8"/>
  <c r="D32" i="8"/>
  <c r="H32" i="8" s="1"/>
  <c r="G32" i="8"/>
  <c r="H33" i="8"/>
  <c r="H35" i="8"/>
  <c r="B39" i="8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D39" i="8"/>
  <c r="E45" i="8"/>
  <c r="H45" i="8" s="1"/>
  <c r="H48" i="8"/>
  <c r="J51" i="8"/>
  <c r="D52" i="8"/>
  <c r="D53" i="8"/>
  <c r="D88" i="8"/>
  <c r="A120" i="8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E123" i="8"/>
  <c r="E125" i="8"/>
  <c r="H187" i="8"/>
  <c r="J247" i="8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B16" i="7"/>
  <c r="D16" i="7"/>
  <c r="E16" i="7"/>
  <c r="G16" i="7"/>
  <c r="B17" i="7"/>
  <c r="B18" i="7" s="1"/>
  <c r="B19" i="7" s="1"/>
  <c r="H17" i="7"/>
  <c r="H18" i="7"/>
  <c r="H19" i="7"/>
  <c r="B20" i="7"/>
  <c r="B21" i="7" s="1"/>
  <c r="B22" i="7" s="1"/>
  <c r="B23" i="7" s="1"/>
  <c r="B24" i="7" s="1"/>
  <c r="B25" i="7" s="1"/>
  <c r="B26" i="7" s="1"/>
  <c r="B27" i="7" s="1"/>
  <c r="B28" i="7" s="1"/>
  <c r="H20" i="7"/>
  <c r="H21" i="7"/>
  <c r="H22" i="7"/>
  <c r="H23" i="7"/>
  <c r="G29" i="7"/>
  <c r="H29" i="7"/>
  <c r="A34" i="7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D40" i="7"/>
  <c r="E41" i="7"/>
  <c r="D55" i="7"/>
  <c r="H58" i="7"/>
  <c r="A78" i="7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75" i="7" s="1"/>
  <c r="A276" i="7" s="1"/>
  <c r="A277" i="7" s="1"/>
  <c r="A278" i="7" s="1"/>
  <c r="A279" i="7" s="1"/>
  <c r="E88" i="7"/>
  <c r="G94" i="7"/>
  <c r="H94" i="7" s="1"/>
  <c r="D108" i="7"/>
  <c r="D109" i="7"/>
  <c r="D110" i="7"/>
  <c r="D111" i="7"/>
  <c r="D112" i="7"/>
  <c r="D113" i="7"/>
  <c r="D114" i="7"/>
  <c r="E120" i="7"/>
  <c r="G120" i="7" s="1"/>
  <c r="H120" i="7"/>
  <c r="G133" i="7"/>
  <c r="H133" i="7" s="1"/>
  <c r="G146" i="7"/>
  <c r="H146" i="7" s="1"/>
  <c r="G159" i="7"/>
  <c r="H159" i="7"/>
  <c r="G172" i="7"/>
  <c r="H172" i="7" s="1"/>
  <c r="D184" i="7"/>
  <c r="E185" i="7"/>
  <c r="G185" i="7"/>
  <c r="G198" i="7"/>
  <c r="H198" i="7" s="1"/>
  <c r="E211" i="7"/>
  <c r="G224" i="7"/>
  <c r="H224" i="7" s="1"/>
  <c r="G237" i="7"/>
  <c r="H237" i="7"/>
  <c r="G250" i="7"/>
  <c r="H250" i="7"/>
  <c r="D260" i="7"/>
  <c r="D28" i="5" s="1"/>
  <c r="D29" i="5" s="1"/>
  <c r="D261" i="7"/>
  <c r="A9" i="6"/>
  <c r="A10" i="6"/>
  <c r="A11" i="6" s="1"/>
  <c r="A12" i="6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B16" i="6"/>
  <c r="B17" i="6" s="1"/>
  <c r="B18" i="6" s="1"/>
  <c r="B19" i="6" s="1"/>
  <c r="B20" i="6" s="1"/>
  <c r="B21" i="6" s="1"/>
  <c r="B22" i="6" s="1"/>
  <c r="B23" i="6" s="1"/>
  <c r="B24" i="6" s="1"/>
  <c r="B25" i="6" s="1"/>
  <c r="D16" i="6"/>
  <c r="H16" i="6" s="1"/>
  <c r="I16" i="6" s="1"/>
  <c r="I17" i="6" s="1"/>
  <c r="I18" i="6" s="1"/>
  <c r="G16" i="6"/>
  <c r="H17" i="6"/>
  <c r="H18" i="6"/>
  <c r="H19" i="6"/>
  <c r="I19" i="6"/>
  <c r="I20" i="6" s="1"/>
  <c r="I21" i="6" s="1"/>
  <c r="I22" i="6" s="1"/>
  <c r="I23" i="6" s="1"/>
  <c r="I24" i="6" s="1"/>
  <c r="I25" i="6" s="1"/>
  <c r="I26" i="6" s="1"/>
  <c r="I27" i="6" s="1"/>
  <c r="H20" i="6"/>
  <c r="H21" i="6"/>
  <c r="H22" i="6"/>
  <c r="D23" i="6"/>
  <c r="H23" i="6" s="1"/>
  <c r="G23" i="6"/>
  <c r="H24" i="6"/>
  <c r="H25" i="6"/>
  <c r="B26" i="6"/>
  <c r="B27" i="6" s="1"/>
  <c r="B28" i="6" s="1"/>
  <c r="B29" i="6" s="1"/>
  <c r="B30" i="6" s="1"/>
  <c r="H26" i="6"/>
  <c r="H27" i="6"/>
  <c r="H29" i="6"/>
  <c r="H30" i="6"/>
  <c r="B31" i="6"/>
  <c r="B32" i="6" s="1"/>
  <c r="B33" i="6" s="1"/>
  <c r="D31" i="6"/>
  <c r="H31" i="6" s="1"/>
  <c r="G31" i="6"/>
  <c r="H32" i="6"/>
  <c r="H33" i="6"/>
  <c r="B34" i="6"/>
  <c r="B35" i="6" s="1"/>
  <c r="D34" i="6"/>
  <c r="H34" i="6" s="1"/>
  <c r="G34" i="6"/>
  <c r="H35" i="6"/>
  <c r="B36" i="6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D52" i="6"/>
  <c r="D58" i="6"/>
  <c r="D59" i="6"/>
  <c r="G59" i="6"/>
  <c r="H59" i="6" s="1"/>
  <c r="H60" i="6"/>
  <c r="H61" i="6"/>
  <c r="D196" i="6"/>
  <c r="D237" i="6"/>
  <c r="A13" i="5"/>
  <c r="A14" i="5" s="1"/>
  <c r="A15" i="5" s="1"/>
  <c r="A16" i="5" s="1"/>
  <c r="C14" i="5"/>
  <c r="C16" i="5" s="1"/>
  <c r="E14" i="5"/>
  <c r="F14" i="5"/>
  <c r="C15" i="5"/>
  <c r="D15" i="5"/>
  <c r="D16" i="5" s="1"/>
  <c r="E15" i="5"/>
  <c r="A17" i="5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C18" i="5"/>
  <c r="E18" i="5"/>
  <c r="E20" i="5" s="1"/>
  <c r="F18" i="5"/>
  <c r="C19" i="5"/>
  <c r="D19" i="5"/>
  <c r="E19" i="5"/>
  <c r="C22" i="5"/>
  <c r="D22" i="5"/>
  <c r="E22" i="5"/>
  <c r="E24" i="5" s="1"/>
  <c r="C23" i="5"/>
  <c r="D23" i="5"/>
  <c r="D24" i="5"/>
  <c r="O31" i="5"/>
  <c r="Q31" i="5"/>
  <c r="D32" i="5"/>
  <c r="O32" i="5"/>
  <c r="Q32" i="5"/>
  <c r="D34" i="5"/>
  <c r="F38" i="5"/>
  <c r="C39" i="5"/>
  <c r="C40" i="5" s="1"/>
  <c r="D39" i="5"/>
  <c r="D40" i="5" s="1"/>
  <c r="E39" i="5"/>
  <c r="E40" i="5" s="1"/>
  <c r="F42" i="5"/>
  <c r="C43" i="5"/>
  <c r="D43" i="5"/>
  <c r="D44" i="5" s="1"/>
  <c r="E43" i="5"/>
  <c r="E44" i="5" s="1"/>
  <c r="C46" i="5"/>
  <c r="E46" i="5"/>
  <c r="C47" i="5"/>
  <c r="D47" i="5"/>
  <c r="D48" i="5" s="1"/>
  <c r="E47" i="5"/>
  <c r="C50" i="5"/>
  <c r="D50" i="5"/>
  <c r="E50" i="5"/>
  <c r="G50" i="5"/>
  <c r="D51" i="5"/>
  <c r="C53" i="5"/>
  <c r="C54" i="5" s="1"/>
  <c r="E53" i="5"/>
  <c r="E54" i="5" s="1"/>
  <c r="D54" i="5"/>
  <c r="C56" i="5"/>
  <c r="E56" i="5"/>
  <c r="E57" i="5" s="1"/>
  <c r="D57" i="5"/>
  <c r="F15" i="5" l="1"/>
  <c r="F22" i="5"/>
  <c r="F24" i="5" s="1"/>
  <c r="C24" i="5"/>
  <c r="F23" i="5"/>
  <c r="F46" i="5"/>
  <c r="C20" i="5"/>
  <c r="F50" i="5"/>
  <c r="F56" i="5"/>
  <c r="F57" i="5" s="1"/>
  <c r="H57" i="5" s="1"/>
  <c r="J57" i="5" s="1"/>
  <c r="F19" i="5"/>
  <c r="F20" i="5" s="1"/>
  <c r="F53" i="5"/>
  <c r="F54" i="5" s="1"/>
  <c r="H54" i="5" s="1"/>
  <c r="J54" i="5" s="1"/>
  <c r="C48" i="5"/>
  <c r="C51" i="5" s="1"/>
  <c r="F47" i="5"/>
  <c r="F48" i="5" s="1"/>
  <c r="W35" i="17"/>
  <c r="AF34" i="17"/>
  <c r="V34" i="16"/>
  <c r="AQ34" i="16" s="1"/>
  <c r="A238" i="6"/>
  <c r="A239" i="6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E28" i="6"/>
  <c r="A42" i="5"/>
  <c r="A43" i="5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B54" i="6"/>
  <c r="B55" i="6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E16" i="5"/>
  <c r="F16" i="5"/>
  <c r="E48" i="5"/>
  <c r="E51" i="5" s="1"/>
  <c r="F39" i="5"/>
  <c r="F40" i="5" s="1"/>
  <c r="F43" i="5"/>
  <c r="F44" i="5" s="1"/>
  <c r="C44" i="5"/>
  <c r="G20" i="5"/>
  <c r="H20" i="5" s="1"/>
  <c r="J20" i="5" s="1"/>
  <c r="G211" i="7"/>
  <c r="H211" i="7" s="1"/>
  <c r="B30" i="7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29" i="7"/>
  <c r="D20" i="5"/>
  <c r="D60" i="5" s="1"/>
  <c r="C57" i="5"/>
  <c r="H185" i="7"/>
  <c r="I21" i="8"/>
  <c r="I22" i="8" s="1"/>
  <c r="I23" i="8" s="1"/>
  <c r="I24" i="8" s="1"/>
  <c r="I25" i="8" s="1"/>
  <c r="I26" i="8" s="1"/>
  <c r="I27" i="8" s="1"/>
  <c r="B54" i="8"/>
  <c r="B55" i="8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H16" i="7"/>
  <c r="I16" i="7" s="1"/>
  <c r="I17" i="7" s="1"/>
  <c r="I18" i="7" s="1"/>
  <c r="I19" i="7" s="1"/>
  <c r="I20" i="7" s="1"/>
  <c r="I21" i="7" s="1"/>
  <c r="I22" i="7" s="1"/>
  <c r="I23" i="7" s="1"/>
  <c r="B54" i="9"/>
  <c r="B56" i="9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I20" i="9"/>
  <c r="I21" i="9" s="1"/>
  <c r="I22" i="9" s="1"/>
  <c r="I23" i="9" s="1"/>
  <c r="G17" i="10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H211" i="9"/>
  <c r="AF35" i="17" l="1"/>
  <c r="V35" i="16"/>
  <c r="AQ35" i="16" s="1"/>
  <c r="W36" i="17"/>
  <c r="G44" i="5"/>
  <c r="H44" i="5" s="1"/>
  <c r="J44" i="5" s="1"/>
  <c r="B81" i="9"/>
  <c r="B82" i="9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E32" i="10"/>
  <c r="G30" i="10"/>
  <c r="G31" i="10" s="1"/>
  <c r="B54" i="7"/>
  <c r="B56" i="7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G24" i="9"/>
  <c r="H24" i="9" s="1"/>
  <c r="I24" i="9" s="1"/>
  <c r="G24" i="7"/>
  <c r="H24" i="7" s="1"/>
  <c r="I24" i="7" s="1"/>
  <c r="E28" i="8"/>
  <c r="G28" i="8"/>
  <c r="E28" i="7"/>
  <c r="H28" i="6"/>
  <c r="I28" i="6" s="1"/>
  <c r="I29" i="6" s="1"/>
  <c r="I30" i="6" s="1"/>
  <c r="I31" i="6" s="1"/>
  <c r="I32" i="6" s="1"/>
  <c r="I33" i="6" s="1"/>
  <c r="I34" i="6" s="1"/>
  <c r="I35" i="6" s="1"/>
  <c r="G40" i="5"/>
  <c r="H40" i="5" s="1"/>
  <c r="J40" i="5" s="1"/>
  <c r="G16" i="5"/>
  <c r="H16" i="5" s="1"/>
  <c r="J16" i="5" s="1"/>
  <c r="G24" i="5"/>
  <c r="H24" i="5" s="1"/>
  <c r="J24" i="5" s="1"/>
  <c r="F51" i="5"/>
  <c r="G48" i="5"/>
  <c r="H48" i="5" s="1"/>
  <c r="J48" i="5" s="1"/>
  <c r="AF36" i="17" l="1"/>
  <c r="W37" i="17"/>
  <c r="V36" i="16"/>
  <c r="AQ36" i="16" s="1"/>
  <c r="G25" i="9"/>
  <c r="H25" i="9" s="1"/>
  <c r="I25" i="9" s="1"/>
  <c r="G25" i="7"/>
  <c r="H25" i="7" s="1"/>
  <c r="I25" i="7" s="1"/>
  <c r="G51" i="5"/>
  <c r="H51" i="5" s="1"/>
  <c r="J51" i="5" s="1"/>
  <c r="B81" i="7"/>
  <c r="B82" i="7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G32" i="10"/>
  <c r="G33" i="10" s="1"/>
  <c r="G34" i="10" s="1"/>
  <c r="G35" i="10" s="1"/>
  <c r="G36" i="10" s="1"/>
  <c r="G37" i="10" s="1"/>
  <c r="G38" i="10" s="1"/>
  <c r="G39" i="10" s="1"/>
  <c r="G40" i="10" s="1"/>
  <c r="G41" i="10" s="1"/>
  <c r="E33" i="9"/>
  <c r="H33" i="9" s="1"/>
  <c r="F32" i="10"/>
  <c r="B134" i="9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33" i="9"/>
  <c r="G36" i="6"/>
  <c r="H36" i="6" s="1"/>
  <c r="I36" i="6" s="1"/>
  <c r="E28" i="9"/>
  <c r="H28" i="8"/>
  <c r="I28" i="8" s="1"/>
  <c r="W38" i="17" l="1"/>
  <c r="AF37" i="17"/>
  <c r="V37" i="16"/>
  <c r="AQ37" i="16" s="1"/>
  <c r="G37" i="6"/>
  <c r="H37" i="6" s="1"/>
  <c r="I37" i="6" s="1"/>
  <c r="G26" i="7"/>
  <c r="H26" i="7" s="1"/>
  <c r="I26" i="7" s="1"/>
  <c r="E42" i="10"/>
  <c r="G29" i="8"/>
  <c r="H29" i="8" s="1"/>
  <c r="I29" i="8"/>
  <c r="I30" i="8" s="1"/>
  <c r="I31" i="8" s="1"/>
  <c r="I32" i="8" s="1"/>
  <c r="I33" i="8" s="1"/>
  <c r="B133" i="7"/>
  <c r="B134" i="7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60" i="7" s="1"/>
  <c r="B147" i="9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60" i="9" s="1"/>
  <c r="B146" i="9"/>
  <c r="G26" i="9"/>
  <c r="H26" i="9" s="1"/>
  <c r="I26" i="9" s="1"/>
  <c r="W39" i="17" l="1"/>
  <c r="AF38" i="17"/>
  <c r="V38" i="16"/>
  <c r="AQ38" i="16" s="1"/>
  <c r="G27" i="9"/>
  <c r="H27" i="9" s="1"/>
  <c r="I27" i="9" s="1"/>
  <c r="I27" i="7"/>
  <c r="G27" i="7"/>
  <c r="H27" i="7" s="1"/>
  <c r="G38" i="6"/>
  <c r="H38" i="6" s="1"/>
  <c r="I38" i="6"/>
  <c r="G34" i="8"/>
  <c r="H34" i="8" s="1"/>
  <c r="I34" i="8"/>
  <c r="I35" i="8" s="1"/>
  <c r="F42" i="10"/>
  <c r="G42" i="10" s="1"/>
  <c r="G43" i="10" s="1"/>
  <c r="G44" i="10" s="1"/>
  <c r="G45" i="10" s="1"/>
  <c r="G46" i="10" s="1"/>
  <c r="G47" i="10" s="1"/>
  <c r="G48" i="10" s="1"/>
  <c r="G49" i="10" s="1"/>
  <c r="G50" i="10" s="1"/>
  <c r="G51" i="10" s="1"/>
  <c r="G52" i="10" s="1"/>
  <c r="G53" i="10" s="1"/>
  <c r="E43" i="9"/>
  <c r="W40" i="17" l="1"/>
  <c r="AF39" i="17"/>
  <c r="V39" i="16"/>
  <c r="AQ39" i="16" s="1"/>
  <c r="G36" i="8"/>
  <c r="H36" i="8" s="1"/>
  <c r="I36" i="8"/>
  <c r="G39" i="6"/>
  <c r="H39" i="6" s="1"/>
  <c r="I39" i="6" s="1"/>
  <c r="E54" i="10"/>
  <c r="G28" i="7"/>
  <c r="H28" i="7" s="1"/>
  <c r="I28" i="7"/>
  <c r="I29" i="7" s="1"/>
  <c r="G28" i="9"/>
  <c r="H28" i="9" s="1"/>
  <c r="I28" i="9" s="1"/>
  <c r="I29" i="9" s="1"/>
  <c r="AF40" i="17" l="1"/>
  <c r="W41" i="17"/>
  <c r="V40" i="16"/>
  <c r="AQ40" i="16" s="1"/>
  <c r="G40" i="6"/>
  <c r="H40" i="6" s="1"/>
  <c r="I40" i="6" s="1"/>
  <c r="G30" i="9"/>
  <c r="H30" i="9" s="1"/>
  <c r="I30" i="9" s="1"/>
  <c r="E56" i="9"/>
  <c r="F54" i="10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37" i="8"/>
  <c r="H37" i="8" s="1"/>
  <c r="I37" i="8" s="1"/>
  <c r="G30" i="7"/>
  <c r="H30" i="7" s="1"/>
  <c r="I30" i="7"/>
  <c r="W42" i="17" l="1"/>
  <c r="AF41" i="17"/>
  <c r="V41" i="16"/>
  <c r="AQ41" i="16" s="1"/>
  <c r="G38" i="8"/>
  <c r="H38" i="8" s="1"/>
  <c r="I38" i="8"/>
  <c r="G31" i="9"/>
  <c r="H31" i="9" s="1"/>
  <c r="I31" i="9" s="1"/>
  <c r="G41" i="6"/>
  <c r="H41" i="6" s="1"/>
  <c r="I41" i="6"/>
  <c r="E66" i="10"/>
  <c r="G31" i="7"/>
  <c r="H31" i="7" s="1"/>
  <c r="I31" i="7" s="1"/>
  <c r="AF42" i="17" l="1"/>
  <c r="W43" i="17"/>
  <c r="V42" i="16"/>
  <c r="AQ42" i="16" s="1"/>
  <c r="G32" i="9"/>
  <c r="H32" i="9" s="1"/>
  <c r="I32" i="9" s="1"/>
  <c r="I33" i="9" s="1"/>
  <c r="I34" i="9" s="1"/>
  <c r="I35" i="9" s="1"/>
  <c r="I36" i="9" s="1"/>
  <c r="G32" i="7"/>
  <c r="H32" i="7" s="1"/>
  <c r="I32" i="7" s="1"/>
  <c r="G42" i="6"/>
  <c r="H42" i="6" s="1"/>
  <c r="I42" i="6" s="1"/>
  <c r="E70" i="9"/>
  <c r="F66" i="10"/>
  <c r="G66" i="10" s="1"/>
  <c r="G67" i="10" s="1"/>
  <c r="G68" i="10" s="1"/>
  <c r="G69" i="10" s="1"/>
  <c r="G70" i="10" s="1"/>
  <c r="G71" i="10" s="1"/>
  <c r="G72" i="10" s="1"/>
  <c r="G73" i="10" s="1"/>
  <c r="G74" i="10" s="1"/>
  <c r="G75" i="10" s="1"/>
  <c r="G76" i="10" s="1"/>
  <c r="G77" i="10" s="1"/>
  <c r="G39" i="8"/>
  <c r="H39" i="8" s="1"/>
  <c r="I39" i="8" s="1"/>
  <c r="AF43" i="17" l="1"/>
  <c r="W44" i="17"/>
  <c r="V43" i="16"/>
  <c r="AQ43" i="16" s="1"/>
  <c r="G37" i="9"/>
  <c r="H37" i="9" s="1"/>
  <c r="I37" i="9" s="1"/>
  <c r="G40" i="8"/>
  <c r="H40" i="8" s="1"/>
  <c r="I40" i="8" s="1"/>
  <c r="G43" i="6"/>
  <c r="H43" i="6" s="1"/>
  <c r="I43" i="6"/>
  <c r="G33" i="7"/>
  <c r="H33" i="7" s="1"/>
  <c r="I33" i="7"/>
  <c r="E78" i="10"/>
  <c r="W45" i="17" l="1"/>
  <c r="AF44" i="17"/>
  <c r="V44" i="16"/>
  <c r="AQ44" i="16" s="1"/>
  <c r="G41" i="8"/>
  <c r="H41" i="8" s="1"/>
  <c r="I41" i="8"/>
  <c r="G38" i="9"/>
  <c r="H38" i="9" s="1"/>
  <c r="I38" i="9" s="1"/>
  <c r="G34" i="7"/>
  <c r="H34" i="7" s="1"/>
  <c r="I34" i="7" s="1"/>
  <c r="F78" i="10"/>
  <c r="G78" i="10" s="1"/>
  <c r="G79" i="10" s="1"/>
  <c r="G80" i="10" s="1"/>
  <c r="G81" i="10" s="1"/>
  <c r="G82" i="10" s="1"/>
  <c r="G83" i="10" s="1"/>
  <c r="G84" i="10" s="1"/>
  <c r="G85" i="10" s="1"/>
  <c r="G86" i="10" s="1"/>
  <c r="G87" i="10" s="1"/>
  <c r="G88" i="10" s="1"/>
  <c r="G89" i="10" s="1"/>
  <c r="E83" i="9"/>
  <c r="G44" i="6"/>
  <c r="H44" i="6" s="1"/>
  <c r="I44" i="6" s="1"/>
  <c r="W46" i="17" l="1"/>
  <c r="AF45" i="17"/>
  <c r="V45" i="16"/>
  <c r="AQ45" i="16" s="1"/>
  <c r="G45" i="6"/>
  <c r="H45" i="6" s="1"/>
  <c r="I45" i="6"/>
  <c r="E47" i="6"/>
  <c r="G35" i="7"/>
  <c r="H35" i="7" s="1"/>
  <c r="I35" i="7" s="1"/>
  <c r="G39" i="9"/>
  <c r="H39" i="9" s="1"/>
  <c r="I39" i="9" s="1"/>
  <c r="E90" i="10"/>
  <c r="F90" i="10" s="1"/>
  <c r="G90" i="10" s="1"/>
  <c r="G91" i="10" s="1"/>
  <c r="G92" i="10" s="1"/>
  <c r="G93" i="10" s="1"/>
  <c r="G94" i="10" s="1"/>
  <c r="G95" i="10" s="1"/>
  <c r="G96" i="10" s="1"/>
  <c r="G97" i="10" s="1"/>
  <c r="G98" i="10" s="1"/>
  <c r="G99" i="10" s="1"/>
  <c r="G100" i="10" s="1"/>
  <c r="G101" i="10" s="1"/>
  <c r="G102" i="10" s="1"/>
  <c r="G103" i="10" s="1"/>
  <c r="G104" i="10" s="1"/>
  <c r="G105" i="10" s="1"/>
  <c r="G106" i="10" s="1"/>
  <c r="G107" i="10" s="1"/>
  <c r="G108" i="10" s="1"/>
  <c r="G109" i="10" s="1"/>
  <c r="G110" i="10" s="1"/>
  <c r="G111" i="10" s="1"/>
  <c r="G112" i="10" s="1"/>
  <c r="G113" i="10" s="1"/>
  <c r="G114" i="10" s="1"/>
  <c r="G115" i="10" s="1"/>
  <c r="G116" i="10" s="1"/>
  <c r="G117" i="10" s="1"/>
  <c r="G118" i="10" s="1"/>
  <c r="G119" i="10" s="1"/>
  <c r="G120" i="10" s="1"/>
  <c r="G121" i="10" s="1"/>
  <c r="G122" i="10" s="1"/>
  <c r="G123" i="10" s="1"/>
  <c r="G124" i="10" s="1"/>
  <c r="G125" i="10" s="1"/>
  <c r="G126" i="10" s="1"/>
  <c r="G127" i="10" s="1"/>
  <c r="G128" i="10" s="1"/>
  <c r="G129" i="10" s="1"/>
  <c r="G130" i="10" s="1"/>
  <c r="G131" i="10" s="1"/>
  <c r="G132" i="10" s="1"/>
  <c r="G133" i="10" s="1"/>
  <c r="G134" i="10" s="1"/>
  <c r="G135" i="10" s="1"/>
  <c r="G136" i="10" s="1"/>
  <c r="G137" i="10" s="1"/>
  <c r="G138" i="10" s="1"/>
  <c r="G139" i="10" s="1"/>
  <c r="G140" i="10" s="1"/>
  <c r="G141" i="10" s="1"/>
  <c r="G142" i="10" s="1"/>
  <c r="G143" i="10" s="1"/>
  <c r="G144" i="10" s="1"/>
  <c r="G145" i="10" s="1"/>
  <c r="G146" i="10" s="1"/>
  <c r="G147" i="10" s="1"/>
  <c r="G148" i="10" s="1"/>
  <c r="G149" i="10" s="1"/>
  <c r="G150" i="10" s="1"/>
  <c r="G151" i="10" s="1"/>
  <c r="G152" i="10" s="1"/>
  <c r="G153" i="10" s="1"/>
  <c r="G154" i="10" s="1"/>
  <c r="G155" i="10" s="1"/>
  <c r="G156" i="10" s="1"/>
  <c r="G157" i="10" s="1"/>
  <c r="G158" i="10" s="1"/>
  <c r="G159" i="10" s="1"/>
  <c r="G160" i="10" s="1"/>
  <c r="G161" i="10" s="1"/>
  <c r="G162" i="10" s="1"/>
  <c r="G163" i="10" s="1"/>
  <c r="G164" i="10" s="1"/>
  <c r="G165" i="10" s="1"/>
  <c r="G166" i="10" s="1"/>
  <c r="G167" i="10" s="1"/>
  <c r="G168" i="10" s="1"/>
  <c r="G169" i="10" s="1"/>
  <c r="G170" i="10" s="1"/>
  <c r="G171" i="10" s="1"/>
  <c r="G172" i="10" s="1"/>
  <c r="G173" i="10" s="1"/>
  <c r="G174" i="10" s="1"/>
  <c r="G175" i="10" s="1"/>
  <c r="G176" i="10" s="1"/>
  <c r="G177" i="10" s="1"/>
  <c r="G178" i="10" s="1"/>
  <c r="G179" i="10" s="1"/>
  <c r="G180" i="10" s="1"/>
  <c r="G181" i="10" s="1"/>
  <c r="G182" i="10" s="1"/>
  <c r="G183" i="10" s="1"/>
  <c r="G184" i="10" s="1"/>
  <c r="G185" i="10" s="1"/>
  <c r="G186" i="10" s="1"/>
  <c r="G187" i="10" s="1"/>
  <c r="G188" i="10" s="1"/>
  <c r="G189" i="10" s="1"/>
  <c r="G190" i="10" s="1"/>
  <c r="G191" i="10" s="1"/>
  <c r="G192" i="10" s="1"/>
  <c r="G193" i="10" s="1"/>
  <c r="G194" i="10" s="1"/>
  <c r="G195" i="10" s="1"/>
  <c r="G196" i="10" s="1"/>
  <c r="G197" i="10" s="1"/>
  <c r="G198" i="10" s="1"/>
  <c r="G199" i="10" s="1"/>
  <c r="G200" i="10" s="1"/>
  <c r="G201" i="10" s="1"/>
  <c r="G202" i="10" s="1"/>
  <c r="G203" i="10" s="1"/>
  <c r="G204" i="10" s="1"/>
  <c r="G205" i="10" s="1"/>
  <c r="G206" i="10" s="1"/>
  <c r="G207" i="10" s="1"/>
  <c r="G208" i="10" s="1"/>
  <c r="G209" i="10" s="1"/>
  <c r="G210" i="10" s="1"/>
  <c r="G211" i="10" s="1"/>
  <c r="G212" i="10" s="1"/>
  <c r="G213" i="10" s="1"/>
  <c r="G214" i="10" s="1"/>
  <c r="G215" i="10" s="1"/>
  <c r="G216" i="10" s="1"/>
  <c r="G217" i="10" s="1"/>
  <c r="G218" i="10" s="1"/>
  <c r="G219" i="10" s="1"/>
  <c r="G220" i="10" s="1"/>
  <c r="G221" i="10" s="1"/>
  <c r="G222" i="10" s="1"/>
  <c r="G223" i="10" s="1"/>
  <c r="G224" i="10" s="1"/>
  <c r="G225" i="10" s="1"/>
  <c r="G226" i="10" s="1"/>
  <c r="G227" i="10" s="1"/>
  <c r="G228" i="10" s="1"/>
  <c r="G229" i="10" s="1"/>
  <c r="G230" i="10" s="1"/>
  <c r="G231" i="10" s="1"/>
  <c r="G232" i="10" s="1"/>
  <c r="G233" i="10" s="1"/>
  <c r="G42" i="8"/>
  <c r="H42" i="8" s="1"/>
  <c r="I42" i="8"/>
  <c r="AF46" i="17" l="1"/>
  <c r="W47" i="17"/>
  <c r="V46" i="16"/>
  <c r="AQ46" i="16" s="1"/>
  <c r="E234" i="10"/>
  <c r="F234" i="10" s="1"/>
  <c r="G234" i="10" s="1"/>
  <c r="G235" i="10" s="1"/>
  <c r="G236" i="10" s="1"/>
  <c r="G237" i="10" s="1"/>
  <c r="G238" i="10" s="1"/>
  <c r="G239" i="10" s="1"/>
  <c r="G240" i="10" s="1"/>
  <c r="G241" i="10" s="1"/>
  <c r="G36" i="7"/>
  <c r="H36" i="7" s="1"/>
  <c r="I36" i="7" s="1"/>
  <c r="G40" i="9"/>
  <c r="H40" i="9" s="1"/>
  <c r="I40" i="9"/>
  <c r="G43" i="8"/>
  <c r="H43" i="8" s="1"/>
  <c r="I43" i="8"/>
  <c r="E48" i="7"/>
  <c r="G46" i="6"/>
  <c r="H46" i="6" s="1"/>
  <c r="I46" i="6" s="1"/>
  <c r="AF47" i="17" l="1"/>
  <c r="V47" i="16"/>
  <c r="AQ47" i="16" s="1"/>
  <c r="W48" i="17"/>
  <c r="G47" i="6"/>
  <c r="H47" i="6" s="1"/>
  <c r="I47" i="6"/>
  <c r="G37" i="7"/>
  <c r="H37" i="7" s="1"/>
  <c r="I37" i="7" s="1"/>
  <c r="G242" i="10"/>
  <c r="G243" i="10" s="1"/>
  <c r="C33" i="5"/>
  <c r="F33" i="5" s="1"/>
  <c r="G44" i="8"/>
  <c r="H44" i="8" s="1"/>
  <c r="I44" i="8" s="1"/>
  <c r="I45" i="8" s="1"/>
  <c r="G41" i="9"/>
  <c r="H41" i="9" s="1"/>
  <c r="I41" i="9" s="1"/>
  <c r="W49" i="17" l="1"/>
  <c r="AF48" i="17"/>
  <c r="V48" i="16"/>
  <c r="AQ48" i="16" s="1"/>
  <c r="G46" i="8"/>
  <c r="H46" i="8" s="1"/>
  <c r="I46" i="8" s="1"/>
  <c r="G38" i="7"/>
  <c r="H38" i="7" s="1"/>
  <c r="I38" i="7" s="1"/>
  <c r="G42" i="9"/>
  <c r="H42" i="9" s="1"/>
  <c r="I42" i="9" s="1"/>
  <c r="G48" i="6"/>
  <c r="H48" i="6" s="1"/>
  <c r="I48" i="6"/>
  <c r="W50" i="17" l="1"/>
  <c r="V49" i="16"/>
  <c r="AQ49" i="16" s="1"/>
  <c r="AF49" i="17"/>
  <c r="G39" i="7"/>
  <c r="H39" i="7" s="1"/>
  <c r="I39" i="7" s="1"/>
  <c r="G43" i="9"/>
  <c r="H43" i="9" s="1"/>
  <c r="I43" i="9" s="1"/>
  <c r="G47" i="8"/>
  <c r="H47" i="8" s="1"/>
  <c r="I47" i="8" s="1"/>
  <c r="G49" i="6"/>
  <c r="H49" i="6" s="1"/>
  <c r="I49" i="6" s="1"/>
  <c r="AF50" i="17" l="1"/>
  <c r="V50" i="16"/>
  <c r="AQ50" i="16" s="1"/>
  <c r="W51" i="17"/>
  <c r="G50" i="6"/>
  <c r="H50" i="6" s="1"/>
  <c r="I50" i="6" s="1"/>
  <c r="G44" i="9"/>
  <c r="H44" i="9" s="1"/>
  <c r="I44" i="9" s="1"/>
  <c r="I45" i="9" s="1"/>
  <c r="G40" i="7"/>
  <c r="H40" i="7" s="1"/>
  <c r="I40" i="7" s="1"/>
  <c r="K47" i="8"/>
  <c r="I48" i="8"/>
  <c r="W52" i="17" l="1"/>
  <c r="V51" i="16"/>
  <c r="AQ51" i="16" s="1"/>
  <c r="AF51" i="17"/>
  <c r="G41" i="7"/>
  <c r="H41" i="7" s="1"/>
  <c r="I41" i="7" s="1"/>
  <c r="G46" i="9"/>
  <c r="H46" i="9" s="1"/>
  <c r="I46" i="9" s="1"/>
  <c r="G51" i="6"/>
  <c r="H51" i="6" s="1"/>
  <c r="I51" i="6"/>
  <c r="K48" i="8"/>
  <c r="G49" i="8"/>
  <c r="H49" i="8" s="1"/>
  <c r="I49" i="8" s="1"/>
  <c r="W53" i="17" l="1"/>
  <c r="AF52" i="17"/>
  <c r="V52" i="16"/>
  <c r="AQ52" i="16" s="1"/>
  <c r="G50" i="8"/>
  <c r="H50" i="8" s="1"/>
  <c r="I50" i="8" s="1"/>
  <c r="K49" i="8"/>
  <c r="G47" i="9"/>
  <c r="H47" i="9" s="1"/>
  <c r="I47" i="9" s="1"/>
  <c r="G42" i="7"/>
  <c r="H42" i="7" s="1"/>
  <c r="I42" i="7" s="1"/>
  <c r="E52" i="6"/>
  <c r="W54" i="17" l="1"/>
  <c r="V53" i="16"/>
  <c r="AQ53" i="16" s="1"/>
  <c r="AF53" i="17"/>
  <c r="I43" i="7"/>
  <c r="G43" i="7"/>
  <c r="H43" i="7" s="1"/>
  <c r="G48" i="9"/>
  <c r="H48" i="9" s="1"/>
  <c r="I48" i="9" s="1"/>
  <c r="G51" i="8"/>
  <c r="H51" i="8" s="1"/>
  <c r="I51" i="8" s="1"/>
  <c r="K50" i="8"/>
  <c r="E55" i="7"/>
  <c r="G52" i="6"/>
  <c r="H52" i="6" s="1"/>
  <c r="I52" i="6" s="1"/>
  <c r="AF54" i="17" l="1"/>
  <c r="W55" i="17"/>
  <c r="V54" i="16"/>
  <c r="AQ54" i="16" s="1"/>
  <c r="G53" i="6"/>
  <c r="H53" i="6" s="1"/>
  <c r="I53" i="6" s="1"/>
  <c r="G49" i="9"/>
  <c r="H49" i="9" s="1"/>
  <c r="I49" i="9" s="1"/>
  <c r="E52" i="8"/>
  <c r="K51" i="8"/>
  <c r="G52" i="8"/>
  <c r="G55" i="7"/>
  <c r="H55" i="7"/>
  <c r="G44" i="7"/>
  <c r="H44" i="7" s="1"/>
  <c r="I44" i="7" s="1"/>
  <c r="W56" i="17" l="1"/>
  <c r="V55" i="16"/>
  <c r="AQ55" i="16" s="1"/>
  <c r="AF55" i="17"/>
  <c r="G45" i="7"/>
  <c r="H45" i="7" s="1"/>
  <c r="I45" i="7" s="1"/>
  <c r="G50" i="9"/>
  <c r="H50" i="9" s="1"/>
  <c r="I50" i="9" s="1"/>
  <c r="G55" i="6"/>
  <c r="H55" i="6" s="1"/>
  <c r="I55" i="6" s="1"/>
  <c r="E55" i="9"/>
  <c r="H52" i="8"/>
  <c r="I52" i="8" s="1"/>
  <c r="AF56" i="17" l="1"/>
  <c r="W57" i="17"/>
  <c r="V56" i="16"/>
  <c r="AQ56" i="16" s="1"/>
  <c r="G56" i="6"/>
  <c r="H56" i="6" s="1"/>
  <c r="I56" i="6"/>
  <c r="G51" i="9"/>
  <c r="H51" i="9" s="1"/>
  <c r="I51" i="9" s="1"/>
  <c r="I46" i="7"/>
  <c r="G46" i="7"/>
  <c r="H46" i="7" s="1"/>
  <c r="G55" i="9"/>
  <c r="H55" i="9" s="1"/>
  <c r="G53" i="8"/>
  <c r="H53" i="8" s="1"/>
  <c r="I53" i="8" s="1"/>
  <c r="K52" i="8"/>
  <c r="AF57" i="17" l="1"/>
  <c r="W58" i="17"/>
  <c r="V57" i="16"/>
  <c r="AQ57" i="16" s="1"/>
  <c r="G55" i="8"/>
  <c r="H55" i="8" s="1"/>
  <c r="I55" i="8" s="1"/>
  <c r="K53" i="8"/>
  <c r="G47" i="7"/>
  <c r="H47" i="7" s="1"/>
  <c r="I47" i="7" s="1"/>
  <c r="G57" i="6"/>
  <c r="H57" i="6" s="1"/>
  <c r="I57" i="6"/>
  <c r="G52" i="9"/>
  <c r="H52" i="9" s="1"/>
  <c r="I52" i="9" s="1"/>
  <c r="W59" i="17" l="1"/>
  <c r="AF58" i="17"/>
  <c r="V58" i="16"/>
  <c r="AQ58" i="16" s="1"/>
  <c r="G53" i="9"/>
  <c r="H53" i="9" s="1"/>
  <c r="I53" i="9" s="1"/>
  <c r="I55" i="9" s="1"/>
  <c r="G48" i="7"/>
  <c r="H48" i="7" s="1"/>
  <c r="I48" i="7" s="1"/>
  <c r="G58" i="6"/>
  <c r="H58" i="6" s="1"/>
  <c r="I58" i="6"/>
  <c r="I59" i="6" s="1"/>
  <c r="I60" i="6" s="1"/>
  <c r="I61" i="6" s="1"/>
  <c r="K55" i="8"/>
  <c r="G56" i="8"/>
  <c r="H56" i="8" s="1"/>
  <c r="I56" i="8"/>
  <c r="V59" i="16" l="1"/>
  <c r="AQ59" i="16" s="1"/>
  <c r="W60" i="17"/>
  <c r="AF59" i="17"/>
  <c r="G49" i="7"/>
  <c r="H49" i="7" s="1"/>
  <c r="I49" i="7" s="1"/>
  <c r="G56" i="9"/>
  <c r="H56" i="9" s="1"/>
  <c r="I56" i="9" s="1"/>
  <c r="G62" i="6"/>
  <c r="H62" i="6" s="1"/>
  <c r="I62" i="6"/>
  <c r="G57" i="8"/>
  <c r="H57" i="8" s="1"/>
  <c r="I57" i="8" s="1"/>
  <c r="K56" i="8"/>
  <c r="AF60" i="17" l="1"/>
  <c r="W61" i="17"/>
  <c r="V60" i="16"/>
  <c r="AQ60" i="16" s="1"/>
  <c r="G58" i="8"/>
  <c r="H58" i="8" s="1"/>
  <c r="I58" i="8" s="1"/>
  <c r="K57" i="8"/>
  <c r="G57" i="9"/>
  <c r="H57" i="9" s="1"/>
  <c r="I57" i="9" s="1"/>
  <c r="G50" i="7"/>
  <c r="H50" i="7" s="1"/>
  <c r="I50" i="7" s="1"/>
  <c r="G63" i="6"/>
  <c r="H63" i="6" s="1"/>
  <c r="I63" i="6" s="1"/>
  <c r="AF61" i="17" l="1"/>
  <c r="W62" i="17"/>
  <c r="V61" i="16"/>
  <c r="AQ61" i="16" s="1"/>
  <c r="G58" i="9"/>
  <c r="H58" i="9" s="1"/>
  <c r="I58" i="9" s="1"/>
  <c r="G64" i="6"/>
  <c r="H64" i="6" s="1"/>
  <c r="I64" i="6"/>
  <c r="G51" i="7"/>
  <c r="H51" i="7" s="1"/>
  <c r="I51" i="7" s="1"/>
  <c r="K58" i="8"/>
  <c r="G59" i="8"/>
  <c r="H59" i="8" s="1"/>
  <c r="I59" i="8" s="1"/>
  <c r="W63" i="17" l="1"/>
  <c r="AF62" i="17"/>
  <c r="V62" i="16"/>
  <c r="AQ62" i="16" s="1"/>
  <c r="K59" i="8"/>
  <c r="G60" i="8"/>
  <c r="H60" i="8" s="1"/>
  <c r="I60" i="8" s="1"/>
  <c r="G52" i="7"/>
  <c r="H52" i="7" s="1"/>
  <c r="I52" i="7" s="1"/>
  <c r="G59" i="9"/>
  <c r="H59" i="9" s="1"/>
  <c r="I59" i="9" s="1"/>
  <c r="E65" i="6"/>
  <c r="G65" i="6"/>
  <c r="AF63" i="17" l="1"/>
  <c r="V63" i="16"/>
  <c r="AQ63" i="16" s="1"/>
  <c r="W64" i="17"/>
  <c r="G60" i="9"/>
  <c r="H60" i="9" s="1"/>
  <c r="I60" i="9" s="1"/>
  <c r="G53" i="7"/>
  <c r="H53" i="7" s="1"/>
  <c r="I53" i="7"/>
  <c r="I55" i="7" s="1"/>
  <c r="K60" i="8"/>
  <c r="G61" i="8"/>
  <c r="H61" i="8" s="1"/>
  <c r="I61" i="8" s="1"/>
  <c r="E68" i="7"/>
  <c r="H65" i="6"/>
  <c r="I65" i="6" s="1"/>
  <c r="AF64" i="17" l="1"/>
  <c r="V64" i="16"/>
  <c r="AQ64" i="16" s="1"/>
  <c r="W65" i="17"/>
  <c r="K61" i="8"/>
  <c r="G62" i="8"/>
  <c r="H62" i="8" s="1"/>
  <c r="I62" i="8" s="1"/>
  <c r="G61" i="9"/>
  <c r="H61" i="9" s="1"/>
  <c r="I61" i="9" s="1"/>
  <c r="G56" i="7"/>
  <c r="H56" i="7" s="1"/>
  <c r="I56" i="7" s="1"/>
  <c r="G66" i="6"/>
  <c r="H66" i="6" s="1"/>
  <c r="I66" i="6" s="1"/>
  <c r="G68" i="7"/>
  <c r="H68" i="7"/>
  <c r="W66" i="17" l="1"/>
  <c r="AF65" i="17"/>
  <c r="V65" i="16"/>
  <c r="AQ65" i="16" s="1"/>
  <c r="G67" i="6"/>
  <c r="H67" i="6" s="1"/>
  <c r="I67" i="6"/>
  <c r="G57" i="7"/>
  <c r="H57" i="7" s="1"/>
  <c r="I57" i="7" s="1"/>
  <c r="I58" i="7" s="1"/>
  <c r="G63" i="8"/>
  <c r="H63" i="8" s="1"/>
  <c r="I63" i="8" s="1"/>
  <c r="G62" i="9"/>
  <c r="H62" i="9" s="1"/>
  <c r="I62" i="9" s="1"/>
  <c r="AF66" i="17" l="1"/>
  <c r="W67" i="17"/>
  <c r="V66" i="16"/>
  <c r="AQ66" i="16" s="1"/>
  <c r="G59" i="7"/>
  <c r="H59" i="7" s="1"/>
  <c r="I59" i="7"/>
  <c r="G64" i="8"/>
  <c r="H64" i="8" s="1"/>
  <c r="I64" i="8" s="1"/>
  <c r="G63" i="9"/>
  <c r="H63" i="9" s="1"/>
  <c r="I63" i="9" s="1"/>
  <c r="G68" i="6"/>
  <c r="H68" i="6" s="1"/>
  <c r="I68" i="6" s="1"/>
  <c r="AF67" i="17" l="1"/>
  <c r="W68" i="17"/>
  <c r="V67" i="16"/>
  <c r="AQ67" i="16" s="1"/>
  <c r="G69" i="6"/>
  <c r="H69" i="6" s="1"/>
  <c r="I69" i="6" s="1"/>
  <c r="G64" i="9"/>
  <c r="H64" i="9" s="1"/>
  <c r="I64" i="9" s="1"/>
  <c r="E65" i="8"/>
  <c r="G65" i="8"/>
  <c r="G60" i="7"/>
  <c r="H60" i="7" s="1"/>
  <c r="I60" i="7" s="1"/>
  <c r="W69" i="17" l="1"/>
  <c r="AF68" i="17"/>
  <c r="V68" i="16"/>
  <c r="AQ68" i="16" s="1"/>
  <c r="G65" i="9"/>
  <c r="H65" i="9" s="1"/>
  <c r="I65" i="9" s="1"/>
  <c r="G61" i="7"/>
  <c r="H61" i="7" s="1"/>
  <c r="I61" i="7" s="1"/>
  <c r="G70" i="6"/>
  <c r="H70" i="6" s="1"/>
  <c r="I70" i="6" s="1"/>
  <c r="E68" i="9"/>
  <c r="H65" i="8"/>
  <c r="I65" i="8" s="1"/>
  <c r="AF69" i="17" l="1"/>
  <c r="V69" i="16"/>
  <c r="AQ69" i="16" s="1"/>
  <c r="W70" i="17"/>
  <c r="G71" i="6"/>
  <c r="H71" i="6" s="1"/>
  <c r="I71" i="6"/>
  <c r="G62" i="7"/>
  <c r="H62" i="7" s="1"/>
  <c r="I62" i="7"/>
  <c r="G66" i="9"/>
  <c r="H66" i="9" s="1"/>
  <c r="I66" i="9" s="1"/>
  <c r="G66" i="8"/>
  <c r="H66" i="8" s="1"/>
  <c r="I66" i="8" s="1"/>
  <c r="G68" i="9"/>
  <c r="H68" i="9" s="1"/>
  <c r="W71" i="17" l="1"/>
  <c r="AF70" i="17"/>
  <c r="V70" i="16"/>
  <c r="AQ70" i="16" s="1"/>
  <c r="G67" i="9"/>
  <c r="H67" i="9" s="1"/>
  <c r="I67" i="9" s="1"/>
  <c r="I68" i="9" s="1"/>
  <c r="G67" i="8"/>
  <c r="H67" i="8" s="1"/>
  <c r="I67" i="8" s="1"/>
  <c r="G63" i="7"/>
  <c r="H63" i="7" s="1"/>
  <c r="I63" i="7"/>
  <c r="G72" i="6"/>
  <c r="H72" i="6" s="1"/>
  <c r="I72" i="6" s="1"/>
  <c r="AF71" i="17" l="1"/>
  <c r="W72" i="17"/>
  <c r="V71" i="16"/>
  <c r="AQ71" i="16" s="1"/>
  <c r="G73" i="6"/>
  <c r="H73" i="6" s="1"/>
  <c r="I73" i="6" s="1"/>
  <c r="G68" i="8"/>
  <c r="H68" i="8" s="1"/>
  <c r="I68" i="8" s="1"/>
  <c r="G69" i="9"/>
  <c r="H69" i="9" s="1"/>
  <c r="I69" i="9" s="1"/>
  <c r="G64" i="7"/>
  <c r="H64" i="7" s="1"/>
  <c r="I64" i="7"/>
  <c r="AF72" i="17" l="1"/>
  <c r="V72" i="16"/>
  <c r="AQ72" i="16" s="1"/>
  <c r="W73" i="17"/>
  <c r="K68" i="8"/>
  <c r="G69" i="8"/>
  <c r="H69" i="8" s="1"/>
  <c r="I69" i="8"/>
  <c r="G70" i="9"/>
  <c r="H70" i="9" s="1"/>
  <c r="I70" i="9" s="1"/>
  <c r="G74" i="6"/>
  <c r="H74" i="6" s="1"/>
  <c r="I74" i="6" s="1"/>
  <c r="G65" i="7"/>
  <c r="H65" i="7" s="1"/>
  <c r="I65" i="7" s="1"/>
  <c r="W74" i="17" l="1"/>
  <c r="AF73" i="17"/>
  <c r="V73" i="16"/>
  <c r="AQ73" i="16" s="1"/>
  <c r="G66" i="7"/>
  <c r="H66" i="7" s="1"/>
  <c r="I66" i="7" s="1"/>
  <c r="G75" i="6"/>
  <c r="H75" i="6" s="1"/>
  <c r="I75" i="6" s="1"/>
  <c r="K69" i="8"/>
  <c r="G70" i="8"/>
  <c r="H70" i="8" s="1"/>
  <c r="I70" i="8" s="1"/>
  <c r="G71" i="9"/>
  <c r="H71" i="9" s="1"/>
  <c r="I71" i="9" s="1"/>
  <c r="AF74" i="17" l="1"/>
  <c r="V74" i="16"/>
  <c r="AQ74" i="16" s="1"/>
  <c r="W75" i="17"/>
  <c r="G72" i="9"/>
  <c r="H72" i="9" s="1"/>
  <c r="I72" i="9" s="1"/>
  <c r="G71" i="8"/>
  <c r="H71" i="8" s="1"/>
  <c r="I71" i="8" s="1"/>
  <c r="G76" i="6"/>
  <c r="H76" i="6" s="1"/>
  <c r="I76" i="6" s="1"/>
  <c r="G67" i="7"/>
  <c r="H67" i="7" s="1"/>
  <c r="I67" i="7" s="1"/>
  <c r="I68" i="7" s="1"/>
  <c r="W76" i="17" l="1"/>
  <c r="AF75" i="17"/>
  <c r="V75" i="16"/>
  <c r="AQ75" i="16" s="1"/>
  <c r="G69" i="7"/>
  <c r="H69" i="7" s="1"/>
  <c r="I69" i="7" s="1"/>
  <c r="G72" i="8"/>
  <c r="H72" i="8" s="1"/>
  <c r="I72" i="8" s="1"/>
  <c r="E77" i="6"/>
  <c r="G77" i="6"/>
  <c r="G73" i="9"/>
  <c r="H73" i="9" s="1"/>
  <c r="I73" i="9" s="1"/>
  <c r="AF76" i="17" l="1"/>
  <c r="W77" i="17"/>
  <c r="V76" i="16"/>
  <c r="AQ76" i="16" s="1"/>
  <c r="G74" i="9"/>
  <c r="H74" i="9" s="1"/>
  <c r="I74" i="9" s="1"/>
  <c r="G73" i="8"/>
  <c r="H73" i="8" s="1"/>
  <c r="I73" i="8" s="1"/>
  <c r="G70" i="7"/>
  <c r="H70" i="7" s="1"/>
  <c r="I70" i="7"/>
  <c r="H77" i="6"/>
  <c r="I77" i="6" s="1"/>
  <c r="E81" i="7"/>
  <c r="W78" i="17" l="1"/>
  <c r="V77" i="16"/>
  <c r="AQ77" i="16" s="1"/>
  <c r="AF77" i="17"/>
  <c r="G75" i="9"/>
  <c r="H75" i="9" s="1"/>
  <c r="I75" i="9"/>
  <c r="G71" i="7"/>
  <c r="H71" i="7" s="1"/>
  <c r="I71" i="7"/>
  <c r="H81" i="7"/>
  <c r="G81" i="7"/>
  <c r="G74" i="8"/>
  <c r="H74" i="8" s="1"/>
  <c r="I74" i="8" s="1"/>
  <c r="G78" i="6"/>
  <c r="H78" i="6" s="1"/>
  <c r="I78" i="6" s="1"/>
  <c r="W79" i="17" l="1"/>
  <c r="AF78" i="17"/>
  <c r="V78" i="16"/>
  <c r="AQ78" i="16" s="1"/>
  <c r="G79" i="6"/>
  <c r="H79" i="6" s="1"/>
  <c r="I79" i="6"/>
  <c r="G75" i="8"/>
  <c r="H75" i="8" s="1"/>
  <c r="I75" i="8" s="1"/>
  <c r="G72" i="7"/>
  <c r="H72" i="7" s="1"/>
  <c r="I72" i="7" s="1"/>
  <c r="G76" i="9"/>
  <c r="H76" i="9" s="1"/>
  <c r="I76" i="9" s="1"/>
  <c r="AF79" i="17" l="1"/>
  <c r="W80" i="17"/>
  <c r="V79" i="16"/>
  <c r="AQ79" i="16" s="1"/>
  <c r="G77" i="9"/>
  <c r="H77" i="9" s="1"/>
  <c r="I77" i="9"/>
  <c r="I73" i="7"/>
  <c r="G73" i="7"/>
  <c r="H73" i="7" s="1"/>
  <c r="G76" i="8"/>
  <c r="H76" i="8" s="1"/>
  <c r="I76" i="8" s="1"/>
  <c r="G80" i="6"/>
  <c r="H80" i="6" s="1"/>
  <c r="I80" i="6"/>
  <c r="V80" i="16" l="1"/>
  <c r="AQ80" i="16" s="1"/>
  <c r="AF80" i="17"/>
  <c r="AF83" i="17" s="1"/>
  <c r="G77" i="8"/>
  <c r="H77" i="8" s="1"/>
  <c r="I77" i="8" s="1"/>
  <c r="G81" i="6"/>
  <c r="H81" i="6" s="1"/>
  <c r="I81" i="6" s="1"/>
  <c r="G74" i="7"/>
  <c r="H74" i="7" s="1"/>
  <c r="I74" i="7" s="1"/>
  <c r="G78" i="9"/>
  <c r="H78" i="9" s="1"/>
  <c r="I78" i="9" s="1"/>
  <c r="G79" i="9" l="1"/>
  <c r="H79" i="9" s="1"/>
  <c r="I79" i="9"/>
  <c r="G75" i="7"/>
  <c r="H75" i="7" s="1"/>
  <c r="I75" i="7" s="1"/>
  <c r="G82" i="6"/>
  <c r="H82" i="6" s="1"/>
  <c r="I82" i="6" s="1"/>
  <c r="G78" i="8"/>
  <c r="H78" i="8" s="1"/>
  <c r="I78" i="8" s="1"/>
  <c r="G79" i="8" l="1"/>
  <c r="H79" i="8" s="1"/>
  <c r="I79" i="8" s="1"/>
  <c r="G83" i="6"/>
  <c r="H83" i="6" s="1"/>
  <c r="I83" i="6" s="1"/>
  <c r="G76" i="7"/>
  <c r="H76" i="7" s="1"/>
  <c r="I76" i="7" s="1"/>
  <c r="G80" i="9"/>
  <c r="H80" i="9" s="1"/>
  <c r="I80" i="9" s="1"/>
  <c r="I81" i="9" s="1"/>
  <c r="G84" i="6" l="1"/>
  <c r="H84" i="6" s="1"/>
  <c r="I84" i="6" s="1"/>
  <c r="G82" i="9"/>
  <c r="H82" i="9" s="1"/>
  <c r="I82" i="9" s="1"/>
  <c r="G77" i="7"/>
  <c r="H77" i="7" s="1"/>
  <c r="I77" i="7" s="1"/>
  <c r="G80" i="8"/>
  <c r="H80" i="8" s="1"/>
  <c r="I80" i="8" s="1"/>
  <c r="G81" i="8" l="1"/>
  <c r="H81" i="8" s="1"/>
  <c r="I81" i="8" s="1"/>
  <c r="G78" i="7"/>
  <c r="H78" i="7" s="1"/>
  <c r="I78" i="7"/>
  <c r="G83" i="9"/>
  <c r="H83" i="9" s="1"/>
  <c r="I83" i="9"/>
  <c r="G85" i="6"/>
  <c r="H85" i="6" s="1"/>
  <c r="I85" i="6" s="1"/>
  <c r="G86" i="6" l="1"/>
  <c r="H86" i="6" s="1"/>
  <c r="I86" i="6"/>
  <c r="G82" i="8"/>
  <c r="H82" i="8" s="1"/>
  <c r="I82" i="8" s="1"/>
  <c r="G84" i="9"/>
  <c r="H84" i="9" s="1"/>
  <c r="I84" i="9"/>
  <c r="G79" i="7"/>
  <c r="H79" i="7" s="1"/>
  <c r="I79" i="7"/>
  <c r="G83" i="8" l="1"/>
  <c r="H83" i="8" s="1"/>
  <c r="I83" i="8"/>
  <c r="G80" i="7"/>
  <c r="H80" i="7" s="1"/>
  <c r="I80" i="7" s="1"/>
  <c r="I81" i="7" s="1"/>
  <c r="G85" i="9"/>
  <c r="H85" i="9" s="1"/>
  <c r="I85" i="9" s="1"/>
  <c r="G87" i="6"/>
  <c r="H87" i="6" s="1"/>
  <c r="I87" i="6" s="1"/>
  <c r="G88" i="6" l="1"/>
  <c r="H88" i="6" s="1"/>
  <c r="I88" i="6" s="1"/>
  <c r="G82" i="7"/>
  <c r="H82" i="7" s="1"/>
  <c r="I82" i="7"/>
  <c r="G86" i="9"/>
  <c r="H86" i="9" s="1"/>
  <c r="I86" i="9" s="1"/>
  <c r="G84" i="8"/>
  <c r="H84" i="8" s="1"/>
  <c r="I84" i="8" s="1"/>
  <c r="G85" i="8" l="1"/>
  <c r="H85" i="8" s="1"/>
  <c r="I85" i="8"/>
  <c r="G87" i="9"/>
  <c r="H87" i="9" s="1"/>
  <c r="I87" i="9"/>
  <c r="E89" i="6"/>
  <c r="G83" i="7"/>
  <c r="H83" i="7" s="1"/>
  <c r="I83" i="7"/>
  <c r="G84" i="7" l="1"/>
  <c r="H84" i="7" s="1"/>
  <c r="I84" i="7" s="1"/>
  <c r="G86" i="8"/>
  <c r="H86" i="8" s="1"/>
  <c r="I86" i="8" s="1"/>
  <c r="G89" i="6"/>
  <c r="H89" i="6" s="1"/>
  <c r="I89" i="6" s="1"/>
  <c r="G88" i="9"/>
  <c r="H88" i="9" s="1"/>
  <c r="I88" i="9"/>
  <c r="G90" i="6" l="1"/>
  <c r="H90" i="6" s="1"/>
  <c r="I90" i="6"/>
  <c r="G87" i="8"/>
  <c r="H87" i="8" s="1"/>
  <c r="I87" i="8" s="1"/>
  <c r="G85" i="7"/>
  <c r="H85" i="7" s="1"/>
  <c r="I85" i="7" s="1"/>
  <c r="G89" i="9"/>
  <c r="H89" i="9" s="1"/>
  <c r="I89" i="9" s="1"/>
  <c r="G90" i="9" l="1"/>
  <c r="H90" i="9" s="1"/>
  <c r="I90" i="9" s="1"/>
  <c r="G86" i="7"/>
  <c r="H86" i="7" s="1"/>
  <c r="I86" i="7" s="1"/>
  <c r="G88" i="8"/>
  <c r="H88" i="8" s="1"/>
  <c r="I88" i="8" s="1"/>
  <c r="G91" i="6"/>
  <c r="H91" i="6" s="1"/>
  <c r="I91" i="6" s="1"/>
  <c r="E89" i="8" l="1"/>
  <c r="G89" i="8" s="1"/>
  <c r="G87" i="7"/>
  <c r="H87" i="7" s="1"/>
  <c r="I87" i="7" s="1"/>
  <c r="G92" i="6"/>
  <c r="H92" i="6" s="1"/>
  <c r="I92" i="6"/>
  <c r="G91" i="9"/>
  <c r="H91" i="9" s="1"/>
  <c r="I91" i="9" s="1"/>
  <c r="G88" i="7" l="1"/>
  <c r="H88" i="7" s="1"/>
  <c r="I88" i="7" s="1"/>
  <c r="G92" i="9"/>
  <c r="H92" i="9" s="1"/>
  <c r="I92" i="9" s="1"/>
  <c r="I93" i="6"/>
  <c r="G93" i="6"/>
  <c r="H93" i="6" s="1"/>
  <c r="H89" i="8"/>
  <c r="I89" i="8" s="1"/>
  <c r="G89" i="7" l="1"/>
  <c r="H89" i="7" s="1"/>
  <c r="I89" i="7"/>
  <c r="G93" i="9"/>
  <c r="H93" i="9" s="1"/>
  <c r="I93" i="9"/>
  <c r="I94" i="9" s="1"/>
  <c r="G90" i="8"/>
  <c r="H90" i="8" s="1"/>
  <c r="I90" i="8"/>
  <c r="G94" i="6"/>
  <c r="H94" i="6" s="1"/>
  <c r="I94" i="6" s="1"/>
  <c r="G95" i="6" l="1"/>
  <c r="H95" i="6" s="1"/>
  <c r="I95" i="6" s="1"/>
  <c r="G95" i="9"/>
  <c r="H95" i="9" s="1"/>
  <c r="I95" i="9" s="1"/>
  <c r="G91" i="8"/>
  <c r="H91" i="8" s="1"/>
  <c r="I91" i="8" s="1"/>
  <c r="G90" i="7"/>
  <c r="H90" i="7" s="1"/>
  <c r="I90" i="7" s="1"/>
  <c r="G91" i="7" l="1"/>
  <c r="H91" i="7" s="1"/>
  <c r="I91" i="7"/>
  <c r="G92" i="8"/>
  <c r="H92" i="8" s="1"/>
  <c r="I92" i="8" s="1"/>
  <c r="G96" i="9"/>
  <c r="H96" i="9" s="1"/>
  <c r="I96" i="9" s="1"/>
  <c r="G96" i="6"/>
  <c r="H96" i="6" s="1"/>
  <c r="I96" i="6" s="1"/>
  <c r="G97" i="6" l="1"/>
  <c r="H97" i="6" s="1"/>
  <c r="I97" i="6" s="1"/>
  <c r="G97" i="9"/>
  <c r="H97" i="9" s="1"/>
  <c r="I97" i="9"/>
  <c r="G93" i="8"/>
  <c r="H93" i="8" s="1"/>
  <c r="I93" i="8"/>
  <c r="I92" i="7"/>
  <c r="G92" i="7"/>
  <c r="H92" i="7" s="1"/>
  <c r="I98" i="6" l="1"/>
  <c r="G98" i="6"/>
  <c r="H98" i="6" s="1"/>
  <c r="G94" i="8"/>
  <c r="H94" i="8" s="1"/>
  <c r="I94" i="8" s="1"/>
  <c r="G93" i="7"/>
  <c r="H93" i="7" s="1"/>
  <c r="I93" i="7" s="1"/>
  <c r="I94" i="7" s="1"/>
  <c r="G98" i="9"/>
  <c r="H98" i="9" s="1"/>
  <c r="I98" i="9"/>
  <c r="G95" i="7" l="1"/>
  <c r="H95" i="7" s="1"/>
  <c r="I95" i="7" s="1"/>
  <c r="G95" i="8"/>
  <c r="H95" i="8" s="1"/>
  <c r="I95" i="8" s="1"/>
  <c r="G99" i="9"/>
  <c r="H99" i="9" s="1"/>
  <c r="I99" i="9" s="1"/>
  <c r="G99" i="6"/>
  <c r="H99" i="6" s="1"/>
  <c r="I99" i="6" s="1"/>
  <c r="G100" i="6" l="1"/>
  <c r="H100" i="6" s="1"/>
  <c r="I100" i="6"/>
  <c r="G96" i="8"/>
  <c r="H96" i="8" s="1"/>
  <c r="I96" i="8" s="1"/>
  <c r="G100" i="9"/>
  <c r="H100" i="9" s="1"/>
  <c r="I100" i="9" s="1"/>
  <c r="G96" i="7"/>
  <c r="H96" i="7" s="1"/>
  <c r="I96" i="7"/>
  <c r="G101" i="9" l="1"/>
  <c r="H101" i="9" s="1"/>
  <c r="I101" i="9" s="1"/>
  <c r="G97" i="8"/>
  <c r="H97" i="8" s="1"/>
  <c r="I97" i="8"/>
  <c r="G101" i="6"/>
  <c r="E101" i="6"/>
  <c r="G97" i="7"/>
  <c r="H97" i="7" s="1"/>
  <c r="I97" i="7" s="1"/>
  <c r="G98" i="7" l="1"/>
  <c r="H98" i="7" s="1"/>
  <c r="I98" i="7" s="1"/>
  <c r="G102" i="9"/>
  <c r="H102" i="9" s="1"/>
  <c r="I102" i="9" s="1"/>
  <c r="G98" i="8"/>
  <c r="H98" i="8" s="1"/>
  <c r="I98" i="8" s="1"/>
  <c r="E107" i="7"/>
  <c r="H101" i="6"/>
  <c r="I101" i="6" s="1"/>
  <c r="G103" i="9" l="1"/>
  <c r="H103" i="9" s="1"/>
  <c r="I103" i="9" s="1"/>
  <c r="G99" i="8"/>
  <c r="H99" i="8" s="1"/>
  <c r="I99" i="8" s="1"/>
  <c r="G99" i="7"/>
  <c r="H99" i="7" s="1"/>
  <c r="I99" i="7"/>
  <c r="G107" i="7"/>
  <c r="H107" i="7"/>
  <c r="G102" i="6"/>
  <c r="H102" i="6" s="1"/>
  <c r="I102" i="6" s="1"/>
  <c r="G103" i="6" l="1"/>
  <c r="H103" i="6" s="1"/>
  <c r="I103" i="6"/>
  <c r="G100" i="8"/>
  <c r="H100" i="8" s="1"/>
  <c r="I100" i="8" s="1"/>
  <c r="G104" i="9"/>
  <c r="H104" i="9" s="1"/>
  <c r="I104" i="9" s="1"/>
  <c r="G100" i="7"/>
  <c r="H100" i="7" s="1"/>
  <c r="I100" i="7" s="1"/>
  <c r="G101" i="7" l="1"/>
  <c r="H101" i="7" s="1"/>
  <c r="I101" i="7"/>
  <c r="G105" i="9"/>
  <c r="H105" i="9" s="1"/>
  <c r="I105" i="9" s="1"/>
  <c r="G104" i="6"/>
  <c r="H104" i="6" s="1"/>
  <c r="I104" i="6"/>
  <c r="E101" i="8"/>
  <c r="G101" i="8" s="1"/>
  <c r="G106" i="9" l="1"/>
  <c r="H106" i="9" s="1"/>
  <c r="I106" i="9" s="1"/>
  <c r="E107" i="9"/>
  <c r="H101" i="8"/>
  <c r="I101" i="8" s="1"/>
  <c r="G105" i="6"/>
  <c r="H105" i="6" s="1"/>
  <c r="I105" i="6" s="1"/>
  <c r="G102" i="7"/>
  <c r="H102" i="7" s="1"/>
  <c r="I102" i="7" s="1"/>
  <c r="G103" i="7" l="1"/>
  <c r="H103" i="7" s="1"/>
  <c r="I103" i="7" s="1"/>
  <c r="G106" i="6"/>
  <c r="H106" i="6" s="1"/>
  <c r="I106" i="6" s="1"/>
  <c r="G102" i="8"/>
  <c r="H102" i="8" s="1"/>
  <c r="I102" i="8"/>
  <c r="G107" i="9"/>
  <c r="H107" i="9" s="1"/>
  <c r="I107" i="9" s="1"/>
  <c r="G107" i="6" l="1"/>
  <c r="H107" i="6" s="1"/>
  <c r="I107" i="6" s="1"/>
  <c r="G108" i="9"/>
  <c r="H108" i="9" s="1"/>
  <c r="I108" i="9" s="1"/>
  <c r="G104" i="7"/>
  <c r="H104" i="7" s="1"/>
  <c r="I104" i="7" s="1"/>
  <c r="G103" i="8"/>
  <c r="H103" i="8" s="1"/>
  <c r="I103" i="8" s="1"/>
  <c r="G104" i="8" l="1"/>
  <c r="H104" i="8" s="1"/>
  <c r="I104" i="8" s="1"/>
  <c r="G105" i="7"/>
  <c r="H105" i="7" s="1"/>
  <c r="I105" i="7" s="1"/>
  <c r="G109" i="9"/>
  <c r="H109" i="9" s="1"/>
  <c r="I109" i="9" s="1"/>
  <c r="G108" i="6"/>
  <c r="H108" i="6" s="1"/>
  <c r="I108" i="6"/>
  <c r="G110" i="9" l="1"/>
  <c r="H110" i="9" s="1"/>
  <c r="I110" i="9" s="1"/>
  <c r="G106" i="7"/>
  <c r="H106" i="7" s="1"/>
  <c r="I106" i="7" s="1"/>
  <c r="I107" i="7" s="1"/>
  <c r="G109" i="6"/>
  <c r="H109" i="6" s="1"/>
  <c r="I109" i="6" s="1"/>
  <c r="G105" i="8"/>
  <c r="H105" i="8" s="1"/>
  <c r="I105" i="8" s="1"/>
  <c r="G106" i="8" l="1"/>
  <c r="H106" i="8" s="1"/>
  <c r="I106" i="8" s="1"/>
  <c r="G110" i="6"/>
  <c r="H110" i="6" s="1"/>
  <c r="I110" i="6" s="1"/>
  <c r="G108" i="7"/>
  <c r="H108" i="7" s="1"/>
  <c r="I108" i="7"/>
  <c r="G111" i="9"/>
  <c r="H111" i="9" s="1"/>
  <c r="I111" i="9" s="1"/>
  <c r="G111" i="6" l="1"/>
  <c r="H111" i="6" s="1"/>
  <c r="I111" i="6" s="1"/>
  <c r="G107" i="8"/>
  <c r="H107" i="8" s="1"/>
  <c r="I107" i="8" s="1"/>
  <c r="G112" i="9"/>
  <c r="H112" i="9" s="1"/>
  <c r="I112" i="9" s="1"/>
  <c r="G109" i="7"/>
  <c r="H109" i="7" s="1"/>
  <c r="I109" i="7" s="1"/>
  <c r="G113" i="9" l="1"/>
  <c r="H113" i="9" s="1"/>
  <c r="I113" i="9" s="1"/>
  <c r="G110" i="7"/>
  <c r="H110" i="7" s="1"/>
  <c r="I110" i="7" s="1"/>
  <c r="G112" i="6"/>
  <c r="H112" i="6" s="1"/>
  <c r="I112" i="6"/>
  <c r="G108" i="8"/>
  <c r="H108" i="8" s="1"/>
  <c r="I108" i="8" s="1"/>
  <c r="G109" i="8" l="1"/>
  <c r="H109" i="8" s="1"/>
  <c r="I109" i="8" s="1"/>
  <c r="G111" i="7"/>
  <c r="H111" i="7" s="1"/>
  <c r="I111" i="7"/>
  <c r="G114" i="9"/>
  <c r="H114" i="9" s="1"/>
  <c r="I114" i="9" s="1"/>
  <c r="G113" i="6"/>
  <c r="H113" i="6" s="1"/>
  <c r="I113" i="6" s="1"/>
  <c r="G110" i="8" l="1"/>
  <c r="H110" i="8" s="1"/>
  <c r="I110" i="8" s="1"/>
  <c r="G114" i="6"/>
  <c r="H114" i="6" s="1"/>
  <c r="I114" i="6" s="1"/>
  <c r="G115" i="9"/>
  <c r="H115" i="9" s="1"/>
  <c r="I115" i="9" s="1"/>
  <c r="G112" i="7"/>
  <c r="H112" i="7" s="1"/>
  <c r="I112" i="7"/>
  <c r="G111" i="8" l="1"/>
  <c r="H111" i="8" s="1"/>
  <c r="I111" i="8" s="1"/>
  <c r="G116" i="9"/>
  <c r="H116" i="9" s="1"/>
  <c r="I116" i="9"/>
  <c r="G115" i="6"/>
  <c r="H115" i="6" s="1"/>
  <c r="I115" i="6" s="1"/>
  <c r="G113" i="7"/>
  <c r="H113" i="7" s="1"/>
  <c r="I113" i="7" s="1"/>
  <c r="G114" i="7" l="1"/>
  <c r="H114" i="7" s="1"/>
  <c r="I114" i="7" s="1"/>
  <c r="G112" i="8"/>
  <c r="H112" i="8" s="1"/>
  <c r="I112" i="8" s="1"/>
  <c r="G116" i="6"/>
  <c r="H116" i="6" s="1"/>
  <c r="I116" i="6"/>
  <c r="G117" i="9"/>
  <c r="H117" i="9" s="1"/>
  <c r="I117" i="9" s="1"/>
  <c r="G115" i="7" l="1"/>
  <c r="H115" i="7" s="1"/>
  <c r="I115" i="7" s="1"/>
  <c r="G113" i="8"/>
  <c r="H113" i="8" s="1"/>
  <c r="I113" i="8" s="1"/>
  <c r="G118" i="9"/>
  <c r="H118" i="9" s="1"/>
  <c r="I118" i="9" s="1"/>
  <c r="G117" i="6"/>
  <c r="H117" i="6" s="1"/>
  <c r="I117" i="6" s="1"/>
  <c r="G118" i="6" l="1"/>
  <c r="H118" i="6" s="1"/>
  <c r="I118" i="6" s="1"/>
  <c r="G119" i="9"/>
  <c r="H119" i="9" s="1"/>
  <c r="I119" i="9" s="1"/>
  <c r="I120" i="9" s="1"/>
  <c r="G114" i="8"/>
  <c r="H114" i="8" s="1"/>
  <c r="I114" i="8"/>
  <c r="G116" i="7"/>
  <c r="H116" i="7" s="1"/>
  <c r="I116" i="7" s="1"/>
  <c r="G117" i="7" l="1"/>
  <c r="H117" i="7" s="1"/>
  <c r="I117" i="7" s="1"/>
  <c r="G121" i="9"/>
  <c r="H121" i="9" s="1"/>
  <c r="I121" i="9" s="1"/>
  <c r="G119" i="6"/>
  <c r="H119" i="6" s="1"/>
  <c r="I119" i="6" s="1"/>
  <c r="G115" i="8"/>
  <c r="H115" i="8" s="1"/>
  <c r="I115" i="8" s="1"/>
  <c r="G120" i="6" l="1"/>
  <c r="H120" i="6" s="1"/>
  <c r="I120" i="6" s="1"/>
  <c r="G122" i="9"/>
  <c r="H122" i="9" s="1"/>
  <c r="I122" i="9" s="1"/>
  <c r="G118" i="7"/>
  <c r="H118" i="7" s="1"/>
  <c r="I118" i="7"/>
  <c r="G116" i="8"/>
  <c r="H116" i="8" s="1"/>
  <c r="I116" i="8" s="1"/>
  <c r="G117" i="8" l="1"/>
  <c r="H117" i="8" s="1"/>
  <c r="I117" i="8" s="1"/>
  <c r="G123" i="9"/>
  <c r="H123" i="9" s="1"/>
  <c r="I123" i="9" s="1"/>
  <c r="G121" i="6"/>
  <c r="H121" i="6" s="1"/>
  <c r="I121" i="6" s="1"/>
  <c r="G119" i="7"/>
  <c r="H119" i="7" s="1"/>
  <c r="I119" i="7"/>
  <c r="I120" i="7" s="1"/>
  <c r="G122" i="6" l="1"/>
  <c r="H122" i="6" s="1"/>
  <c r="I122" i="6" s="1"/>
  <c r="G121" i="7"/>
  <c r="H121" i="7" s="1"/>
  <c r="I121" i="7" s="1"/>
  <c r="G124" i="9"/>
  <c r="H124" i="9" s="1"/>
  <c r="I124" i="9" s="1"/>
  <c r="G118" i="8"/>
  <c r="H118" i="8" s="1"/>
  <c r="I118" i="8" s="1"/>
  <c r="G122" i="7" l="1"/>
  <c r="H122" i="7" s="1"/>
  <c r="I122" i="7" s="1"/>
  <c r="G119" i="8"/>
  <c r="H119" i="8" s="1"/>
  <c r="I119" i="8" s="1"/>
  <c r="G125" i="9"/>
  <c r="H125" i="9" s="1"/>
  <c r="I125" i="9"/>
  <c r="G123" i="6"/>
  <c r="H123" i="6" s="1"/>
  <c r="I123" i="6" s="1"/>
  <c r="G124" i="6" l="1"/>
  <c r="H124" i="6" s="1"/>
  <c r="I124" i="6" s="1"/>
  <c r="G120" i="8"/>
  <c r="H120" i="8" s="1"/>
  <c r="I120" i="8"/>
  <c r="G123" i="7"/>
  <c r="H123" i="7" s="1"/>
  <c r="I123" i="7"/>
  <c r="G126" i="9"/>
  <c r="H126" i="9" s="1"/>
  <c r="I126" i="9" s="1"/>
  <c r="G127" i="9" l="1"/>
  <c r="H127" i="9" s="1"/>
  <c r="I127" i="9"/>
  <c r="G125" i="6"/>
  <c r="H125" i="6" s="1"/>
  <c r="I125" i="6"/>
  <c r="G124" i="7"/>
  <c r="H124" i="7" s="1"/>
  <c r="I124" i="7" s="1"/>
  <c r="G121" i="8"/>
  <c r="H121" i="8" s="1"/>
  <c r="I121" i="8" s="1"/>
  <c r="G122" i="8" l="1"/>
  <c r="H122" i="8" s="1"/>
  <c r="I122" i="8"/>
  <c r="G125" i="7"/>
  <c r="H125" i="7" s="1"/>
  <c r="I125" i="7"/>
  <c r="G126" i="6"/>
  <c r="H126" i="6" s="1"/>
  <c r="I126" i="6" s="1"/>
  <c r="G128" i="9"/>
  <c r="H128" i="9" s="1"/>
  <c r="I128" i="9"/>
  <c r="G127" i="6" l="1"/>
  <c r="H127" i="6" s="1"/>
  <c r="I127" i="6" s="1"/>
  <c r="G126" i="7"/>
  <c r="H126" i="7" s="1"/>
  <c r="I126" i="7" s="1"/>
  <c r="G129" i="9"/>
  <c r="H129" i="9" s="1"/>
  <c r="I129" i="9"/>
  <c r="G123" i="8"/>
  <c r="H123" i="8" s="1"/>
  <c r="I123" i="8" s="1"/>
  <c r="G124" i="8" l="1"/>
  <c r="H124" i="8" s="1"/>
  <c r="I124" i="8" s="1"/>
  <c r="G127" i="7"/>
  <c r="H127" i="7" s="1"/>
  <c r="I127" i="7" s="1"/>
  <c r="G128" i="6"/>
  <c r="H128" i="6" s="1"/>
  <c r="I128" i="6"/>
  <c r="G130" i="9"/>
  <c r="H130" i="9" s="1"/>
  <c r="I130" i="9"/>
  <c r="G128" i="7" l="1"/>
  <c r="H128" i="7" s="1"/>
  <c r="I128" i="7" s="1"/>
  <c r="G125" i="8"/>
  <c r="H125" i="8" s="1"/>
  <c r="I125" i="8" s="1"/>
  <c r="G129" i="6"/>
  <c r="H129" i="6" s="1"/>
  <c r="I129" i="6" s="1"/>
  <c r="G131" i="9"/>
  <c r="H131" i="9" s="1"/>
  <c r="I131" i="9" s="1"/>
  <c r="G132" i="9" l="1"/>
  <c r="H132" i="9" s="1"/>
  <c r="I132" i="9" s="1"/>
  <c r="I133" i="9" s="1"/>
  <c r="G130" i="6"/>
  <c r="H130" i="6" s="1"/>
  <c r="I130" i="6" s="1"/>
  <c r="G126" i="8"/>
  <c r="H126" i="8" s="1"/>
  <c r="I126" i="8"/>
  <c r="G129" i="7"/>
  <c r="H129" i="7" s="1"/>
  <c r="I129" i="7" s="1"/>
  <c r="G130" i="7" l="1"/>
  <c r="H130" i="7" s="1"/>
  <c r="I130" i="7" s="1"/>
  <c r="G131" i="6"/>
  <c r="H131" i="6" s="1"/>
  <c r="I131" i="6"/>
  <c r="G127" i="8"/>
  <c r="H127" i="8" s="1"/>
  <c r="I127" i="8" s="1"/>
  <c r="G134" i="9"/>
  <c r="H134" i="9" s="1"/>
  <c r="I134" i="9" s="1"/>
  <c r="G135" i="9" l="1"/>
  <c r="H135" i="9" s="1"/>
  <c r="I135" i="9" s="1"/>
  <c r="G128" i="8"/>
  <c r="H128" i="8" s="1"/>
  <c r="I128" i="8" s="1"/>
  <c r="G131" i="7"/>
  <c r="H131" i="7" s="1"/>
  <c r="I131" i="7" s="1"/>
  <c r="G132" i="6"/>
  <c r="H132" i="6" s="1"/>
  <c r="I132" i="6" s="1"/>
  <c r="G133" i="6" l="1"/>
  <c r="H133" i="6" s="1"/>
  <c r="I133" i="6" s="1"/>
  <c r="G132" i="7"/>
  <c r="H132" i="7" s="1"/>
  <c r="I132" i="7" s="1"/>
  <c r="I133" i="7" s="1"/>
  <c r="G129" i="8"/>
  <c r="H129" i="8" s="1"/>
  <c r="I129" i="8"/>
  <c r="G136" i="9"/>
  <c r="H136" i="9" s="1"/>
  <c r="I136" i="9" s="1"/>
  <c r="G137" i="9" l="1"/>
  <c r="H137" i="9" s="1"/>
  <c r="I137" i="9" s="1"/>
  <c r="G134" i="7"/>
  <c r="H134" i="7" s="1"/>
  <c r="I134" i="7"/>
  <c r="G134" i="6"/>
  <c r="H134" i="6" s="1"/>
  <c r="I134" i="6"/>
  <c r="G130" i="8"/>
  <c r="H130" i="8" s="1"/>
  <c r="I130" i="8"/>
  <c r="G138" i="9" l="1"/>
  <c r="H138" i="9" s="1"/>
  <c r="I138" i="9" s="1"/>
  <c r="G131" i="8"/>
  <c r="H131" i="8" s="1"/>
  <c r="I131" i="8" s="1"/>
  <c r="G135" i="6"/>
  <c r="H135" i="6" s="1"/>
  <c r="I135" i="6"/>
  <c r="G135" i="7"/>
  <c r="H135" i="7" s="1"/>
  <c r="I135" i="7"/>
  <c r="G132" i="8" l="1"/>
  <c r="H132" i="8" s="1"/>
  <c r="I132" i="8"/>
  <c r="G136" i="7"/>
  <c r="H136" i="7" s="1"/>
  <c r="I136" i="7" s="1"/>
  <c r="G136" i="6"/>
  <c r="H136" i="6" s="1"/>
  <c r="I136" i="6" s="1"/>
  <c r="G139" i="9"/>
  <c r="H139" i="9" s="1"/>
  <c r="I139" i="9" s="1"/>
  <c r="G140" i="9" l="1"/>
  <c r="H140" i="9" s="1"/>
  <c r="I140" i="9" s="1"/>
  <c r="I137" i="6"/>
  <c r="G137" i="6"/>
  <c r="H137" i="6" s="1"/>
  <c r="G137" i="7"/>
  <c r="H137" i="7" s="1"/>
  <c r="I137" i="7" s="1"/>
  <c r="G133" i="8"/>
  <c r="H133" i="8" s="1"/>
  <c r="I133" i="8"/>
  <c r="G138" i="7" l="1"/>
  <c r="H138" i="7" s="1"/>
  <c r="I138" i="7" s="1"/>
  <c r="G141" i="9"/>
  <c r="H141" i="9" s="1"/>
  <c r="I141" i="9" s="1"/>
  <c r="G134" i="8"/>
  <c r="H134" i="8" s="1"/>
  <c r="I134" i="8" s="1"/>
  <c r="G138" i="6"/>
  <c r="H138" i="6" s="1"/>
  <c r="I138" i="6" s="1"/>
  <c r="G135" i="8" l="1"/>
  <c r="H135" i="8" s="1"/>
  <c r="I135" i="8" s="1"/>
  <c r="G139" i="6"/>
  <c r="H139" i="6" s="1"/>
  <c r="I139" i="6" s="1"/>
  <c r="G142" i="9"/>
  <c r="H142" i="9" s="1"/>
  <c r="I142" i="9" s="1"/>
  <c r="G139" i="7"/>
  <c r="H139" i="7" s="1"/>
  <c r="I139" i="7" s="1"/>
  <c r="G140" i="7" l="1"/>
  <c r="H140" i="7" s="1"/>
  <c r="I140" i="7" s="1"/>
  <c r="G140" i="6"/>
  <c r="H140" i="6" s="1"/>
  <c r="I140" i="6" s="1"/>
  <c r="G143" i="9"/>
  <c r="H143" i="9" s="1"/>
  <c r="I143" i="9"/>
  <c r="G136" i="8"/>
  <c r="H136" i="8" s="1"/>
  <c r="I136" i="8" s="1"/>
  <c r="G137" i="8" l="1"/>
  <c r="H137" i="8" s="1"/>
  <c r="I137" i="8" s="1"/>
  <c r="G141" i="6"/>
  <c r="H141" i="6" s="1"/>
  <c r="I141" i="6" s="1"/>
  <c r="G141" i="7"/>
  <c r="H141" i="7" s="1"/>
  <c r="I141" i="7"/>
  <c r="G144" i="9"/>
  <c r="H144" i="9" s="1"/>
  <c r="I144" i="9" s="1"/>
  <c r="G145" i="9" l="1"/>
  <c r="H145" i="9" s="1"/>
  <c r="I145" i="9" s="1"/>
  <c r="I146" i="9" s="1"/>
  <c r="G142" i="6"/>
  <c r="H142" i="6" s="1"/>
  <c r="I142" i="6" s="1"/>
  <c r="G138" i="8"/>
  <c r="H138" i="8" s="1"/>
  <c r="I138" i="8"/>
  <c r="G142" i="7"/>
  <c r="H142" i="7" s="1"/>
  <c r="I142" i="7" s="1"/>
  <c r="G143" i="7" l="1"/>
  <c r="H143" i="7" s="1"/>
  <c r="I143" i="7" s="1"/>
  <c r="G143" i="6"/>
  <c r="H143" i="6" s="1"/>
  <c r="I143" i="6" s="1"/>
  <c r="G147" i="9"/>
  <c r="H147" i="9" s="1"/>
  <c r="I147" i="9" s="1"/>
  <c r="G139" i="8"/>
  <c r="H139" i="8" s="1"/>
  <c r="I139" i="8" s="1"/>
  <c r="G140" i="8" l="1"/>
  <c r="H140" i="8" s="1"/>
  <c r="I140" i="8" s="1"/>
  <c r="G148" i="9"/>
  <c r="H148" i="9" s="1"/>
  <c r="I148" i="9" s="1"/>
  <c r="G144" i="6"/>
  <c r="H144" i="6" s="1"/>
  <c r="I144" i="6" s="1"/>
  <c r="G144" i="7"/>
  <c r="H144" i="7" s="1"/>
  <c r="I144" i="7"/>
  <c r="G149" i="9" l="1"/>
  <c r="H149" i="9" s="1"/>
  <c r="I149" i="9" s="1"/>
  <c r="G145" i="6"/>
  <c r="H145" i="6" s="1"/>
  <c r="I145" i="6" s="1"/>
  <c r="G141" i="8"/>
  <c r="H141" i="8" s="1"/>
  <c r="I141" i="8" s="1"/>
  <c r="G145" i="7"/>
  <c r="H145" i="7" s="1"/>
  <c r="I145" i="7" s="1"/>
  <c r="I146" i="7" s="1"/>
  <c r="G147" i="7" l="1"/>
  <c r="H147" i="7" s="1"/>
  <c r="I147" i="7" s="1"/>
  <c r="G146" i="6"/>
  <c r="H146" i="6" s="1"/>
  <c r="I146" i="6" s="1"/>
  <c r="G150" i="9"/>
  <c r="H150" i="9" s="1"/>
  <c r="I150" i="9" s="1"/>
  <c r="G142" i="8"/>
  <c r="H142" i="8" s="1"/>
  <c r="I142" i="8" s="1"/>
  <c r="G143" i="8" l="1"/>
  <c r="H143" i="8" s="1"/>
  <c r="I143" i="8" s="1"/>
  <c r="G151" i="9"/>
  <c r="H151" i="9" s="1"/>
  <c r="I151" i="9" s="1"/>
  <c r="G147" i="6"/>
  <c r="H147" i="6" s="1"/>
  <c r="I147" i="6" s="1"/>
  <c r="G148" i="7"/>
  <c r="H148" i="7" s="1"/>
  <c r="I148" i="7" s="1"/>
  <c r="G149" i="7" l="1"/>
  <c r="H149" i="7" s="1"/>
  <c r="I149" i="7"/>
  <c r="G148" i="6"/>
  <c r="H148" i="6" s="1"/>
  <c r="I148" i="6" s="1"/>
  <c r="G152" i="9"/>
  <c r="H152" i="9" s="1"/>
  <c r="I152" i="9" s="1"/>
  <c r="G144" i="8"/>
  <c r="H144" i="8" s="1"/>
  <c r="I144" i="8" s="1"/>
  <c r="G149" i="6" l="1"/>
  <c r="H149" i="6" s="1"/>
  <c r="I149" i="6" s="1"/>
  <c r="G145" i="8"/>
  <c r="H145" i="8" s="1"/>
  <c r="I145" i="8" s="1"/>
  <c r="G150" i="7"/>
  <c r="H150" i="7" s="1"/>
  <c r="I150" i="7" s="1"/>
  <c r="G153" i="9"/>
  <c r="H153" i="9" s="1"/>
  <c r="I153" i="9" s="1"/>
  <c r="G154" i="9" l="1"/>
  <c r="H154" i="9" s="1"/>
  <c r="I154" i="9"/>
  <c r="G151" i="7"/>
  <c r="H151" i="7" s="1"/>
  <c r="I151" i="7" s="1"/>
  <c r="G146" i="8"/>
  <c r="H146" i="8" s="1"/>
  <c r="I146" i="8" s="1"/>
  <c r="G150" i="6"/>
  <c r="H150" i="6" s="1"/>
  <c r="I150" i="6" s="1"/>
  <c r="G151" i="6" l="1"/>
  <c r="H151" i="6" s="1"/>
  <c r="I151" i="6"/>
  <c r="G147" i="8"/>
  <c r="H147" i="8" s="1"/>
  <c r="I147" i="8" s="1"/>
  <c r="G152" i="7"/>
  <c r="H152" i="7" s="1"/>
  <c r="I152" i="7" s="1"/>
  <c r="G155" i="9"/>
  <c r="H155" i="9" s="1"/>
  <c r="I155" i="9" s="1"/>
  <c r="G156" i="9" l="1"/>
  <c r="H156" i="9" s="1"/>
  <c r="I156" i="9" s="1"/>
  <c r="G153" i="7"/>
  <c r="H153" i="7" s="1"/>
  <c r="I153" i="7" s="1"/>
  <c r="G148" i="8"/>
  <c r="H148" i="8" s="1"/>
  <c r="I148" i="8" s="1"/>
  <c r="G152" i="6"/>
  <c r="H152" i="6" s="1"/>
  <c r="I152" i="6" s="1"/>
  <c r="G153" i="6" l="1"/>
  <c r="H153" i="6" s="1"/>
  <c r="I153" i="6" s="1"/>
  <c r="G154" i="7"/>
  <c r="H154" i="7" s="1"/>
  <c r="I154" i="7" s="1"/>
  <c r="G157" i="9"/>
  <c r="H157" i="9" s="1"/>
  <c r="I157" i="9" s="1"/>
  <c r="G149" i="8"/>
  <c r="H149" i="8" s="1"/>
  <c r="I149" i="8" s="1"/>
  <c r="G150" i="8" l="1"/>
  <c r="H150" i="8" s="1"/>
  <c r="I150" i="8" s="1"/>
  <c r="G158" i="9"/>
  <c r="H158" i="9" s="1"/>
  <c r="I158" i="9" s="1"/>
  <c r="I159" i="9" s="1"/>
  <c r="G155" i="7"/>
  <c r="H155" i="7" s="1"/>
  <c r="I155" i="7" s="1"/>
  <c r="G154" i="6"/>
  <c r="H154" i="6" s="1"/>
  <c r="I154" i="6" s="1"/>
  <c r="G156" i="7" l="1"/>
  <c r="H156" i="7" s="1"/>
  <c r="I156" i="7"/>
  <c r="I155" i="6"/>
  <c r="G155" i="6"/>
  <c r="H155" i="6" s="1"/>
  <c r="G160" i="9"/>
  <c r="H160" i="9" s="1"/>
  <c r="I160" i="9" s="1"/>
  <c r="G151" i="8"/>
  <c r="H151" i="8" s="1"/>
  <c r="I151" i="8" s="1"/>
  <c r="G152" i="8" l="1"/>
  <c r="H152" i="8" s="1"/>
  <c r="I152" i="8" s="1"/>
  <c r="G161" i="9"/>
  <c r="H161" i="9" s="1"/>
  <c r="I161" i="9" s="1"/>
  <c r="G156" i="6"/>
  <c r="H156" i="6" s="1"/>
  <c r="I156" i="6" s="1"/>
  <c r="G157" i="7"/>
  <c r="H157" i="7" s="1"/>
  <c r="I157" i="7" s="1"/>
  <c r="G158" i="7" l="1"/>
  <c r="H158" i="7" s="1"/>
  <c r="I158" i="7" s="1"/>
  <c r="I159" i="7" s="1"/>
  <c r="G157" i="6"/>
  <c r="H157" i="6" s="1"/>
  <c r="I157" i="6" s="1"/>
  <c r="G153" i="8"/>
  <c r="H153" i="8" s="1"/>
  <c r="I153" i="8" s="1"/>
  <c r="G162" i="9"/>
  <c r="H162" i="9" s="1"/>
  <c r="I162" i="9" s="1"/>
  <c r="G154" i="8" l="1"/>
  <c r="H154" i="8" s="1"/>
  <c r="I154" i="8" s="1"/>
  <c r="G158" i="6"/>
  <c r="H158" i="6" s="1"/>
  <c r="I158" i="6" s="1"/>
  <c r="G163" i="9"/>
  <c r="H163" i="9" s="1"/>
  <c r="I163" i="9" s="1"/>
  <c r="G160" i="7"/>
  <c r="H160" i="7" s="1"/>
  <c r="I160" i="7" s="1"/>
  <c r="G161" i="7" l="1"/>
  <c r="H161" i="7" s="1"/>
  <c r="I161" i="7" s="1"/>
  <c r="G159" i="6"/>
  <c r="H159" i="6" s="1"/>
  <c r="I159" i="6"/>
  <c r="G164" i="9"/>
  <c r="H164" i="9" s="1"/>
  <c r="I164" i="9" s="1"/>
  <c r="G155" i="8"/>
  <c r="H155" i="8" s="1"/>
  <c r="I155" i="8" s="1"/>
  <c r="G165" i="9" l="1"/>
  <c r="H165" i="9" s="1"/>
  <c r="I165" i="9" s="1"/>
  <c r="G162" i="7"/>
  <c r="H162" i="7" s="1"/>
  <c r="I162" i="7" s="1"/>
  <c r="G160" i="6"/>
  <c r="H160" i="6" s="1"/>
  <c r="I160" i="6" s="1"/>
  <c r="G156" i="8"/>
  <c r="H156" i="8" s="1"/>
  <c r="I156" i="8" s="1"/>
  <c r="G161" i="6" l="1"/>
  <c r="H161" i="6" s="1"/>
  <c r="I161" i="6" s="1"/>
  <c r="G157" i="8"/>
  <c r="H157" i="8" s="1"/>
  <c r="I157" i="8" s="1"/>
  <c r="G163" i="7"/>
  <c r="H163" i="7" s="1"/>
  <c r="I163" i="7" s="1"/>
  <c r="G166" i="9"/>
  <c r="H166" i="9" s="1"/>
  <c r="I166" i="9" s="1"/>
  <c r="G167" i="9" l="1"/>
  <c r="H167" i="9" s="1"/>
  <c r="I167" i="9" s="1"/>
  <c r="G164" i="7"/>
  <c r="H164" i="7" s="1"/>
  <c r="I164" i="7" s="1"/>
  <c r="G158" i="8"/>
  <c r="H158" i="8" s="1"/>
  <c r="I158" i="8" s="1"/>
  <c r="G162" i="6"/>
  <c r="H162" i="6" s="1"/>
  <c r="I162" i="6" s="1"/>
  <c r="G163" i="6" l="1"/>
  <c r="H163" i="6" s="1"/>
  <c r="I163" i="6" s="1"/>
  <c r="G159" i="8"/>
  <c r="H159" i="8" s="1"/>
  <c r="I159" i="8" s="1"/>
  <c r="G165" i="7"/>
  <c r="H165" i="7" s="1"/>
  <c r="I165" i="7" s="1"/>
  <c r="G168" i="9"/>
  <c r="H168" i="9" s="1"/>
  <c r="I168" i="9" s="1"/>
  <c r="I164" i="6" l="1"/>
  <c r="G164" i="6"/>
  <c r="H164" i="6" s="1"/>
  <c r="G169" i="9"/>
  <c r="H169" i="9" s="1"/>
  <c r="I169" i="9" s="1"/>
  <c r="G166" i="7"/>
  <c r="H166" i="7" s="1"/>
  <c r="I166" i="7" s="1"/>
  <c r="G160" i="8"/>
  <c r="H160" i="8" s="1"/>
  <c r="I160" i="8" s="1"/>
  <c r="G161" i="8" l="1"/>
  <c r="H161" i="8" s="1"/>
  <c r="I161" i="8" s="1"/>
  <c r="G167" i="7"/>
  <c r="H167" i="7" s="1"/>
  <c r="I167" i="7" s="1"/>
  <c r="G170" i="9"/>
  <c r="H170" i="9" s="1"/>
  <c r="I170" i="9"/>
  <c r="G165" i="6"/>
  <c r="H165" i="6" s="1"/>
  <c r="I165" i="6" s="1"/>
  <c r="G168" i="7" l="1"/>
  <c r="H168" i="7" s="1"/>
  <c r="I168" i="7" s="1"/>
  <c r="G166" i="6"/>
  <c r="H166" i="6" s="1"/>
  <c r="I166" i="6" s="1"/>
  <c r="G162" i="8"/>
  <c r="H162" i="8" s="1"/>
  <c r="I162" i="8" s="1"/>
  <c r="G171" i="9"/>
  <c r="H171" i="9" s="1"/>
  <c r="I171" i="9"/>
  <c r="I172" i="9" s="1"/>
  <c r="G163" i="8" l="1"/>
  <c r="H163" i="8" s="1"/>
  <c r="I163" i="8" s="1"/>
  <c r="G167" i="6"/>
  <c r="H167" i="6" s="1"/>
  <c r="I167" i="6" s="1"/>
  <c r="G169" i="7"/>
  <c r="H169" i="7" s="1"/>
  <c r="I169" i="7"/>
  <c r="G173" i="9"/>
  <c r="H173" i="9" s="1"/>
  <c r="I173" i="9" s="1"/>
  <c r="G174" i="9" l="1"/>
  <c r="H174" i="9" s="1"/>
  <c r="I174" i="9" s="1"/>
  <c r="G168" i="6"/>
  <c r="H168" i="6" s="1"/>
  <c r="I168" i="6" s="1"/>
  <c r="G164" i="8"/>
  <c r="H164" i="8" s="1"/>
  <c r="I164" i="8" s="1"/>
  <c r="G170" i="7"/>
  <c r="H170" i="7" s="1"/>
  <c r="I170" i="7" s="1"/>
  <c r="G171" i="7" l="1"/>
  <c r="H171" i="7" s="1"/>
  <c r="I171" i="7" s="1"/>
  <c r="I172" i="7" s="1"/>
  <c r="G165" i="8"/>
  <c r="H165" i="8" s="1"/>
  <c r="I165" i="8" s="1"/>
  <c r="G169" i="6"/>
  <c r="H169" i="6" s="1"/>
  <c r="I169" i="6"/>
  <c r="G175" i="9"/>
  <c r="H175" i="9" s="1"/>
  <c r="I175" i="9" s="1"/>
  <c r="G166" i="8" l="1"/>
  <c r="H166" i="8" s="1"/>
  <c r="I166" i="8" s="1"/>
  <c r="G176" i="9"/>
  <c r="H176" i="9" s="1"/>
  <c r="I176" i="9" s="1"/>
  <c r="G173" i="7"/>
  <c r="H173" i="7" s="1"/>
  <c r="I173" i="7" s="1"/>
  <c r="G170" i="6"/>
  <c r="H170" i="6" s="1"/>
  <c r="I170" i="6" s="1"/>
  <c r="G177" i="9" l="1"/>
  <c r="H177" i="9" s="1"/>
  <c r="I177" i="9" s="1"/>
  <c r="G171" i="6"/>
  <c r="H171" i="6" s="1"/>
  <c r="I171" i="6" s="1"/>
  <c r="G174" i="7"/>
  <c r="H174" i="7" s="1"/>
  <c r="I174" i="7" s="1"/>
  <c r="G167" i="8"/>
  <c r="H167" i="8" s="1"/>
  <c r="I167" i="8" s="1"/>
  <c r="G168" i="8" l="1"/>
  <c r="H168" i="8" s="1"/>
  <c r="I168" i="8" s="1"/>
  <c r="G175" i="7"/>
  <c r="H175" i="7" s="1"/>
  <c r="I175" i="7" s="1"/>
  <c r="G172" i="6"/>
  <c r="H172" i="6" s="1"/>
  <c r="I172" i="6" s="1"/>
  <c r="G178" i="9"/>
  <c r="H178" i="9" s="1"/>
  <c r="I178" i="9" s="1"/>
  <c r="G179" i="9" l="1"/>
  <c r="H179" i="9" s="1"/>
  <c r="I179" i="9"/>
  <c r="G176" i="7"/>
  <c r="H176" i="7" s="1"/>
  <c r="I176" i="7" s="1"/>
  <c r="G173" i="6"/>
  <c r="H173" i="6" s="1"/>
  <c r="I173" i="6" s="1"/>
  <c r="G169" i="8"/>
  <c r="H169" i="8" s="1"/>
  <c r="I169" i="8"/>
  <c r="G174" i="6" l="1"/>
  <c r="H174" i="6" s="1"/>
  <c r="I174" i="6" s="1"/>
  <c r="G177" i="7"/>
  <c r="H177" i="7" s="1"/>
  <c r="I177" i="7" s="1"/>
  <c r="G170" i="8"/>
  <c r="H170" i="8" s="1"/>
  <c r="I170" i="8"/>
  <c r="G180" i="9"/>
  <c r="H180" i="9" s="1"/>
  <c r="I180" i="9" s="1"/>
  <c r="G181" i="9" l="1"/>
  <c r="H181" i="9" s="1"/>
  <c r="I181" i="9"/>
  <c r="G178" i="7"/>
  <c r="H178" i="7" s="1"/>
  <c r="I178" i="7"/>
  <c r="G175" i="6"/>
  <c r="H175" i="6" s="1"/>
  <c r="I175" i="6" s="1"/>
  <c r="G171" i="8"/>
  <c r="H171" i="8" s="1"/>
  <c r="I171" i="8" s="1"/>
  <c r="G172" i="8" l="1"/>
  <c r="H172" i="8" s="1"/>
  <c r="I172" i="8" s="1"/>
  <c r="G176" i="6"/>
  <c r="H176" i="6" s="1"/>
  <c r="I176" i="6" s="1"/>
  <c r="G179" i="7"/>
  <c r="H179" i="7" s="1"/>
  <c r="I179" i="7" s="1"/>
  <c r="G182" i="9"/>
  <c r="H182" i="9" s="1"/>
  <c r="I182" i="9" s="1"/>
  <c r="G183" i="9" l="1"/>
  <c r="H183" i="9" s="1"/>
  <c r="I183" i="9" s="1"/>
  <c r="G177" i="6"/>
  <c r="H177" i="6" s="1"/>
  <c r="I177" i="6" s="1"/>
  <c r="G180" i="7"/>
  <c r="H180" i="7" s="1"/>
  <c r="I180" i="7" s="1"/>
  <c r="G173" i="8"/>
  <c r="H173" i="8" s="1"/>
  <c r="I173" i="8" s="1"/>
  <c r="G178" i="6" l="1"/>
  <c r="H178" i="6" s="1"/>
  <c r="I178" i="6" s="1"/>
  <c r="G181" i="7"/>
  <c r="H181" i="7" s="1"/>
  <c r="I181" i="7" s="1"/>
  <c r="G184" i="9"/>
  <c r="H184" i="9" s="1"/>
  <c r="I184" i="9" s="1"/>
  <c r="I185" i="9" s="1"/>
  <c r="G174" i="8"/>
  <c r="H174" i="8" s="1"/>
  <c r="I174" i="8"/>
  <c r="G186" i="9" l="1"/>
  <c r="H186" i="9" s="1"/>
  <c r="I186" i="9" s="1"/>
  <c r="G182" i="7"/>
  <c r="H182" i="7" s="1"/>
  <c r="I182" i="7"/>
  <c r="G179" i="6"/>
  <c r="H179" i="6" s="1"/>
  <c r="I179" i="6" s="1"/>
  <c r="G175" i="8"/>
  <c r="H175" i="8" s="1"/>
  <c r="I175" i="8" s="1"/>
  <c r="G176" i="8" l="1"/>
  <c r="H176" i="8" s="1"/>
  <c r="I176" i="8" s="1"/>
  <c r="G180" i="6"/>
  <c r="H180" i="6" s="1"/>
  <c r="I180" i="6" s="1"/>
  <c r="G183" i="7"/>
  <c r="H183" i="7" s="1"/>
  <c r="I183" i="7"/>
  <c r="G187" i="9"/>
  <c r="H187" i="9" s="1"/>
  <c r="I187" i="9" s="1"/>
  <c r="G188" i="9" l="1"/>
  <c r="H188" i="9" s="1"/>
  <c r="I188" i="9" s="1"/>
  <c r="G181" i="6"/>
  <c r="H181" i="6" s="1"/>
  <c r="I181" i="6" s="1"/>
  <c r="G177" i="8"/>
  <c r="H177" i="8" s="1"/>
  <c r="I177" i="8" s="1"/>
  <c r="G184" i="7"/>
  <c r="H184" i="7" s="1"/>
  <c r="I184" i="7" s="1"/>
  <c r="I185" i="7" s="1"/>
  <c r="G186" i="7" l="1"/>
  <c r="H186" i="7" s="1"/>
  <c r="I186" i="7" s="1"/>
  <c r="G178" i="8"/>
  <c r="H178" i="8" s="1"/>
  <c r="I178" i="8" s="1"/>
  <c r="G182" i="6"/>
  <c r="H182" i="6" s="1"/>
  <c r="I182" i="6"/>
  <c r="G189" i="9"/>
  <c r="H189" i="9" s="1"/>
  <c r="I189" i="9" s="1"/>
  <c r="G187" i="7" l="1"/>
  <c r="H187" i="7" s="1"/>
  <c r="I187" i="7" s="1"/>
  <c r="G190" i="9"/>
  <c r="H190" i="9" s="1"/>
  <c r="I190" i="9"/>
  <c r="G179" i="8"/>
  <c r="H179" i="8" s="1"/>
  <c r="I179" i="8" s="1"/>
  <c r="G183" i="6"/>
  <c r="H183" i="6" s="1"/>
  <c r="I183" i="6" s="1"/>
  <c r="I184" i="6" l="1"/>
  <c r="G184" i="6"/>
  <c r="H184" i="6" s="1"/>
  <c r="G188" i="7"/>
  <c r="H188" i="7" s="1"/>
  <c r="I188" i="7"/>
  <c r="G180" i="8"/>
  <c r="H180" i="8" s="1"/>
  <c r="I180" i="8" s="1"/>
  <c r="G191" i="9"/>
  <c r="H191" i="9" s="1"/>
  <c r="I191" i="9" s="1"/>
  <c r="G181" i="8" l="1"/>
  <c r="H181" i="8" s="1"/>
  <c r="I181" i="8" s="1"/>
  <c r="G192" i="9"/>
  <c r="H192" i="9" s="1"/>
  <c r="I192" i="9" s="1"/>
  <c r="G189" i="7"/>
  <c r="H189" i="7" s="1"/>
  <c r="I189" i="7" s="1"/>
  <c r="G185" i="6"/>
  <c r="H185" i="6" s="1"/>
  <c r="I185" i="6" s="1"/>
  <c r="G190" i="7" l="1"/>
  <c r="H190" i="7" s="1"/>
  <c r="I190" i="7" s="1"/>
  <c r="G186" i="6"/>
  <c r="H186" i="6" s="1"/>
  <c r="I186" i="6" s="1"/>
  <c r="G193" i="9"/>
  <c r="H193" i="9" s="1"/>
  <c r="I193" i="9" s="1"/>
  <c r="G182" i="8"/>
  <c r="H182" i="8" s="1"/>
  <c r="I182" i="8" s="1"/>
  <c r="G183" i="8" l="1"/>
  <c r="H183" i="8" s="1"/>
  <c r="I183" i="8" s="1"/>
  <c r="G187" i="6"/>
  <c r="H187" i="6" s="1"/>
  <c r="I187" i="6"/>
  <c r="G194" i="9"/>
  <c r="H194" i="9" s="1"/>
  <c r="I194" i="9" s="1"/>
  <c r="G191" i="7"/>
  <c r="H191" i="7" s="1"/>
  <c r="I191" i="7" s="1"/>
  <c r="G195" i="9" l="1"/>
  <c r="H195" i="9" s="1"/>
  <c r="I195" i="9" s="1"/>
  <c r="G192" i="7"/>
  <c r="H192" i="7" s="1"/>
  <c r="I192" i="7" s="1"/>
  <c r="G184" i="8"/>
  <c r="H184" i="8" s="1"/>
  <c r="I184" i="8" s="1"/>
  <c r="G188" i="6"/>
  <c r="H188" i="6" s="1"/>
  <c r="I188" i="6"/>
  <c r="G193" i="7" l="1"/>
  <c r="H193" i="7" s="1"/>
  <c r="I193" i="7" s="1"/>
  <c r="G185" i="8"/>
  <c r="H185" i="8" s="1"/>
  <c r="I185" i="8" s="1"/>
  <c r="G196" i="9"/>
  <c r="H196" i="9" s="1"/>
  <c r="I196" i="9" s="1"/>
  <c r="G189" i="6"/>
  <c r="H189" i="6" s="1"/>
  <c r="I189" i="6" s="1"/>
  <c r="G190" i="6" l="1"/>
  <c r="H190" i="6" s="1"/>
  <c r="I190" i="6" s="1"/>
  <c r="G197" i="9"/>
  <c r="H197" i="9" s="1"/>
  <c r="I197" i="9" s="1"/>
  <c r="I198" i="9" s="1"/>
  <c r="G186" i="8"/>
  <c r="H186" i="8" s="1"/>
  <c r="I186" i="8" s="1"/>
  <c r="I187" i="8" s="1"/>
  <c r="G194" i="7"/>
  <c r="H194" i="7" s="1"/>
  <c r="I194" i="7" s="1"/>
  <c r="G195" i="7" l="1"/>
  <c r="H195" i="7" s="1"/>
  <c r="I195" i="7" s="1"/>
  <c r="G188" i="8"/>
  <c r="H188" i="8" s="1"/>
  <c r="I188" i="8" s="1"/>
  <c r="G199" i="9"/>
  <c r="H199" i="9" s="1"/>
  <c r="I199" i="9" s="1"/>
  <c r="G191" i="6"/>
  <c r="H191" i="6" s="1"/>
  <c r="I191" i="6" s="1"/>
  <c r="G192" i="6" l="1"/>
  <c r="H192" i="6" s="1"/>
  <c r="I192" i="6" s="1"/>
  <c r="G189" i="8"/>
  <c r="H189" i="8" s="1"/>
  <c r="I189" i="8" s="1"/>
  <c r="G196" i="7"/>
  <c r="H196" i="7" s="1"/>
  <c r="I196" i="7" s="1"/>
  <c r="G200" i="9"/>
  <c r="H200" i="9" s="1"/>
  <c r="I200" i="9" s="1"/>
  <c r="G201" i="9" l="1"/>
  <c r="H201" i="9" s="1"/>
  <c r="I201" i="9" s="1"/>
  <c r="G190" i="8"/>
  <c r="H190" i="8" s="1"/>
  <c r="I190" i="8" s="1"/>
  <c r="G197" i="7"/>
  <c r="H197" i="7" s="1"/>
  <c r="I197" i="7" s="1"/>
  <c r="I198" i="7" s="1"/>
  <c r="G193" i="6"/>
  <c r="H193" i="6" s="1"/>
  <c r="I193" i="6" s="1"/>
  <c r="I194" i="6" l="1"/>
  <c r="G194" i="6"/>
  <c r="H194" i="6" s="1"/>
  <c r="G199" i="7"/>
  <c r="H199" i="7" s="1"/>
  <c r="I199" i="7" s="1"/>
  <c r="G191" i="8"/>
  <c r="H191" i="8" s="1"/>
  <c r="I191" i="8" s="1"/>
  <c r="G202" i="9"/>
  <c r="H202" i="9" s="1"/>
  <c r="I202" i="9" s="1"/>
  <c r="G203" i="9" l="1"/>
  <c r="H203" i="9" s="1"/>
  <c r="I203" i="9" s="1"/>
  <c r="G192" i="8"/>
  <c r="H192" i="8" s="1"/>
  <c r="I192" i="8" s="1"/>
  <c r="G200" i="7"/>
  <c r="H200" i="7" s="1"/>
  <c r="I200" i="7"/>
  <c r="G195" i="6"/>
  <c r="H195" i="6" s="1"/>
  <c r="I195" i="6" s="1"/>
  <c r="G196" i="6" l="1"/>
  <c r="H196" i="6" s="1"/>
  <c r="I196" i="6"/>
  <c r="G193" i="8"/>
  <c r="H193" i="8" s="1"/>
  <c r="I193" i="8"/>
  <c r="G204" i="9"/>
  <c r="H204" i="9" s="1"/>
  <c r="I204" i="9" s="1"/>
  <c r="G201" i="7"/>
  <c r="H201" i="7" s="1"/>
  <c r="I201" i="7"/>
  <c r="G205" i="9" l="1"/>
  <c r="H205" i="9" s="1"/>
  <c r="I205" i="9" s="1"/>
  <c r="G202" i="7"/>
  <c r="H202" i="7" s="1"/>
  <c r="I202" i="7" s="1"/>
  <c r="G197" i="6"/>
  <c r="H197" i="6" s="1"/>
  <c r="I197" i="6" s="1"/>
  <c r="G194" i="8"/>
  <c r="H194" i="8" s="1"/>
  <c r="I194" i="8"/>
  <c r="G203" i="7" l="1"/>
  <c r="H203" i="7" s="1"/>
  <c r="I203" i="7" s="1"/>
  <c r="G198" i="6"/>
  <c r="H198" i="6" s="1"/>
  <c r="I198" i="6" s="1"/>
  <c r="G206" i="9"/>
  <c r="H206" i="9" s="1"/>
  <c r="I206" i="9" s="1"/>
  <c r="G195" i="8"/>
  <c r="H195" i="8" s="1"/>
  <c r="I195" i="8" s="1"/>
  <c r="G196" i="8" l="1"/>
  <c r="H196" i="8" s="1"/>
  <c r="I196" i="8" s="1"/>
  <c r="G207" i="9"/>
  <c r="H207" i="9" s="1"/>
  <c r="I207" i="9" s="1"/>
  <c r="G199" i="6"/>
  <c r="H199" i="6" s="1"/>
  <c r="I199" i="6"/>
  <c r="G204" i="7"/>
  <c r="H204" i="7" s="1"/>
  <c r="I204" i="7" s="1"/>
  <c r="I205" i="7" l="1"/>
  <c r="G205" i="7"/>
  <c r="H205" i="7" s="1"/>
  <c r="G208" i="9"/>
  <c r="H208" i="9" s="1"/>
  <c r="I208" i="9" s="1"/>
  <c r="G197" i="8"/>
  <c r="H197" i="8" s="1"/>
  <c r="I197" i="8" s="1"/>
  <c r="G200" i="6"/>
  <c r="H200" i="6" s="1"/>
  <c r="I200" i="6" s="1"/>
  <c r="G201" i="6" l="1"/>
  <c r="H201" i="6" s="1"/>
  <c r="I201" i="6" s="1"/>
  <c r="G198" i="8"/>
  <c r="H198" i="8" s="1"/>
  <c r="I198" i="8" s="1"/>
  <c r="G209" i="9"/>
  <c r="H209" i="9" s="1"/>
  <c r="I209" i="9" s="1"/>
  <c r="I206" i="7"/>
  <c r="G206" i="7"/>
  <c r="H206" i="7" s="1"/>
  <c r="G210" i="9" l="1"/>
  <c r="H210" i="9" s="1"/>
  <c r="I210" i="9" s="1"/>
  <c r="I211" i="9" s="1"/>
  <c r="G202" i="6"/>
  <c r="H202" i="6" s="1"/>
  <c r="I202" i="6" s="1"/>
  <c r="G207" i="7"/>
  <c r="H207" i="7" s="1"/>
  <c r="I207" i="7" s="1"/>
  <c r="G199" i="8"/>
  <c r="H199" i="8" s="1"/>
  <c r="I199" i="8" s="1"/>
  <c r="G208" i="7" l="1"/>
  <c r="H208" i="7" s="1"/>
  <c r="I208" i="7"/>
  <c r="G203" i="6"/>
  <c r="H203" i="6" s="1"/>
  <c r="I203" i="6"/>
  <c r="G212" i="9"/>
  <c r="H212" i="9" s="1"/>
  <c r="I212" i="9" s="1"/>
  <c r="G200" i="8"/>
  <c r="H200" i="8" s="1"/>
  <c r="I200" i="8"/>
  <c r="G213" i="9" l="1"/>
  <c r="H213" i="9" s="1"/>
  <c r="I213" i="9" s="1"/>
  <c r="G201" i="8"/>
  <c r="H201" i="8" s="1"/>
  <c r="I201" i="8" s="1"/>
  <c r="G204" i="6"/>
  <c r="H204" i="6" s="1"/>
  <c r="I204" i="6" s="1"/>
  <c r="G209" i="7"/>
  <c r="H209" i="7" s="1"/>
  <c r="I209" i="7" s="1"/>
  <c r="G205" i="6" l="1"/>
  <c r="H205" i="6" s="1"/>
  <c r="I205" i="6" s="1"/>
  <c r="G214" i="9"/>
  <c r="H214" i="9" s="1"/>
  <c r="I214" i="9" s="1"/>
  <c r="G210" i="7"/>
  <c r="H210" i="7" s="1"/>
  <c r="I210" i="7" s="1"/>
  <c r="I211" i="7" s="1"/>
  <c r="G202" i="8"/>
  <c r="H202" i="8" s="1"/>
  <c r="I202" i="8" s="1"/>
  <c r="G212" i="7" l="1"/>
  <c r="H212" i="7" s="1"/>
  <c r="I212" i="7" s="1"/>
  <c r="G203" i="8"/>
  <c r="H203" i="8" s="1"/>
  <c r="I203" i="8" s="1"/>
  <c r="G206" i="6"/>
  <c r="H206" i="6" s="1"/>
  <c r="I206" i="6"/>
  <c r="G215" i="9"/>
  <c r="H215" i="9" s="1"/>
  <c r="I215" i="9"/>
  <c r="G204" i="8" l="1"/>
  <c r="H204" i="8" s="1"/>
  <c r="I204" i="8" s="1"/>
  <c r="G213" i="7"/>
  <c r="H213" i="7" s="1"/>
  <c r="I213" i="7" s="1"/>
  <c r="G216" i="9"/>
  <c r="H216" i="9" s="1"/>
  <c r="I216" i="9"/>
  <c r="G207" i="6"/>
  <c r="H207" i="6" s="1"/>
  <c r="I207" i="6" s="1"/>
  <c r="G208" i="6" l="1"/>
  <c r="H208" i="6" s="1"/>
  <c r="I208" i="6" s="1"/>
  <c r="G214" i="7"/>
  <c r="H214" i="7" s="1"/>
  <c r="I214" i="7" s="1"/>
  <c r="G217" i="9"/>
  <c r="H217" i="9" s="1"/>
  <c r="I217" i="9" s="1"/>
  <c r="G205" i="8"/>
  <c r="H205" i="8" s="1"/>
  <c r="I205" i="8" s="1"/>
  <c r="G206" i="8" l="1"/>
  <c r="H206" i="8" s="1"/>
  <c r="I206" i="8" s="1"/>
  <c r="G215" i="7"/>
  <c r="H215" i="7" s="1"/>
  <c r="I215" i="7" s="1"/>
  <c r="G218" i="9"/>
  <c r="H218" i="9" s="1"/>
  <c r="I218" i="9" s="1"/>
  <c r="G209" i="6"/>
  <c r="H209" i="6" s="1"/>
  <c r="I209" i="6" s="1"/>
  <c r="G210" i="6" l="1"/>
  <c r="H210" i="6" s="1"/>
  <c r="I210" i="6" s="1"/>
  <c r="G216" i="7"/>
  <c r="H216" i="7" s="1"/>
  <c r="I216" i="7" s="1"/>
  <c r="G207" i="8"/>
  <c r="H207" i="8" s="1"/>
  <c r="I207" i="8"/>
  <c r="G219" i="9"/>
  <c r="H219" i="9" s="1"/>
  <c r="I219" i="9"/>
  <c r="G217" i="7" l="1"/>
  <c r="H217" i="7" s="1"/>
  <c r="I217" i="7" s="1"/>
  <c r="G211" i="6"/>
  <c r="H211" i="6" s="1"/>
  <c r="I211" i="6" s="1"/>
  <c r="G208" i="8"/>
  <c r="H208" i="8" s="1"/>
  <c r="I208" i="8" s="1"/>
  <c r="G220" i="9"/>
  <c r="H220" i="9" s="1"/>
  <c r="I220" i="9" s="1"/>
  <c r="G209" i="8" l="1"/>
  <c r="H209" i="8" s="1"/>
  <c r="I209" i="8" s="1"/>
  <c r="G212" i="6"/>
  <c r="H212" i="6" s="1"/>
  <c r="I212" i="6" s="1"/>
  <c r="G221" i="9"/>
  <c r="H221" i="9" s="1"/>
  <c r="I221" i="9"/>
  <c r="G218" i="7"/>
  <c r="H218" i="7" s="1"/>
  <c r="I218" i="7" s="1"/>
  <c r="G213" i="6" l="1"/>
  <c r="H213" i="6" s="1"/>
  <c r="I213" i="6" s="1"/>
  <c r="G219" i="7"/>
  <c r="H219" i="7" s="1"/>
  <c r="I219" i="7" s="1"/>
  <c r="G210" i="8"/>
  <c r="H210" i="8" s="1"/>
  <c r="I210" i="8" s="1"/>
  <c r="G222" i="9"/>
  <c r="H222" i="9" s="1"/>
  <c r="I222" i="9" s="1"/>
  <c r="G223" i="9" l="1"/>
  <c r="H223" i="9" s="1"/>
  <c r="I223" i="9"/>
  <c r="I224" i="9" s="1"/>
  <c r="G220" i="7"/>
  <c r="H220" i="7" s="1"/>
  <c r="I220" i="7" s="1"/>
  <c r="G214" i="6"/>
  <c r="H214" i="6" s="1"/>
  <c r="I214" i="6"/>
  <c r="G211" i="8"/>
  <c r="H211" i="8" s="1"/>
  <c r="I211" i="8" s="1"/>
  <c r="G221" i="7" l="1"/>
  <c r="H221" i="7" s="1"/>
  <c r="I221" i="7" s="1"/>
  <c r="G212" i="8"/>
  <c r="H212" i="8" s="1"/>
  <c r="I212" i="8"/>
  <c r="G225" i="9"/>
  <c r="H225" i="9" s="1"/>
  <c r="I225" i="9"/>
  <c r="G215" i="6"/>
  <c r="H215" i="6" s="1"/>
  <c r="I215" i="6" s="1"/>
  <c r="G222" i="7" l="1"/>
  <c r="H222" i="7" s="1"/>
  <c r="I222" i="7"/>
  <c r="G216" i="6"/>
  <c r="H216" i="6" s="1"/>
  <c r="I216" i="6" s="1"/>
  <c r="G226" i="9"/>
  <c r="H226" i="9" s="1"/>
  <c r="I226" i="9" s="1"/>
  <c r="G213" i="8"/>
  <c r="H213" i="8" s="1"/>
  <c r="I213" i="8" s="1"/>
  <c r="G214" i="8" l="1"/>
  <c r="H214" i="8" s="1"/>
  <c r="I214" i="8" s="1"/>
  <c r="G227" i="9"/>
  <c r="H227" i="9" s="1"/>
  <c r="I227" i="9" s="1"/>
  <c r="G217" i="6"/>
  <c r="H217" i="6" s="1"/>
  <c r="I217" i="6" s="1"/>
  <c r="G223" i="7"/>
  <c r="H223" i="7" s="1"/>
  <c r="I223" i="7" s="1"/>
  <c r="I224" i="7" s="1"/>
  <c r="G218" i="6" l="1"/>
  <c r="H218" i="6" s="1"/>
  <c r="I218" i="6" s="1"/>
  <c r="G225" i="7"/>
  <c r="H225" i="7" s="1"/>
  <c r="I225" i="7" s="1"/>
  <c r="G228" i="9"/>
  <c r="H228" i="9" s="1"/>
  <c r="I228" i="9"/>
  <c r="G215" i="8"/>
  <c r="H215" i="8" s="1"/>
  <c r="I215" i="8" s="1"/>
  <c r="G219" i="6" l="1"/>
  <c r="H219" i="6" s="1"/>
  <c r="I219" i="6" s="1"/>
  <c r="G226" i="7"/>
  <c r="H226" i="7" s="1"/>
  <c r="I226" i="7" s="1"/>
  <c r="G216" i="8"/>
  <c r="H216" i="8" s="1"/>
  <c r="I216" i="8" s="1"/>
  <c r="G229" i="9"/>
  <c r="H229" i="9" s="1"/>
  <c r="I229" i="9" s="1"/>
  <c r="G227" i="7" l="1"/>
  <c r="H227" i="7" s="1"/>
  <c r="I227" i="7" s="1"/>
  <c r="G220" i="6"/>
  <c r="H220" i="6" s="1"/>
  <c r="I220" i="6" s="1"/>
  <c r="G230" i="9"/>
  <c r="H230" i="9" s="1"/>
  <c r="I230" i="9" s="1"/>
  <c r="G217" i="8"/>
  <c r="H217" i="8" s="1"/>
  <c r="I217" i="8" s="1"/>
  <c r="G218" i="8" l="1"/>
  <c r="H218" i="8" s="1"/>
  <c r="I218" i="8" s="1"/>
  <c r="G231" i="9"/>
  <c r="H231" i="9" s="1"/>
  <c r="I231" i="9" s="1"/>
  <c r="G221" i="6"/>
  <c r="H221" i="6" s="1"/>
  <c r="I221" i="6" s="1"/>
  <c r="I228" i="7"/>
  <c r="G228" i="7"/>
  <c r="H228" i="7" s="1"/>
  <c r="G222" i="6" l="1"/>
  <c r="H222" i="6" s="1"/>
  <c r="I222" i="6" s="1"/>
  <c r="G232" i="9"/>
  <c r="H232" i="9" s="1"/>
  <c r="I232" i="9" s="1"/>
  <c r="G219" i="8"/>
  <c r="H219" i="8" s="1"/>
  <c r="I219" i="8" s="1"/>
  <c r="G229" i="7"/>
  <c r="H229" i="7" s="1"/>
  <c r="I229" i="7" s="1"/>
  <c r="G230" i="7" l="1"/>
  <c r="H230" i="7" s="1"/>
  <c r="I230" i="7"/>
  <c r="G220" i="8"/>
  <c r="H220" i="8" s="1"/>
  <c r="I220" i="8" s="1"/>
  <c r="G233" i="9"/>
  <c r="H233" i="9" s="1"/>
  <c r="I233" i="9" s="1"/>
  <c r="G223" i="6"/>
  <c r="H223" i="6" s="1"/>
  <c r="I223" i="6" s="1"/>
  <c r="G224" i="6" l="1"/>
  <c r="H224" i="6" s="1"/>
  <c r="I224" i="6"/>
  <c r="G234" i="9"/>
  <c r="H234" i="9" s="1"/>
  <c r="I234" i="9"/>
  <c r="G221" i="8"/>
  <c r="H221" i="8" s="1"/>
  <c r="I221" i="8" s="1"/>
  <c r="G231" i="7"/>
  <c r="H231" i="7" s="1"/>
  <c r="I231" i="7"/>
  <c r="G222" i="8" l="1"/>
  <c r="H222" i="8" s="1"/>
  <c r="I222" i="8" s="1"/>
  <c r="G232" i="7"/>
  <c r="H232" i="7" s="1"/>
  <c r="I232" i="7"/>
  <c r="G235" i="9"/>
  <c r="H235" i="9" s="1"/>
  <c r="I235" i="9"/>
  <c r="G225" i="6"/>
  <c r="H225" i="6" s="1"/>
  <c r="I225" i="6" s="1"/>
  <c r="G226" i="6" l="1"/>
  <c r="H226" i="6" s="1"/>
  <c r="I226" i="6" s="1"/>
  <c r="G223" i="8"/>
  <c r="H223" i="8" s="1"/>
  <c r="I223" i="8"/>
  <c r="G233" i="7"/>
  <c r="H233" i="7" s="1"/>
  <c r="I233" i="7" s="1"/>
  <c r="G236" i="9"/>
  <c r="H236" i="9" s="1"/>
  <c r="I236" i="9" s="1"/>
  <c r="I237" i="9" s="1"/>
  <c r="G234" i="7" l="1"/>
  <c r="H234" i="7" s="1"/>
  <c r="I234" i="7" s="1"/>
  <c r="G238" i="9"/>
  <c r="H238" i="9" s="1"/>
  <c r="I238" i="9" s="1"/>
  <c r="G227" i="6"/>
  <c r="H227" i="6" s="1"/>
  <c r="I227" i="6" s="1"/>
  <c r="G224" i="8"/>
  <c r="H224" i="8" s="1"/>
  <c r="I224" i="8" s="1"/>
  <c r="G239" i="9" l="1"/>
  <c r="H239" i="9" s="1"/>
  <c r="I239" i="9" s="1"/>
  <c r="G228" i="6"/>
  <c r="H228" i="6" s="1"/>
  <c r="I228" i="6" s="1"/>
  <c r="G235" i="7"/>
  <c r="H235" i="7" s="1"/>
  <c r="I235" i="7"/>
  <c r="G225" i="8"/>
  <c r="H225" i="8" s="1"/>
  <c r="I225" i="8" s="1"/>
  <c r="G226" i="8" l="1"/>
  <c r="H226" i="8" s="1"/>
  <c r="I226" i="8" s="1"/>
  <c r="G229" i="6"/>
  <c r="H229" i="6" s="1"/>
  <c r="I229" i="6"/>
  <c r="G240" i="9"/>
  <c r="H240" i="9" s="1"/>
  <c r="I240" i="9" s="1"/>
  <c r="G236" i="7"/>
  <c r="H236" i="7" s="1"/>
  <c r="I236" i="7" s="1"/>
  <c r="I237" i="7" s="1"/>
  <c r="G238" i="7" l="1"/>
  <c r="H238" i="7" s="1"/>
  <c r="I238" i="7" s="1"/>
  <c r="G241" i="9"/>
  <c r="H241" i="9" s="1"/>
  <c r="I241" i="9" s="1"/>
  <c r="G227" i="8"/>
  <c r="H227" i="8" s="1"/>
  <c r="I227" i="8" s="1"/>
  <c r="G230" i="6"/>
  <c r="H230" i="6" s="1"/>
  <c r="I230" i="6" s="1"/>
  <c r="G228" i="8" l="1"/>
  <c r="H228" i="8" s="1"/>
  <c r="I228" i="8" s="1"/>
  <c r="G242" i="9"/>
  <c r="H242" i="9" s="1"/>
  <c r="I242" i="9" s="1"/>
  <c r="G231" i="6"/>
  <c r="H231" i="6" s="1"/>
  <c r="I231" i="6" s="1"/>
  <c r="I239" i="7"/>
  <c r="G239" i="7"/>
  <c r="H239" i="7" s="1"/>
  <c r="G232" i="6" l="1"/>
  <c r="H232" i="6" s="1"/>
  <c r="I232" i="6" s="1"/>
  <c r="G229" i="8"/>
  <c r="H229" i="8" s="1"/>
  <c r="I229" i="8" s="1"/>
  <c r="G240" i="7"/>
  <c r="H240" i="7" s="1"/>
  <c r="I240" i="7" s="1"/>
  <c r="G243" i="9"/>
  <c r="H243" i="9" s="1"/>
  <c r="I243" i="9" s="1"/>
  <c r="G244" i="9" l="1"/>
  <c r="H244" i="9" s="1"/>
  <c r="I244" i="9" s="1"/>
  <c r="I241" i="7"/>
  <c r="G241" i="7"/>
  <c r="H241" i="7" s="1"/>
  <c r="G230" i="8"/>
  <c r="H230" i="8" s="1"/>
  <c r="I230" i="8" s="1"/>
  <c r="G233" i="6"/>
  <c r="H233" i="6" s="1"/>
  <c r="I233" i="6" s="1"/>
  <c r="G231" i="8" l="1"/>
  <c r="H231" i="8" s="1"/>
  <c r="I231" i="8" s="1"/>
  <c r="G234" i="6"/>
  <c r="H234" i="6" s="1"/>
  <c r="I234" i="6" s="1"/>
  <c r="G245" i="9"/>
  <c r="H245" i="9" s="1"/>
  <c r="I245" i="9" s="1"/>
  <c r="G242" i="7"/>
  <c r="H242" i="7" s="1"/>
  <c r="I242" i="7" s="1"/>
  <c r="G243" i="7" l="1"/>
  <c r="H243" i="7" s="1"/>
  <c r="I243" i="7" s="1"/>
  <c r="G235" i="6"/>
  <c r="H235" i="6" s="1"/>
  <c r="I235" i="6" s="1"/>
  <c r="G246" i="9"/>
  <c r="H246" i="9" s="1"/>
  <c r="I246" i="9" s="1"/>
  <c r="G232" i="8"/>
  <c r="H232" i="8" s="1"/>
  <c r="I232" i="8" s="1"/>
  <c r="G233" i="8" l="1"/>
  <c r="H233" i="8" s="1"/>
  <c r="I233" i="8" s="1"/>
  <c r="G236" i="6"/>
  <c r="H236" i="6" s="1"/>
  <c r="I236" i="6" s="1"/>
  <c r="G247" i="9"/>
  <c r="H247" i="9" s="1"/>
  <c r="I247" i="9" s="1"/>
  <c r="G244" i="7"/>
  <c r="H244" i="7" s="1"/>
  <c r="I244" i="7" s="1"/>
  <c r="G237" i="6" l="1"/>
  <c r="H237" i="6" s="1"/>
  <c r="I237" i="6" s="1"/>
  <c r="G245" i="7"/>
  <c r="H245" i="7" s="1"/>
  <c r="I245" i="7"/>
  <c r="G248" i="9"/>
  <c r="H248" i="9" s="1"/>
  <c r="I248" i="9" s="1"/>
  <c r="G234" i="8"/>
  <c r="H234" i="8" s="1"/>
  <c r="I234" i="8" s="1"/>
  <c r="G249" i="9" l="1"/>
  <c r="H249" i="9" s="1"/>
  <c r="I249" i="9" s="1"/>
  <c r="I250" i="9" s="1"/>
  <c r="G235" i="8"/>
  <c r="H235" i="8" s="1"/>
  <c r="I235" i="8" s="1"/>
  <c r="G238" i="6"/>
  <c r="H238" i="6" s="1"/>
  <c r="I238" i="6" s="1"/>
  <c r="G246" i="7"/>
  <c r="H246" i="7" s="1"/>
  <c r="I246" i="7" s="1"/>
  <c r="G239" i="6" l="1"/>
  <c r="H239" i="6" s="1"/>
  <c r="I239" i="6" s="1"/>
  <c r="G236" i="8"/>
  <c r="H236" i="8" s="1"/>
  <c r="I236" i="8" s="1"/>
  <c r="G247" i="7"/>
  <c r="H247" i="7" s="1"/>
  <c r="I247" i="7" s="1"/>
  <c r="G251" i="9"/>
  <c r="H251" i="9" s="1"/>
  <c r="I251" i="9" s="1"/>
  <c r="G248" i="7" l="1"/>
  <c r="H248" i="7" s="1"/>
  <c r="I248" i="7" s="1"/>
  <c r="G252" i="9"/>
  <c r="H252" i="9" s="1"/>
  <c r="I252" i="9" s="1"/>
  <c r="G237" i="8"/>
  <c r="H237" i="8" s="1"/>
  <c r="I237" i="8" s="1"/>
  <c r="G240" i="6"/>
  <c r="H240" i="6" s="1"/>
  <c r="I240" i="6" s="1"/>
  <c r="G253" i="9" l="1"/>
  <c r="H253" i="9" s="1"/>
  <c r="I253" i="9" s="1"/>
  <c r="G241" i="6"/>
  <c r="H241" i="6" s="1"/>
  <c r="I241" i="6" s="1"/>
  <c r="G249" i="7"/>
  <c r="H249" i="7" s="1"/>
  <c r="I249" i="7" s="1"/>
  <c r="I250" i="7" s="1"/>
  <c r="G238" i="8"/>
  <c r="H238" i="8" s="1"/>
  <c r="I238" i="8" s="1"/>
  <c r="G239" i="8" l="1"/>
  <c r="H239" i="8" s="1"/>
  <c r="I239" i="8" s="1"/>
  <c r="G242" i="6"/>
  <c r="G251" i="7"/>
  <c r="H251" i="7" s="1"/>
  <c r="I251" i="7" s="1"/>
  <c r="G254" i="9"/>
  <c r="H254" i="9" s="1"/>
  <c r="I254" i="9" s="1"/>
  <c r="G255" i="9" l="1"/>
  <c r="H255" i="9" s="1"/>
  <c r="I255" i="9" s="1"/>
  <c r="G252" i="7"/>
  <c r="H252" i="7" s="1"/>
  <c r="I252" i="7"/>
  <c r="H242" i="6"/>
  <c r="I242" i="6" s="1"/>
  <c r="G240" i="8"/>
  <c r="H240" i="8" s="1"/>
  <c r="I240" i="8" s="1"/>
  <c r="G241" i="8" l="1"/>
  <c r="H241" i="8" s="1"/>
  <c r="I241" i="8" s="1"/>
  <c r="G256" i="9"/>
  <c r="H256" i="9" s="1"/>
  <c r="I256" i="9" s="1"/>
  <c r="G253" i="7"/>
  <c r="H253" i="7" s="1"/>
  <c r="I253" i="7" s="1"/>
  <c r="C27" i="5"/>
  <c r="G243" i="6"/>
  <c r="G257" i="9" l="1"/>
  <c r="H257" i="9" s="1"/>
  <c r="I257" i="9" s="1"/>
  <c r="G254" i="7"/>
  <c r="H254" i="7" s="1"/>
  <c r="I254" i="7" s="1"/>
  <c r="G242" i="8"/>
  <c r="H242" i="8" s="1"/>
  <c r="I242" i="8" s="1"/>
  <c r="H243" i="6"/>
  <c r="I243" i="6" s="1"/>
  <c r="E27" i="5"/>
  <c r="F27" i="5" s="1"/>
  <c r="G255" i="7" l="1"/>
  <c r="H255" i="7" s="1"/>
  <c r="I255" i="7" s="1"/>
  <c r="G258" i="9"/>
  <c r="H258" i="9" s="1"/>
  <c r="I258" i="9" s="1"/>
  <c r="G243" i="8"/>
  <c r="C31" i="5"/>
  <c r="G244" i="6"/>
  <c r="H244" i="6" s="1"/>
  <c r="I244" i="6" s="1"/>
  <c r="G259" i="9" l="1"/>
  <c r="H259" i="9" s="1"/>
  <c r="I259" i="9" s="1"/>
  <c r="G256" i="7"/>
  <c r="H256" i="7" s="1"/>
  <c r="I256" i="7" s="1"/>
  <c r="H243" i="8"/>
  <c r="I243" i="8" s="1"/>
  <c r="G257" i="7" l="1"/>
  <c r="H257" i="7" s="1"/>
  <c r="I257" i="7" s="1"/>
  <c r="G260" i="9"/>
  <c r="C32" i="5"/>
  <c r="G244" i="8"/>
  <c r="G258" i="7" l="1"/>
  <c r="H258" i="7" s="1"/>
  <c r="I258" i="7" s="1"/>
  <c r="C34" i="5"/>
  <c r="H260" i="9"/>
  <c r="I260" i="9" s="1"/>
  <c r="H244" i="8"/>
  <c r="I244" i="8" s="1"/>
  <c r="E31" i="5"/>
  <c r="G259" i="7" l="1"/>
  <c r="H259" i="7" s="1"/>
  <c r="I259" i="7"/>
  <c r="F31" i="5"/>
  <c r="G261" i="9"/>
  <c r="H261" i="9" l="1"/>
  <c r="I261" i="9" s="1"/>
  <c r="E32" i="5"/>
  <c r="G260" i="7"/>
  <c r="C28" i="5"/>
  <c r="C29" i="5" l="1"/>
  <c r="C60" i="5" s="1"/>
  <c r="H260" i="7"/>
  <c r="I260" i="7" s="1"/>
  <c r="F32" i="5"/>
  <c r="F34" i="5" s="1"/>
  <c r="E34" i="5"/>
  <c r="G34" i="5" l="1"/>
  <c r="H34" i="5" s="1"/>
  <c r="G261" i="7"/>
  <c r="J34" i="5" l="1"/>
  <c r="H261" i="7"/>
  <c r="I261" i="7" s="1"/>
  <c r="E28" i="5"/>
  <c r="E29" i="5" l="1"/>
  <c r="E60" i="5" s="1"/>
  <c r="F28" i="5"/>
  <c r="F29" i="5" s="1"/>
  <c r="M31" i="5"/>
  <c r="M32" i="5" s="1"/>
  <c r="G29" i="5" l="1"/>
  <c r="G60" i="5" s="1"/>
  <c r="F60" i="5"/>
  <c r="H29" i="5" l="1"/>
  <c r="J29" i="5" l="1"/>
  <c r="J60" i="5" s="1"/>
  <c r="H60" i="5"/>
  <c r="K17" i="16" l="1"/>
  <c r="K80" i="16"/>
  <c r="K16" i="16"/>
  <c r="K34" i="16"/>
  <c r="K28" i="16"/>
  <c r="K79" i="16"/>
  <c r="K19" i="16"/>
  <c r="K37" i="16"/>
  <c r="K76" i="16"/>
  <c r="K18" i="16"/>
  <c r="K23" i="16"/>
  <c r="K15" i="16" l="1"/>
  <c r="AL76" i="16"/>
  <c r="M80" i="16"/>
  <c r="M20" i="16"/>
  <c r="M44" i="16"/>
  <c r="M72" i="16"/>
  <c r="M30" i="16"/>
  <c r="M15" i="16"/>
  <c r="M13" i="16"/>
  <c r="M18" i="16"/>
  <c r="M51" i="16"/>
  <c r="M25" i="16"/>
  <c r="M66" i="16"/>
  <c r="M36" i="16"/>
  <c r="M24" i="16"/>
  <c r="M17" i="16"/>
  <c r="M16" i="16"/>
  <c r="M37" i="16"/>
  <c r="M14" i="16"/>
  <c r="K13" i="16"/>
  <c r="K75" i="16"/>
  <c r="K73" i="16"/>
  <c r="K74" i="16"/>
  <c r="K78" i="16"/>
  <c r="K77" i="16"/>
  <c r="K29" i="16"/>
  <c r="K30" i="16"/>
  <c r="K35" i="16"/>
  <c r="K36" i="16"/>
  <c r="K32" i="16"/>
  <c r="K33" i="16"/>
  <c r="K31" i="16"/>
  <c r="K42" i="16"/>
  <c r="K40" i="16"/>
  <c r="K52" i="16"/>
  <c r="K27" i="16"/>
  <c r="K25" i="16"/>
  <c r="K26" i="16"/>
  <c r="K20" i="16"/>
  <c r="K24" i="16"/>
  <c r="K51" i="16"/>
  <c r="K54" i="16"/>
  <c r="K50" i="16"/>
  <c r="K49" i="16"/>
  <c r="K53" i="16"/>
  <c r="K14" i="16"/>
  <c r="M21" i="16"/>
  <c r="M22" i="16"/>
  <c r="K22" i="16"/>
  <c r="K21" i="16"/>
  <c r="K72" i="16"/>
  <c r="K70" i="16"/>
  <c r="K68" i="16"/>
  <c r="K71" i="16"/>
  <c r="K69" i="16"/>
  <c r="K67" i="16"/>
  <c r="K48" i="16"/>
  <c r="K46" i="16"/>
  <c r="K44" i="16"/>
  <c r="K47" i="16"/>
  <c r="K45" i="16"/>
  <c r="K43" i="16"/>
  <c r="K38" i="16"/>
  <c r="K41" i="16"/>
  <c r="K39" i="16"/>
  <c r="K60" i="16"/>
  <c r="K58" i="16"/>
  <c r="K56" i="16"/>
  <c r="K59" i="16"/>
  <c r="K57" i="16"/>
  <c r="K55" i="16"/>
  <c r="K66" i="16"/>
  <c r="K64" i="16"/>
  <c r="K62" i="16"/>
  <c r="K65" i="16"/>
  <c r="K63" i="16"/>
  <c r="K61" i="16"/>
  <c r="AL75" i="16" l="1"/>
  <c r="M19" i="16"/>
  <c r="AL74" i="16"/>
  <c r="M59" i="16"/>
  <c r="AL77" i="16"/>
  <c r="AL78" i="16"/>
  <c r="M29" i="16"/>
  <c r="AF80" i="16"/>
  <c r="AF20" i="16"/>
  <c r="M52" i="16"/>
  <c r="M50" i="16"/>
  <c r="M54" i="16"/>
  <c r="M53" i="16"/>
  <c r="M49" i="16"/>
  <c r="M27" i="16"/>
  <c r="M26" i="16"/>
  <c r="M38" i="16"/>
  <c r="M61" i="16"/>
  <c r="M63" i="16"/>
  <c r="M39" i="16"/>
  <c r="M65" i="16"/>
  <c r="M40" i="16"/>
  <c r="M62" i="16"/>
  <c r="M41" i="16"/>
  <c r="M46" i="16"/>
  <c r="M64" i="16"/>
  <c r="M42" i="16"/>
  <c r="M34" i="16"/>
  <c r="M57" i="16"/>
  <c r="M45" i="16"/>
  <c r="M31" i="16"/>
  <c r="M35" i="16"/>
  <c r="M43" i="16"/>
  <c r="M60" i="16"/>
  <c r="M48" i="16"/>
  <c r="M32" i="16"/>
  <c r="M47" i="16"/>
  <c r="M33" i="16"/>
  <c r="M58" i="16"/>
  <c r="M55" i="16"/>
  <c r="M56" i="16"/>
  <c r="AK29" i="17" l="1"/>
  <c r="AK54" i="17"/>
  <c r="AK14" i="17"/>
  <c r="AK71" i="17"/>
  <c r="AK65" i="17"/>
  <c r="AK17" i="17"/>
  <c r="AK66" i="17"/>
  <c r="AK58" i="17"/>
  <c r="AK25" i="17"/>
  <c r="AK15" i="17"/>
  <c r="AK61" i="17"/>
  <c r="AK22" i="17"/>
  <c r="AK46" i="17"/>
  <c r="AK27" i="17"/>
  <c r="AK38" i="17"/>
  <c r="AK23" i="17"/>
  <c r="AK64" i="17"/>
  <c r="AK74" i="17"/>
  <c r="AO16" i="16"/>
  <c r="AK16" i="17"/>
  <c r="AK63" i="17"/>
  <c r="AK34" i="17"/>
  <c r="AO80" i="16"/>
  <c r="AK80" i="17"/>
  <c r="AK62" i="17"/>
  <c r="AK20" i="17"/>
  <c r="AK79" i="17"/>
  <c r="AO17" i="16"/>
  <c r="M67" i="16"/>
  <c r="AO22" i="16"/>
  <c r="AO46" i="16"/>
  <c r="AO74" i="16"/>
  <c r="M23" i="16"/>
  <c r="AO23" i="16"/>
  <c r="AO63" i="16"/>
  <c r="AO34" i="16"/>
  <c r="AO27" i="16"/>
  <c r="AO61" i="16"/>
  <c r="M71" i="16"/>
  <c r="AO62" i="16"/>
  <c r="AO20" i="16"/>
  <c r="AO79" i="16"/>
  <c r="M70" i="16"/>
  <c r="AO58" i="16"/>
  <c r="AO15" i="16"/>
  <c r="M68" i="16"/>
  <c r="AF38" i="16"/>
  <c r="AO38" i="16"/>
  <c r="AO64" i="16"/>
  <c r="AO25" i="16"/>
  <c r="AO65" i="16"/>
  <c r="M69" i="16"/>
  <c r="AO29" i="16"/>
  <c r="AO66" i="16"/>
  <c r="M28" i="16"/>
  <c r="AO54" i="16"/>
  <c r="AO14" i="16"/>
  <c r="AO71" i="16"/>
  <c r="AF23" i="16"/>
  <c r="AF62" i="16"/>
  <c r="AF63" i="16"/>
  <c r="AF46" i="16"/>
  <c r="AF66" i="16"/>
  <c r="AF34" i="16"/>
  <c r="AF71" i="16"/>
  <c r="AF58" i="16"/>
  <c r="AF14" i="16"/>
  <c r="AF22" i="16"/>
  <c r="AF54" i="16"/>
  <c r="AF27" i="16"/>
  <c r="AF29" i="16"/>
  <c r="AF17" i="16"/>
  <c r="AF64" i="16"/>
  <c r="AF25" i="16"/>
  <c r="AF65" i="16"/>
  <c r="AF61" i="16"/>
  <c r="AF79" i="16"/>
  <c r="AF16" i="16"/>
  <c r="AF15" i="16"/>
  <c r="AO48" i="16" l="1"/>
  <c r="AK48" i="17"/>
  <c r="AK13" i="17"/>
  <c r="AK28" i="17"/>
  <c r="AO57" i="16"/>
  <c r="AK57" i="17"/>
  <c r="AK47" i="17"/>
  <c r="AK75" i="17"/>
  <c r="AO69" i="16"/>
  <c r="AK69" i="17"/>
  <c r="AO37" i="16"/>
  <c r="AK37" i="17"/>
  <c r="AK76" i="17"/>
  <c r="AK19" i="17"/>
  <c r="AK40" i="17"/>
  <c r="AO56" i="16"/>
  <c r="AK56" i="17"/>
  <c r="AK24" i="17"/>
  <c r="AK21" i="17"/>
  <c r="AK45" i="17"/>
  <c r="AK42" i="17"/>
  <c r="AK44" i="17"/>
  <c r="AK49" i="17"/>
  <c r="AK50" i="17"/>
  <c r="AK43" i="17"/>
  <c r="AK39" i="17"/>
  <c r="AK53" i="17"/>
  <c r="AO33" i="16"/>
  <c r="AK33" i="17"/>
  <c r="AK73" i="17"/>
  <c r="AK68" i="17"/>
  <c r="AK55" i="17"/>
  <c r="AK67" i="17"/>
  <c r="AO52" i="16"/>
  <c r="AK52" i="17"/>
  <c r="AK36" i="17"/>
  <c r="AK59" i="17"/>
  <c r="AK30" i="17"/>
  <c r="AK35" i="17"/>
  <c r="AK18" i="17"/>
  <c r="AK32" i="17"/>
  <c r="AK78" i="17"/>
  <c r="AK41" i="17"/>
  <c r="AK31" i="17"/>
  <c r="AK77" i="17"/>
  <c r="AK72" i="17"/>
  <c r="AK51" i="17"/>
  <c r="AK60" i="17"/>
  <c r="AK26" i="17"/>
  <c r="AK70" i="17"/>
  <c r="AO24" i="16"/>
  <c r="AO21" i="16"/>
  <c r="AF45" i="16"/>
  <c r="AO45" i="16"/>
  <c r="AO44" i="16"/>
  <c r="AO55" i="16"/>
  <c r="AF32" i="16"/>
  <c r="AO32" i="16"/>
  <c r="AO67" i="16"/>
  <c r="AO36" i="16"/>
  <c r="AF59" i="16"/>
  <c r="AO59" i="16"/>
  <c r="AO30" i="16"/>
  <c r="AO35" i="16"/>
  <c r="AO18" i="16"/>
  <c r="AO42" i="16"/>
  <c r="AO72" i="16"/>
  <c r="AO51" i="16"/>
  <c r="AF60" i="16"/>
  <c r="AO60" i="16"/>
  <c r="AF26" i="16"/>
  <c r="AO26" i="16"/>
  <c r="AO77" i="16"/>
  <c r="AO70" i="16"/>
  <c r="AF19" i="16"/>
  <c r="AO19" i="16"/>
  <c r="AO78" i="16"/>
  <c r="AO73" i="16"/>
  <c r="AF41" i="16"/>
  <c r="AO41" i="16"/>
  <c r="AO13" i="16"/>
  <c r="AO28" i="16"/>
  <c r="AO47" i="16"/>
  <c r="AF75" i="16"/>
  <c r="AO75" i="16"/>
  <c r="AF50" i="16"/>
  <c r="AO50" i="16"/>
  <c r="AO53" i="16"/>
  <c r="AF74" i="16"/>
  <c r="AO76" i="16"/>
  <c r="AO40" i="16"/>
  <c r="AO31" i="16"/>
  <c r="AO43" i="16"/>
  <c r="AO68" i="16"/>
  <c r="AO39" i="16"/>
  <c r="AO49" i="16"/>
  <c r="AF57" i="16"/>
  <c r="AF24" i="16"/>
  <c r="AF40" i="16"/>
  <c r="AF44" i="16"/>
  <c r="AF43" i="16"/>
  <c r="AF37" i="16"/>
  <c r="AF68" i="16"/>
  <c r="AF39" i="16"/>
  <c r="AF53" i="16"/>
  <c r="AF49" i="16"/>
  <c r="AF21" i="16"/>
  <c r="AF42" i="16"/>
  <c r="AF55" i="16"/>
  <c r="AF35" i="16"/>
  <c r="AF77" i="16"/>
  <c r="AF36" i="16"/>
  <c r="AF67" i="16"/>
  <c r="AF30" i="16"/>
  <c r="AF51" i="16"/>
  <c r="AF31" i="16"/>
  <c r="AF47" i="16"/>
  <c r="AF18" i="16"/>
  <c r="AF33" i="16"/>
  <c r="AF70" i="16"/>
  <c r="AF52" i="16"/>
  <c r="AF78" i="16"/>
  <c r="AF72" i="16"/>
  <c r="AF56" i="16"/>
  <c r="AF13" i="16"/>
  <c r="AF69" i="16"/>
  <c r="AF28" i="16"/>
  <c r="AF48" i="16"/>
  <c r="AF76" i="16"/>
  <c r="AF73" i="16" l="1"/>
  <c r="F27" i="15" l="1"/>
  <c r="F10" i="15"/>
  <c r="J10" i="15" l="1"/>
  <c r="F12" i="15" l="1"/>
  <c r="J12" i="15" l="1"/>
  <c r="F14" i="15"/>
  <c r="J14" i="15" s="1"/>
  <c r="L8" i="17" l="1"/>
  <c r="L10" i="17" s="1"/>
  <c r="N83" i="17" s="1"/>
  <c r="N23" i="17" l="1"/>
  <c r="N18" i="17"/>
  <c r="N79" i="17"/>
  <c r="AC79" i="17" s="1"/>
  <c r="N75" i="17"/>
  <c r="AC75" i="17" s="1"/>
  <c r="N40" i="17"/>
  <c r="N44" i="17"/>
  <c r="N15" i="17"/>
  <c r="N51" i="17"/>
  <c r="N28" i="17"/>
  <c r="N20" i="17"/>
  <c r="N29" i="17"/>
  <c r="N73" i="17"/>
  <c r="AC73" i="17" s="1"/>
  <c r="N30" i="17"/>
  <c r="N19" i="17"/>
  <c r="N50" i="17"/>
  <c r="N22" i="17"/>
  <c r="N77" i="17"/>
  <c r="AC77" i="17" s="1"/>
  <c r="N37" i="17"/>
  <c r="N32" i="17"/>
  <c r="N56" i="17"/>
  <c r="N26" i="17"/>
  <c r="N43" i="17"/>
  <c r="N33" i="17"/>
  <c r="N63" i="17"/>
  <c r="N47" i="17"/>
  <c r="N76" i="17"/>
  <c r="AC76" i="17" s="1"/>
  <c r="N53" i="17"/>
  <c r="N14" i="17"/>
  <c r="N65" i="17"/>
  <c r="N58" i="17"/>
  <c r="N27" i="17"/>
  <c r="N48" i="17"/>
  <c r="N31" i="17"/>
  <c r="N60" i="17"/>
  <c r="N57" i="17"/>
  <c r="N64" i="17"/>
  <c r="N55" i="17"/>
  <c r="N38" i="17"/>
  <c r="N35" i="17"/>
  <c r="N67" i="17"/>
  <c r="N49" i="17"/>
  <c r="N62" i="17"/>
  <c r="N45" i="17"/>
  <c r="N36" i="17"/>
  <c r="N66" i="17"/>
  <c r="N78" i="17"/>
  <c r="AC78" i="17" s="1"/>
  <c r="N13" i="17"/>
  <c r="N52" i="17"/>
  <c r="N42" i="17"/>
  <c r="N68" i="17"/>
  <c r="N46" i="17"/>
  <c r="N74" i="17"/>
  <c r="AC74" i="17" s="1"/>
  <c r="N21" i="17"/>
  <c r="N61" i="17"/>
  <c r="N25" i="17"/>
  <c r="N34" i="17"/>
  <c r="N69" i="17"/>
  <c r="N41" i="17"/>
  <c r="N71" i="17"/>
  <c r="N16" i="17"/>
  <c r="N70" i="17"/>
  <c r="N17" i="17"/>
  <c r="N54" i="17"/>
  <c r="N72" i="17"/>
  <c r="N39" i="17"/>
  <c r="N24" i="17"/>
  <c r="N59" i="17"/>
  <c r="N80" i="17"/>
  <c r="H34" i="16" l="1"/>
  <c r="AC34" i="17"/>
  <c r="AC49" i="17"/>
  <c r="H49" i="16"/>
  <c r="AC80" i="17"/>
  <c r="H80" i="16"/>
  <c r="AC21" i="17"/>
  <c r="H21" i="16"/>
  <c r="H20" i="16"/>
  <c r="AC20" i="17"/>
  <c r="H46" i="16"/>
  <c r="AC46" i="17"/>
  <c r="H55" i="16"/>
  <c r="AC55" i="17"/>
  <c r="AC72" i="17"/>
  <c r="H72" i="16"/>
  <c r="AC43" i="17"/>
  <c r="H43" i="16"/>
  <c r="AC51" i="17"/>
  <c r="H51" i="16"/>
  <c r="H14" i="16"/>
  <c r="AC14" i="17"/>
  <c r="H53" i="16"/>
  <c r="AC53" i="17"/>
  <c r="H61" i="16"/>
  <c r="AC61" i="17"/>
  <c r="AC35" i="17"/>
  <c r="H35" i="16"/>
  <c r="AC24" i="17"/>
  <c r="H24" i="16"/>
  <c r="H39" i="16"/>
  <c r="AC39" i="17"/>
  <c r="AC33" i="17"/>
  <c r="H33" i="16"/>
  <c r="H28" i="16"/>
  <c r="AC28" i="17"/>
  <c r="H68" i="16"/>
  <c r="AC68" i="17"/>
  <c r="H64" i="16"/>
  <c r="AC64" i="17"/>
  <c r="AC54" i="17"/>
  <c r="H54" i="16"/>
  <c r="AC42" i="17"/>
  <c r="H42" i="16"/>
  <c r="H57" i="16"/>
  <c r="AC57" i="17"/>
  <c r="AC26" i="17"/>
  <c r="H26" i="16"/>
  <c r="H15" i="16"/>
  <c r="AC15" i="17"/>
  <c r="AC30" i="17"/>
  <c r="H30" i="16"/>
  <c r="H44" i="16"/>
  <c r="AC44" i="17"/>
  <c r="AC19" i="17"/>
  <c r="H19" i="16"/>
  <c r="AC67" i="17"/>
  <c r="H67" i="16"/>
  <c r="H29" i="16"/>
  <c r="AC29" i="17"/>
  <c r="AC38" i="17"/>
  <c r="H38" i="16"/>
  <c r="AC52" i="17"/>
  <c r="H52" i="16"/>
  <c r="H13" i="16"/>
  <c r="AC13" i="17"/>
  <c r="AC31" i="17"/>
  <c r="H31" i="16"/>
  <c r="AC32" i="17"/>
  <c r="H32" i="16"/>
  <c r="AC40" i="17"/>
  <c r="H40" i="16"/>
  <c r="AC37" i="17"/>
  <c r="H37" i="16"/>
  <c r="H59" i="16"/>
  <c r="AC59" i="17"/>
  <c r="AC63" i="17"/>
  <c r="H63" i="16"/>
  <c r="H17" i="16"/>
  <c r="AC17" i="17"/>
  <c r="AC70" i="17"/>
  <c r="H70" i="16"/>
  <c r="AC71" i="17"/>
  <c r="H71" i="16"/>
  <c r="AC27" i="17"/>
  <c r="H27" i="16"/>
  <c r="AC25" i="17"/>
  <c r="H25" i="16"/>
  <c r="H47" i="16"/>
  <c r="AC47" i="17"/>
  <c r="AC56" i="17"/>
  <c r="H56" i="16"/>
  <c r="H16" i="16"/>
  <c r="AC16" i="17"/>
  <c r="H48" i="16"/>
  <c r="AC48" i="17"/>
  <c r="AC66" i="17"/>
  <c r="H66" i="16"/>
  <c r="H41" i="16"/>
  <c r="AC41" i="17"/>
  <c r="AC36" i="17"/>
  <c r="H36" i="16"/>
  <c r="AC58" i="17"/>
  <c r="H58" i="16"/>
  <c r="H22" i="16"/>
  <c r="AC22" i="17"/>
  <c r="H18" i="16"/>
  <c r="AC18" i="17"/>
  <c r="AC62" i="17"/>
  <c r="H62" i="16"/>
  <c r="AC60" i="17"/>
  <c r="H60" i="16"/>
  <c r="AC69" i="17"/>
  <c r="H69" i="16"/>
  <c r="AC45" i="17"/>
  <c r="H45" i="16"/>
  <c r="AC65" i="17"/>
  <c r="H65" i="16"/>
  <c r="H50" i="16"/>
  <c r="AC50" i="17"/>
  <c r="AC23" i="17"/>
  <c r="H23" i="16"/>
  <c r="I8" i="17"/>
  <c r="I10" i="17" s="1"/>
  <c r="K83" i="17" s="1"/>
  <c r="AC83" i="17" l="1"/>
  <c r="AC84" i="17" s="1"/>
  <c r="K54" i="17"/>
  <c r="K66" i="17"/>
  <c r="K28" i="17"/>
  <c r="K32" i="17"/>
  <c r="K20" i="17"/>
  <c r="K72" i="17"/>
  <c r="K30" i="17"/>
  <c r="K49" i="17"/>
  <c r="K35" i="17"/>
  <c r="K68" i="17"/>
  <c r="K41" i="17"/>
  <c r="K56" i="17"/>
  <c r="K16" i="17"/>
  <c r="K61" i="17"/>
  <c r="K24" i="17"/>
  <c r="K50" i="17"/>
  <c r="K67" i="17"/>
  <c r="K23" i="17"/>
  <c r="K25" i="17"/>
  <c r="K17" i="17"/>
  <c r="K27" i="17"/>
  <c r="K39" i="17"/>
  <c r="K37" i="17"/>
  <c r="K43" i="17"/>
  <c r="K44" i="17"/>
  <c r="K75" i="17"/>
  <c r="AB75" i="17" s="1"/>
  <c r="K34" i="17"/>
  <c r="K53" i="17"/>
  <c r="K64" i="17"/>
  <c r="K19" i="17"/>
  <c r="K60" i="17"/>
  <c r="K46" i="17"/>
  <c r="K79" i="17"/>
  <c r="AB79" i="17" s="1"/>
  <c r="K52" i="17"/>
  <c r="K26" i="17"/>
  <c r="K69" i="17"/>
  <c r="K70" i="17"/>
  <c r="K29" i="17"/>
  <c r="K59" i="17"/>
  <c r="K33" i="17"/>
  <c r="K76" i="17"/>
  <c r="AB76" i="17" s="1"/>
  <c r="K77" i="17"/>
  <c r="AB77" i="17" s="1"/>
  <c r="K78" i="17"/>
  <c r="AB78" i="17" s="1"/>
  <c r="K31" i="17"/>
  <c r="K38" i="17"/>
  <c r="K63" i="17"/>
  <c r="K36" i="17"/>
  <c r="K51" i="17"/>
  <c r="K45" i="17"/>
  <c r="K58" i="17"/>
  <c r="K74" i="17"/>
  <c r="AB74" i="17" s="1"/>
  <c r="K65" i="17"/>
  <c r="K15" i="17"/>
  <c r="K40" i="17"/>
  <c r="K42" i="17"/>
  <c r="K47" i="17"/>
  <c r="K80" i="17"/>
  <c r="K18" i="17"/>
  <c r="K55" i="17"/>
  <c r="K71" i="17"/>
  <c r="K62" i="17"/>
  <c r="K21" i="17"/>
  <c r="K73" i="17"/>
  <c r="AB73" i="17" s="1"/>
  <c r="K48" i="17"/>
  <c r="K14" i="17"/>
  <c r="K57" i="17"/>
  <c r="K22" i="17"/>
  <c r="K13" i="17"/>
  <c r="AB43" i="17" l="1"/>
  <c r="G43" i="16"/>
  <c r="AC43" i="16" s="1"/>
  <c r="G14" i="16"/>
  <c r="AC14" i="16" s="1"/>
  <c r="AB14" i="17"/>
  <c r="AB48" i="17"/>
  <c r="G48" i="16"/>
  <c r="AC48" i="16" s="1"/>
  <c r="AB26" i="17"/>
  <c r="G26" i="16"/>
  <c r="AC26" i="16" s="1"/>
  <c r="G30" i="16"/>
  <c r="AC30" i="16" s="1"/>
  <c r="AB30" i="17"/>
  <c r="G34" i="16"/>
  <c r="AC34" i="16" s="1"/>
  <c r="AB34" i="17"/>
  <c r="AB40" i="17"/>
  <c r="G40" i="16"/>
  <c r="AC40" i="16" s="1"/>
  <c r="AB22" i="17"/>
  <c r="G22" i="16"/>
  <c r="AC22" i="16" s="1"/>
  <c r="G65" i="16"/>
  <c r="AC65" i="16" s="1"/>
  <c r="AB65" i="17"/>
  <c r="G37" i="16"/>
  <c r="AC37" i="16" s="1"/>
  <c r="AB37" i="17"/>
  <c r="G49" i="16"/>
  <c r="AC49" i="16" s="1"/>
  <c r="AB49" i="17"/>
  <c r="AB45" i="17"/>
  <c r="G45" i="16"/>
  <c r="AC45" i="16" s="1"/>
  <c r="AB27" i="17"/>
  <c r="G27" i="16"/>
  <c r="AC27" i="16" s="1"/>
  <c r="AB21" i="17"/>
  <c r="G21" i="16"/>
  <c r="AC21" i="16" s="1"/>
  <c r="G51" i="16"/>
  <c r="AC51" i="16" s="1"/>
  <c r="AB51" i="17"/>
  <c r="G52" i="16"/>
  <c r="AC52" i="16" s="1"/>
  <c r="AB52" i="17"/>
  <c r="AB17" i="17"/>
  <c r="G17" i="16"/>
  <c r="AC17" i="16" s="1"/>
  <c r="AB72" i="17"/>
  <c r="G72" i="16"/>
  <c r="AC72" i="16" s="1"/>
  <c r="AB33" i="17"/>
  <c r="G33" i="16"/>
  <c r="AC33" i="16" s="1"/>
  <c r="G20" i="16"/>
  <c r="AC20" i="16" s="1"/>
  <c r="AB20" i="17"/>
  <c r="AB42" i="17"/>
  <c r="G42" i="16"/>
  <c r="AC42" i="16" s="1"/>
  <c r="G41" i="16"/>
  <c r="AC41" i="16" s="1"/>
  <c r="AB41" i="17"/>
  <c r="G70" i="16"/>
  <c r="AC70" i="16" s="1"/>
  <c r="AB70" i="17"/>
  <c r="AB63" i="17"/>
  <c r="G63" i="16"/>
  <c r="AC63" i="16" s="1"/>
  <c r="AB46" i="17"/>
  <c r="G46" i="16"/>
  <c r="AC46" i="16" s="1"/>
  <c r="G23" i="16"/>
  <c r="AC23" i="16" s="1"/>
  <c r="AB23" i="17"/>
  <c r="AB32" i="17"/>
  <c r="G32" i="16"/>
  <c r="AC32" i="16" s="1"/>
  <c r="AB16" i="17"/>
  <c r="G16" i="16"/>
  <c r="AC16" i="16" s="1"/>
  <c r="AB44" i="17"/>
  <c r="G44" i="16"/>
  <c r="AC44" i="16" s="1"/>
  <c r="AB68" i="17"/>
  <c r="G68" i="16"/>
  <c r="AC68" i="16" s="1"/>
  <c r="AB58" i="17"/>
  <c r="G58" i="16"/>
  <c r="AC58" i="16" s="1"/>
  <c r="G71" i="16"/>
  <c r="AC71" i="16" s="1"/>
  <c r="AB71" i="17"/>
  <c r="G55" i="16"/>
  <c r="AC55" i="16" s="1"/>
  <c r="AB55" i="17"/>
  <c r="AB38" i="17"/>
  <c r="G38" i="16"/>
  <c r="AC38" i="16" s="1"/>
  <c r="G60" i="16"/>
  <c r="AC60" i="16" s="1"/>
  <c r="AB60" i="17"/>
  <c r="AB67" i="17"/>
  <c r="G67" i="16"/>
  <c r="AC67" i="16" s="1"/>
  <c r="G28" i="16"/>
  <c r="AC28" i="16" s="1"/>
  <c r="AB28" i="17"/>
  <c r="AB59" i="17"/>
  <c r="G59" i="16"/>
  <c r="AC59" i="16" s="1"/>
  <c r="AB39" i="17"/>
  <c r="G39" i="16"/>
  <c r="AC39" i="16" s="1"/>
  <c r="G18" i="16"/>
  <c r="AC18" i="16" s="1"/>
  <c r="AB18" i="17"/>
  <c r="G19" i="16"/>
  <c r="AC19" i="16" s="1"/>
  <c r="AB19" i="17"/>
  <c r="AB50" i="17"/>
  <c r="G50" i="16"/>
  <c r="AC50" i="16" s="1"/>
  <c r="AB66" i="17"/>
  <c r="G66" i="16"/>
  <c r="AC66" i="16" s="1"/>
  <c r="G56" i="16"/>
  <c r="AC56" i="16" s="1"/>
  <c r="AB56" i="17"/>
  <c r="AB57" i="17"/>
  <c r="G57" i="16"/>
  <c r="AC57" i="16" s="1"/>
  <c r="AB35" i="17"/>
  <c r="G35" i="16"/>
  <c r="AC35" i="16" s="1"/>
  <c r="AB62" i="17"/>
  <c r="G62" i="16"/>
  <c r="AC62" i="16" s="1"/>
  <c r="AB25" i="17"/>
  <c r="G25" i="16"/>
  <c r="AC25" i="16" s="1"/>
  <c r="G64" i="16"/>
  <c r="AC64" i="16" s="1"/>
  <c r="AB64" i="17"/>
  <c r="AB24" i="17"/>
  <c r="G24" i="16"/>
  <c r="AC24" i="16" s="1"/>
  <c r="AB54" i="17"/>
  <c r="G54" i="16"/>
  <c r="AC54" i="16" s="1"/>
  <c r="AB13" i="17"/>
  <c r="G13" i="16"/>
  <c r="AC13" i="16" s="1"/>
  <c r="AB15" i="17"/>
  <c r="G15" i="16"/>
  <c r="AC15" i="16" s="1"/>
  <c r="AB29" i="17"/>
  <c r="G29" i="16"/>
  <c r="AC29" i="16" s="1"/>
  <c r="AB69" i="17"/>
  <c r="G69" i="16"/>
  <c r="AC69" i="16" s="1"/>
  <c r="AB36" i="17"/>
  <c r="G36" i="16"/>
  <c r="AC36" i="16" s="1"/>
  <c r="G31" i="16"/>
  <c r="AC31" i="16" s="1"/>
  <c r="AB31" i="17"/>
  <c r="AB80" i="17"/>
  <c r="G80" i="16"/>
  <c r="AC80" i="16" s="1"/>
  <c r="G47" i="16"/>
  <c r="AC47" i="16" s="1"/>
  <c r="AB47" i="17"/>
  <c r="AB53" i="17"/>
  <c r="G53" i="16"/>
  <c r="AC53" i="16" s="1"/>
  <c r="G61" i="16"/>
  <c r="AC61" i="16" s="1"/>
  <c r="AB61" i="17"/>
  <c r="AB83" i="17" l="1"/>
  <c r="AB84" i="17" s="1"/>
  <c r="P80" i="16" l="1"/>
  <c r="AM80" i="16" s="1"/>
  <c r="P79" i="16"/>
  <c r="AM79" i="16" s="1"/>
  <c r="P13" i="16"/>
  <c r="AM13" i="16" s="1"/>
  <c r="L26" i="16" l="1"/>
  <c r="P18" i="16"/>
  <c r="AM18" i="16" s="1"/>
  <c r="L63" i="16"/>
  <c r="L16" i="16"/>
  <c r="L21" i="16"/>
  <c r="O80" i="16"/>
  <c r="AU80" i="16" s="1"/>
  <c r="L40" i="16"/>
  <c r="P16" i="16"/>
  <c r="AM16" i="16" s="1"/>
  <c r="L60" i="16"/>
  <c r="L33" i="16"/>
  <c r="L29" i="16"/>
  <c r="L15" i="16"/>
  <c r="L44" i="16"/>
  <c r="L18" i="16"/>
  <c r="L13" i="16"/>
  <c r="L71" i="16"/>
  <c r="M73" i="16"/>
  <c r="M79" i="16"/>
  <c r="L80" i="16"/>
  <c r="P14" i="16"/>
  <c r="AM14" i="16" s="1"/>
  <c r="L23" i="16"/>
  <c r="AL23" i="16" s="1"/>
  <c r="P15" i="16"/>
  <c r="AM15" i="16" s="1"/>
  <c r="L17" i="16"/>
  <c r="L49" i="16"/>
  <c r="O30" i="16"/>
  <c r="AU30" i="16" s="1"/>
  <c r="L19" i="16"/>
  <c r="L27" i="16"/>
  <c r="P17" i="16"/>
  <c r="AM17" i="16" s="1"/>
  <c r="L14" i="16"/>
  <c r="AL14" i="16" s="1"/>
  <c r="P74" i="16"/>
  <c r="AM74" i="16" s="1"/>
  <c r="P73" i="16"/>
  <c r="AM73" i="16" s="1"/>
  <c r="P76" i="16"/>
  <c r="AM76" i="16" s="1"/>
  <c r="P78" i="16"/>
  <c r="AM78" i="16" s="1"/>
  <c r="P75" i="16"/>
  <c r="AM75" i="16" s="1"/>
  <c r="P77" i="16"/>
  <c r="AM77" i="16" s="1"/>
  <c r="P29" i="16"/>
  <c r="AM29" i="16" s="1"/>
  <c r="P30" i="16"/>
  <c r="AM30" i="16" s="1"/>
  <c r="P24" i="16" l="1"/>
  <c r="AM24" i="16" s="1"/>
  <c r="L54" i="16"/>
  <c r="AL13" i="16"/>
  <c r="AL29" i="16"/>
  <c r="AL21" i="16"/>
  <c r="L68" i="16"/>
  <c r="P32" i="16"/>
  <c r="AM32" i="16" s="1"/>
  <c r="P68" i="16"/>
  <c r="AM68" i="16" s="1"/>
  <c r="P21" i="16"/>
  <c r="AM21" i="16" s="1"/>
  <c r="L47" i="16"/>
  <c r="P58" i="16"/>
  <c r="AM58" i="16" s="1"/>
  <c r="L24" i="16"/>
  <c r="AL24" i="16" s="1"/>
  <c r="L41" i="16"/>
  <c r="L39" i="16"/>
  <c r="P45" i="16"/>
  <c r="AM45" i="16" s="1"/>
  <c r="P60" i="16"/>
  <c r="AM60" i="16" s="1"/>
  <c r="L52" i="16"/>
  <c r="AL15" i="16"/>
  <c r="P25" i="16"/>
  <c r="AM25" i="16" s="1"/>
  <c r="O29" i="16"/>
  <c r="AU29" i="16" s="1"/>
  <c r="L61" i="16"/>
  <c r="L36" i="16"/>
  <c r="P56" i="16"/>
  <c r="AM56" i="16" s="1"/>
  <c r="P35" i="16"/>
  <c r="AM35" i="16" s="1"/>
  <c r="P71" i="16"/>
  <c r="AM71" i="16" s="1"/>
  <c r="P66" i="16"/>
  <c r="AM66" i="16" s="1"/>
  <c r="P40" i="16"/>
  <c r="AM40" i="16" s="1"/>
  <c r="L56" i="16"/>
  <c r="P34" i="16"/>
  <c r="AM34" i="16" s="1"/>
  <c r="P70" i="16"/>
  <c r="AM70" i="16" s="1"/>
  <c r="P65" i="16"/>
  <c r="AM65" i="16" s="1"/>
  <c r="P38" i="16"/>
  <c r="AM38" i="16" s="1"/>
  <c r="L67" i="16"/>
  <c r="L37" i="16"/>
  <c r="L30" i="16"/>
  <c r="AL18" i="16"/>
  <c r="AL33" i="16"/>
  <c r="L31" i="16"/>
  <c r="P44" i="16"/>
  <c r="AM44" i="16" s="1"/>
  <c r="N77" i="16"/>
  <c r="L58" i="16"/>
  <c r="P36" i="16"/>
  <c r="AM36" i="16" s="1"/>
  <c r="P43" i="16"/>
  <c r="AM43" i="16" s="1"/>
  <c r="P59" i="16"/>
  <c r="AM59" i="16" s="1"/>
  <c r="P33" i="16"/>
  <c r="AM33" i="16" s="1"/>
  <c r="P31" i="16"/>
  <c r="AM31" i="16" s="1"/>
  <c r="P69" i="16"/>
  <c r="AM69" i="16" s="1"/>
  <c r="P64" i="16"/>
  <c r="AM64" i="16" s="1"/>
  <c r="P42" i="16"/>
  <c r="AM42" i="16" s="1"/>
  <c r="L34" i="16"/>
  <c r="L59" i="16"/>
  <c r="L72" i="16"/>
  <c r="L53" i="16"/>
  <c r="N73" i="16"/>
  <c r="AT73" i="16" s="1"/>
  <c r="AV73" i="16" s="1"/>
  <c r="N75" i="16"/>
  <c r="P63" i="16"/>
  <c r="AM63" i="16" s="1"/>
  <c r="P54" i="16"/>
  <c r="AM54" i="16" s="1"/>
  <c r="P41" i="16"/>
  <c r="AM41" i="16" s="1"/>
  <c r="L38" i="16"/>
  <c r="L64" i="16"/>
  <c r="AL64" i="16" s="1"/>
  <c r="AL80" i="16"/>
  <c r="AL71" i="16"/>
  <c r="P23" i="16"/>
  <c r="AM23" i="16" s="1"/>
  <c r="P22" i="16"/>
  <c r="AM22" i="16" s="1"/>
  <c r="L70" i="16"/>
  <c r="P62" i="16"/>
  <c r="AM62" i="16" s="1"/>
  <c r="P53" i="16"/>
  <c r="AM53" i="16" s="1"/>
  <c r="P39" i="16"/>
  <c r="AM39" i="16" s="1"/>
  <c r="L55" i="16"/>
  <c r="L20" i="16"/>
  <c r="AL44" i="16"/>
  <c r="AL60" i="16"/>
  <c r="AL63" i="16"/>
  <c r="P72" i="16"/>
  <c r="AM72" i="16" s="1"/>
  <c r="AL19" i="16"/>
  <c r="P67" i="16"/>
  <c r="AM67" i="16" s="1"/>
  <c r="P55" i="16"/>
  <c r="AM55" i="16" s="1"/>
  <c r="P28" i="16"/>
  <c r="AM28" i="16" s="1"/>
  <c r="L46" i="16"/>
  <c r="AL46" i="16" s="1"/>
  <c r="P61" i="16"/>
  <c r="AM61" i="16" s="1"/>
  <c r="P52" i="16"/>
  <c r="AM52" i="16" s="1"/>
  <c r="P37" i="16"/>
  <c r="AM37" i="16" s="1"/>
  <c r="L51" i="16"/>
  <c r="L35" i="16"/>
  <c r="AL35" i="16" s="1"/>
  <c r="L42" i="16"/>
  <c r="AL42" i="16" s="1"/>
  <c r="L69" i="16"/>
  <c r="L65" i="16"/>
  <c r="AL49" i="16"/>
  <c r="AL79" i="16"/>
  <c r="L25" i="16"/>
  <c r="P27" i="16"/>
  <c r="AM27" i="16" s="1"/>
  <c r="P48" i="16"/>
  <c r="AM48" i="16" s="1"/>
  <c r="N76" i="16"/>
  <c r="P51" i="16"/>
  <c r="AM51" i="16" s="1"/>
  <c r="N78" i="16"/>
  <c r="L32" i="16"/>
  <c r="L28" i="16"/>
  <c r="N79" i="16"/>
  <c r="AT79" i="16" s="1"/>
  <c r="AV79" i="16" s="1"/>
  <c r="L62" i="16"/>
  <c r="P57" i="16"/>
  <c r="AM57" i="16" s="1"/>
  <c r="P20" i="16"/>
  <c r="AM20" i="16" s="1"/>
  <c r="P47" i="16"/>
  <c r="AM47" i="16" s="1"/>
  <c r="P50" i="16"/>
  <c r="AM50" i="16" s="1"/>
  <c r="L50" i="16"/>
  <c r="AL17" i="16"/>
  <c r="AL73" i="16"/>
  <c r="P26" i="16"/>
  <c r="AM26" i="16" s="1"/>
  <c r="L43" i="16"/>
  <c r="AL16" i="16"/>
  <c r="P19" i="16"/>
  <c r="AM19" i="16" s="1"/>
  <c r="N74" i="16"/>
  <c r="P46" i="16"/>
  <c r="AM46" i="16" s="1"/>
  <c r="L48" i="16"/>
  <c r="P49" i="16"/>
  <c r="AM49" i="16" s="1"/>
  <c r="L45" i="16"/>
  <c r="L22" i="16"/>
  <c r="L57" i="16"/>
  <c r="L66" i="16"/>
  <c r="AL27" i="16"/>
  <c r="AL40" i="16"/>
  <c r="AL26" i="16"/>
  <c r="AT74" i="16" l="1"/>
  <c r="AV74" i="16" s="1"/>
  <c r="AL62" i="16"/>
  <c r="AL22" i="16"/>
  <c r="AT76" i="16"/>
  <c r="AV76" i="16" s="1"/>
  <c r="AL65" i="16"/>
  <c r="AL72" i="16"/>
  <c r="AT77" i="16"/>
  <c r="AV77" i="16" s="1"/>
  <c r="AL36" i="16"/>
  <c r="AL70" i="16"/>
  <c r="AL38" i="16"/>
  <c r="AL57" i="16"/>
  <c r="AL53" i="16"/>
  <c r="AL51" i="16"/>
  <c r="AL20" i="16"/>
  <c r="AL55" i="16"/>
  <c r="AL45" i="16"/>
  <c r="AL69" i="16"/>
  <c r="AL59" i="16"/>
  <c r="AL61" i="16"/>
  <c r="AL56" i="16"/>
  <c r="AL28" i="16"/>
  <c r="AL67" i="16"/>
  <c r="AL30" i="16"/>
  <c r="AL47" i="16"/>
  <c r="AT75" i="16"/>
  <c r="AV75" i="16" s="1"/>
  <c r="AL31" i="16"/>
  <c r="AL39" i="16"/>
  <c r="AL68" i="16"/>
  <c r="AL43" i="16"/>
  <c r="AL32" i="16"/>
  <c r="AL34" i="16"/>
  <c r="AL54" i="16"/>
  <c r="AL50" i="16"/>
  <c r="AL58" i="16"/>
  <c r="AL52" i="16"/>
  <c r="AL66" i="16"/>
  <c r="AL48" i="16"/>
  <c r="AL25" i="16"/>
  <c r="AL41" i="16"/>
  <c r="AL37" i="16"/>
  <c r="AT78" i="16"/>
  <c r="AV78" i="16" s="1"/>
  <c r="O16" i="16"/>
  <c r="AU16" i="16" s="1"/>
  <c r="O15" i="16"/>
  <c r="AU15" i="16" s="1"/>
  <c r="O41" i="16" l="1"/>
  <c r="AU41" i="16" s="1"/>
  <c r="O37" i="16"/>
  <c r="AU37" i="16" s="1"/>
  <c r="O40" i="16"/>
  <c r="AU40" i="16" s="1"/>
  <c r="O42" i="16"/>
  <c r="AU42" i="16" s="1"/>
  <c r="O38" i="16"/>
  <c r="AU38" i="16" s="1"/>
  <c r="O39" i="16"/>
  <c r="AU39" i="16" s="1"/>
  <c r="O70" i="16"/>
  <c r="AU70" i="16" s="1"/>
  <c r="O69" i="16"/>
  <c r="AU69" i="16" s="1"/>
  <c r="O71" i="16"/>
  <c r="AU71" i="16" s="1"/>
  <c r="O72" i="16"/>
  <c r="AU72" i="16" s="1"/>
  <c r="O68" i="16"/>
  <c r="AU68" i="16" s="1"/>
  <c r="O67" i="16"/>
  <c r="AU67" i="16" s="1"/>
  <c r="O25" i="16"/>
  <c r="AU25" i="16" s="1"/>
  <c r="O26" i="16"/>
  <c r="AU26" i="16" s="1"/>
  <c r="O17" i="16"/>
  <c r="AU17" i="16" s="1"/>
  <c r="O63" i="16"/>
  <c r="AU63" i="16" s="1"/>
  <c r="O64" i="16"/>
  <c r="AU64" i="16" s="1"/>
  <c r="O66" i="16"/>
  <c r="AU66" i="16" s="1"/>
  <c r="O65" i="16"/>
  <c r="AU65" i="16" s="1"/>
  <c r="O61" i="16"/>
  <c r="AU61" i="16" s="1"/>
  <c r="O62" i="16"/>
  <c r="AU62" i="16" s="1"/>
  <c r="O23" i="16"/>
  <c r="AU23" i="16" s="1"/>
  <c r="O24" i="16"/>
  <c r="AU24" i="16" s="1"/>
  <c r="O21" i="16"/>
  <c r="AU21" i="16" s="1"/>
  <c r="O22" i="16"/>
  <c r="AU22" i="16" s="1"/>
  <c r="O32" i="16"/>
  <c r="AU32" i="16" s="1"/>
  <c r="O35" i="16"/>
  <c r="AU35" i="16" s="1"/>
  <c r="O33" i="16"/>
  <c r="AU33" i="16" s="1"/>
  <c r="O31" i="16"/>
  <c r="AU31" i="16" s="1"/>
  <c r="O36" i="16"/>
  <c r="AU36" i="16" s="1"/>
  <c r="O34" i="16"/>
  <c r="AU34" i="16" s="1"/>
  <c r="O20" i="16"/>
  <c r="AU20" i="16" s="1"/>
  <c r="O19" i="16"/>
  <c r="AU19" i="16" s="1"/>
  <c r="O13" i="16"/>
  <c r="AU13" i="16" s="1"/>
  <c r="O27" i="16"/>
  <c r="AU27" i="16" s="1"/>
  <c r="O28" i="16"/>
  <c r="AU28" i="16" s="1"/>
  <c r="O56" i="16"/>
  <c r="AU56" i="16" s="1"/>
  <c r="O59" i="16"/>
  <c r="AU59" i="16" s="1"/>
  <c r="O57" i="16"/>
  <c r="AU57" i="16" s="1"/>
  <c r="O55" i="16"/>
  <c r="AU55" i="16" s="1"/>
  <c r="O60" i="16"/>
  <c r="AU60" i="16" s="1"/>
  <c r="O58" i="16"/>
  <c r="AU58" i="16" s="1"/>
  <c r="O18" i="16"/>
  <c r="AU18" i="16" s="1"/>
  <c r="O46" i="16"/>
  <c r="AU46" i="16" s="1"/>
  <c r="O48" i="16"/>
  <c r="AU48" i="16" s="1"/>
  <c r="O44" i="16"/>
  <c r="AU44" i="16" s="1"/>
  <c r="O47" i="16"/>
  <c r="AU47" i="16" s="1"/>
  <c r="O43" i="16"/>
  <c r="AU43" i="16" s="1"/>
  <c r="O45" i="16"/>
  <c r="AU45" i="16" s="1"/>
  <c r="O14" i="16"/>
  <c r="AU14" i="16" s="1"/>
  <c r="O50" i="16"/>
  <c r="AU50" i="16" s="1"/>
  <c r="O51" i="16"/>
  <c r="AU51" i="16" s="1"/>
  <c r="O53" i="16"/>
  <c r="AU53" i="16" s="1"/>
  <c r="O49" i="16"/>
  <c r="AU49" i="16" s="1"/>
  <c r="O52" i="16"/>
  <c r="AU52" i="16" s="1"/>
  <c r="O54" i="16"/>
  <c r="AU54" i="16" s="1"/>
  <c r="O8" i="17" l="1"/>
  <c r="O10" i="17" s="1"/>
  <c r="Q83" i="17" s="1"/>
  <c r="Q24" i="17" l="1"/>
  <c r="Q14" i="17"/>
  <c r="Q77" i="17"/>
  <c r="Q66" i="17"/>
  <c r="Q73" i="17"/>
  <c r="Q38" i="17"/>
  <c r="Q19" i="17"/>
  <c r="Q22" i="17"/>
  <c r="Q35" i="17"/>
  <c r="Q39" i="17"/>
  <c r="Q52" i="17"/>
  <c r="Q74" i="17"/>
  <c r="Q69" i="17"/>
  <c r="Q31" i="17"/>
  <c r="Q21" i="17"/>
  <c r="Q18" i="17"/>
  <c r="Q60" i="17"/>
  <c r="Q68" i="17"/>
  <c r="Q28" i="17"/>
  <c r="Q72" i="17"/>
  <c r="Q45" i="17"/>
  <c r="Q32" i="17"/>
  <c r="Q36" i="17"/>
  <c r="Q42" i="17"/>
  <c r="Q16" i="17"/>
  <c r="Q59" i="17"/>
  <c r="Q53" i="17"/>
  <c r="Q23" i="17"/>
  <c r="Q49" i="17"/>
  <c r="Q26" i="17"/>
  <c r="Q41" i="17"/>
  <c r="Q65" i="17"/>
  <c r="Q57" i="17"/>
  <c r="Q51" i="17"/>
  <c r="Q61" i="17"/>
  <c r="Q48" i="17"/>
  <c r="Q67" i="17"/>
  <c r="Q58" i="17"/>
  <c r="Q80" i="17"/>
  <c r="Q15" i="17"/>
  <c r="Q55" i="17"/>
  <c r="Q40" i="17"/>
  <c r="Q71" i="17"/>
  <c r="Q33" i="17"/>
  <c r="Q20" i="17"/>
  <c r="Q25" i="17"/>
  <c r="Q27" i="17"/>
  <c r="Q47" i="17"/>
  <c r="Q34" i="17"/>
  <c r="Q75" i="17"/>
  <c r="Q62" i="17"/>
  <c r="Q29" i="17"/>
  <c r="Q13" i="17"/>
  <c r="Q37" i="17"/>
  <c r="Q56" i="17"/>
  <c r="Q30" i="17"/>
  <c r="Q63" i="17"/>
  <c r="Q50" i="17"/>
  <c r="Q64" i="17"/>
  <c r="Q79" i="17"/>
  <c r="Q46" i="17"/>
  <c r="Q76" i="17"/>
  <c r="Q43" i="17"/>
  <c r="Q17" i="17"/>
  <c r="Q54" i="17"/>
  <c r="Q70" i="17"/>
  <c r="Q78" i="17"/>
  <c r="Q44" i="17"/>
  <c r="R8" i="17"/>
  <c r="R10" i="17" s="1"/>
  <c r="T83" i="17" s="1"/>
  <c r="AD36" i="17" l="1"/>
  <c r="Q36" i="16"/>
  <c r="AD17" i="17"/>
  <c r="Q17" i="16"/>
  <c r="AD75" i="17"/>
  <c r="Q75" i="16"/>
  <c r="Q48" i="16"/>
  <c r="AD48" i="17"/>
  <c r="Q32" i="16"/>
  <c r="AD32" i="17"/>
  <c r="AD22" i="17"/>
  <c r="Q22" i="16"/>
  <c r="AI22" i="16" s="1"/>
  <c r="T31" i="17"/>
  <c r="T29" i="17"/>
  <c r="T62" i="17"/>
  <c r="T43" i="17"/>
  <c r="T72" i="17"/>
  <c r="T45" i="17"/>
  <c r="T64" i="17"/>
  <c r="T76" i="17"/>
  <c r="T14" i="17"/>
  <c r="T68" i="17"/>
  <c r="T33" i="17"/>
  <c r="T75" i="17"/>
  <c r="T28" i="17"/>
  <c r="T71" i="17"/>
  <c r="T38" i="17"/>
  <c r="T74" i="17"/>
  <c r="T66" i="17"/>
  <c r="T58" i="17"/>
  <c r="T50" i="17"/>
  <c r="T26" i="17"/>
  <c r="T79" i="17"/>
  <c r="T59" i="17"/>
  <c r="T67" i="17"/>
  <c r="T23" i="17"/>
  <c r="T13" i="17"/>
  <c r="T69" i="17"/>
  <c r="T18" i="17"/>
  <c r="T51" i="17"/>
  <c r="T52" i="17"/>
  <c r="T65" i="17"/>
  <c r="T27" i="17"/>
  <c r="T21" i="17"/>
  <c r="T34" i="17"/>
  <c r="T49" i="17"/>
  <c r="T39" i="17"/>
  <c r="T73" i="17"/>
  <c r="T36" i="17"/>
  <c r="T44" i="17"/>
  <c r="T56" i="17"/>
  <c r="T46" i="17"/>
  <c r="T80" i="17"/>
  <c r="T70" i="17"/>
  <c r="T20" i="17"/>
  <c r="T63" i="17"/>
  <c r="T53" i="17"/>
  <c r="T22" i="17"/>
  <c r="T16" i="17"/>
  <c r="T57" i="17"/>
  <c r="T17" i="17"/>
  <c r="T60" i="17"/>
  <c r="T37" i="17"/>
  <c r="T30" i="17"/>
  <c r="T77" i="17"/>
  <c r="T35" i="17"/>
  <c r="T40" i="17"/>
  <c r="T42" i="17"/>
  <c r="T24" i="17"/>
  <c r="T25" i="17"/>
  <c r="T32" i="17"/>
  <c r="T15" i="17"/>
  <c r="T48" i="17"/>
  <c r="T61" i="17"/>
  <c r="T78" i="17"/>
  <c r="T41" i="17"/>
  <c r="T47" i="17"/>
  <c r="T54" i="17"/>
  <c r="T19" i="17"/>
  <c r="T55" i="17"/>
  <c r="AD13" i="17"/>
  <c r="Q13" i="16"/>
  <c r="AD39" i="17"/>
  <c r="Q39" i="16"/>
  <c r="Q54" i="16"/>
  <c r="AD54" i="17"/>
  <c r="Q62" i="16"/>
  <c r="AD62" i="17"/>
  <c r="AD67" i="17"/>
  <c r="Q67" i="16"/>
  <c r="AD35" i="17"/>
  <c r="Q35" i="16"/>
  <c r="AD43" i="17"/>
  <c r="Q43" i="16"/>
  <c r="AD34" i="17"/>
  <c r="Q34" i="16"/>
  <c r="Q61" i="16"/>
  <c r="AD61" i="17"/>
  <c r="AD45" i="17"/>
  <c r="Q45" i="16"/>
  <c r="AD19" i="17"/>
  <c r="Q19" i="16"/>
  <c r="AD52" i="17"/>
  <c r="Q52" i="16"/>
  <c r="Q51" i="16"/>
  <c r="AD51" i="17"/>
  <c r="Q38" i="16"/>
  <c r="AD38" i="17"/>
  <c r="AD40" i="17"/>
  <c r="Q40" i="16"/>
  <c r="Q29" i="16"/>
  <c r="AD29" i="17"/>
  <c r="AD58" i="17"/>
  <c r="Q58" i="16"/>
  <c r="AD76" i="17"/>
  <c r="Q76" i="16"/>
  <c r="Q47" i="16"/>
  <c r="AD47" i="17"/>
  <c r="AD72" i="17"/>
  <c r="Q72" i="16"/>
  <c r="AD46" i="17"/>
  <c r="Q46" i="16"/>
  <c r="Q27" i="16"/>
  <c r="AD27" i="17"/>
  <c r="Q57" i="16"/>
  <c r="AD57" i="17"/>
  <c r="AD28" i="17"/>
  <c r="Q28" i="16"/>
  <c r="AD73" i="17"/>
  <c r="Q73" i="16"/>
  <c r="Q23" i="16"/>
  <c r="AD23" i="17"/>
  <c r="AD56" i="17"/>
  <c r="Q56" i="16"/>
  <c r="AD55" i="17"/>
  <c r="Q55" i="16"/>
  <c r="AD53" i="17"/>
  <c r="Q53" i="16"/>
  <c r="AI53" i="16" s="1"/>
  <c r="AD69" i="17"/>
  <c r="Q69" i="16"/>
  <c r="AD44" i="17"/>
  <c r="Q44" i="16"/>
  <c r="AD59" i="17"/>
  <c r="Q59" i="16"/>
  <c r="AD80" i="17"/>
  <c r="Q80" i="16"/>
  <c r="Q70" i="16"/>
  <c r="AD70" i="17"/>
  <c r="AD79" i="17"/>
  <c r="Q79" i="16"/>
  <c r="AD25" i="17"/>
  <c r="Q25" i="16"/>
  <c r="Q65" i="16"/>
  <c r="AD65" i="17"/>
  <c r="Q66" i="16"/>
  <c r="AD66" i="17"/>
  <c r="Q31" i="16"/>
  <c r="AD31" i="17"/>
  <c r="AD37" i="17"/>
  <c r="Q37" i="16"/>
  <c r="AD15" i="17"/>
  <c r="Q15" i="16"/>
  <c r="Q16" i="16"/>
  <c r="AD16" i="17"/>
  <c r="AD68" i="17"/>
  <c r="Q68" i="16"/>
  <c r="AD64" i="17"/>
  <c r="Q64" i="16"/>
  <c r="Q20" i="16"/>
  <c r="AD20" i="17"/>
  <c r="AD41" i="17"/>
  <c r="Q41" i="16"/>
  <c r="Q60" i="16"/>
  <c r="AD60" i="17"/>
  <c r="AD77" i="17"/>
  <c r="Q77" i="16"/>
  <c r="AD30" i="17"/>
  <c r="Q30" i="16"/>
  <c r="AD78" i="17"/>
  <c r="Q78" i="16"/>
  <c r="AD14" i="17"/>
  <c r="Q14" i="16"/>
  <c r="AD74" i="17"/>
  <c r="Q74" i="16"/>
  <c r="Q42" i="16"/>
  <c r="AD42" i="17"/>
  <c r="AD50" i="17"/>
  <c r="Q50" i="16"/>
  <c r="AD33" i="17"/>
  <c r="Q33" i="16"/>
  <c r="AD26" i="17"/>
  <c r="Q26" i="16"/>
  <c r="AD18" i="17"/>
  <c r="Q18" i="16"/>
  <c r="AD63" i="17"/>
  <c r="Q63" i="16"/>
  <c r="AD71" i="17"/>
  <c r="Q71" i="16"/>
  <c r="Q49" i="16"/>
  <c r="AD49" i="17"/>
  <c r="AD21" i="17"/>
  <c r="Q21" i="16"/>
  <c r="Q24" i="16"/>
  <c r="AD24" i="17"/>
  <c r="T15" i="16"/>
  <c r="AN15" i="16" s="1"/>
  <c r="T18" i="16"/>
  <c r="AN18" i="16" s="1"/>
  <c r="T13" i="16"/>
  <c r="AN13" i="16" s="1"/>
  <c r="T14" i="16"/>
  <c r="AN14" i="16" s="1"/>
  <c r="T79" i="16"/>
  <c r="AN79" i="16" s="1"/>
  <c r="T80" i="16"/>
  <c r="AN80" i="16" s="1"/>
  <c r="T17" i="16"/>
  <c r="AN17" i="16" s="1"/>
  <c r="T16" i="16"/>
  <c r="AN16" i="16" s="1"/>
  <c r="AI27" i="16" l="1"/>
  <c r="AE40" i="17"/>
  <c r="S40" i="16"/>
  <c r="AK40" i="16" s="1"/>
  <c r="AE18" i="17"/>
  <c r="S18" i="16"/>
  <c r="AK18" i="16" s="1"/>
  <c r="S56" i="16"/>
  <c r="AK56" i="16" s="1"/>
  <c r="AE56" i="17"/>
  <c r="AI33" i="16"/>
  <c r="AI77" i="16"/>
  <c r="AI15" i="16"/>
  <c r="AI56" i="16"/>
  <c r="AI72" i="16"/>
  <c r="AI35" i="16"/>
  <c r="AE54" i="17"/>
  <c r="S54" i="16"/>
  <c r="AK54" i="16" s="1"/>
  <c r="AE30" i="17"/>
  <c r="S30" i="16"/>
  <c r="AK30" i="16" s="1"/>
  <c r="AE44" i="17"/>
  <c r="S44" i="16"/>
  <c r="AK44" i="16" s="1"/>
  <c r="AE23" i="17"/>
  <c r="S23" i="16"/>
  <c r="AK23" i="16" s="1"/>
  <c r="AE68" i="17"/>
  <c r="S68" i="16"/>
  <c r="AK68" i="16" s="1"/>
  <c r="AI57" i="16"/>
  <c r="AE52" i="17"/>
  <c r="S52" i="16"/>
  <c r="AK52" i="16" s="1"/>
  <c r="AI25" i="16"/>
  <c r="AE70" i="17"/>
  <c r="S70" i="16"/>
  <c r="AK70" i="16" s="1"/>
  <c r="AD83" i="17"/>
  <c r="AD84" i="17" s="1"/>
  <c r="S80" i="16"/>
  <c r="AK80" i="16" s="1"/>
  <c r="AE80" i="17"/>
  <c r="S28" i="16"/>
  <c r="AK28" i="16" s="1"/>
  <c r="AE28" i="17"/>
  <c r="AI43" i="16"/>
  <c r="S13" i="16"/>
  <c r="AK13" i="16" s="1"/>
  <c r="AE13" i="17"/>
  <c r="AI24" i="16"/>
  <c r="AI70" i="16"/>
  <c r="AI51" i="16"/>
  <c r="AE47" i="17"/>
  <c r="S47" i="16"/>
  <c r="AK47" i="16" s="1"/>
  <c r="AE37" i="17"/>
  <c r="S37" i="16"/>
  <c r="AK37" i="16" s="1"/>
  <c r="AE36" i="17"/>
  <c r="S36" i="16"/>
  <c r="AK36" i="16" s="1"/>
  <c r="S67" i="16"/>
  <c r="AK67" i="16" s="1"/>
  <c r="AE67" i="17"/>
  <c r="AE14" i="17"/>
  <c r="S14" i="16"/>
  <c r="AK14" i="16" s="1"/>
  <c r="AI48" i="16"/>
  <c r="AI63" i="16"/>
  <c r="S29" i="16"/>
  <c r="AK29" i="16" s="1"/>
  <c r="AE29" i="17"/>
  <c r="AI18" i="16"/>
  <c r="AI46" i="16"/>
  <c r="AE19" i="17"/>
  <c r="S19" i="16"/>
  <c r="AK19" i="16" s="1"/>
  <c r="AI80" i="16"/>
  <c r="AI52" i="16"/>
  <c r="AI67" i="16"/>
  <c r="AE41" i="17"/>
  <c r="S41" i="16"/>
  <c r="AK41" i="16" s="1"/>
  <c r="S60" i="16"/>
  <c r="AK60" i="16" s="1"/>
  <c r="AE60" i="17"/>
  <c r="S73" i="16"/>
  <c r="AK73" i="16" s="1"/>
  <c r="AE73" i="17"/>
  <c r="S59" i="16"/>
  <c r="AK59" i="16" s="1"/>
  <c r="AE59" i="17"/>
  <c r="AE76" i="17"/>
  <c r="S76" i="16"/>
  <c r="AK76" i="16" s="1"/>
  <c r="AI75" i="16"/>
  <c r="AE65" i="17"/>
  <c r="S65" i="16"/>
  <c r="AK65" i="16" s="1"/>
  <c r="AI65" i="16"/>
  <c r="S38" i="16"/>
  <c r="AK38" i="16" s="1"/>
  <c r="AE38" i="17"/>
  <c r="AI13" i="16"/>
  <c r="AI38" i="16"/>
  <c r="AE33" i="17"/>
  <c r="S33" i="16"/>
  <c r="AK33" i="16" s="1"/>
  <c r="AI21" i="16"/>
  <c r="AI50" i="16"/>
  <c r="AI37" i="16"/>
  <c r="AI60" i="16"/>
  <c r="AI23" i="16"/>
  <c r="AI47" i="16"/>
  <c r="AE78" i="17"/>
  <c r="S78" i="16"/>
  <c r="AK78" i="16" s="1"/>
  <c r="S17" i="16"/>
  <c r="AK17" i="16" s="1"/>
  <c r="AE17" i="17"/>
  <c r="AE39" i="17"/>
  <c r="S39" i="16"/>
  <c r="AK39" i="16" s="1"/>
  <c r="AE79" i="17"/>
  <c r="S79" i="16"/>
  <c r="AK79" i="16" s="1"/>
  <c r="AE64" i="17"/>
  <c r="S64" i="16"/>
  <c r="AK64" i="16" s="1"/>
  <c r="AI69" i="16"/>
  <c r="AE25" i="17"/>
  <c r="S25" i="16"/>
  <c r="AK25" i="16" s="1"/>
  <c r="AI29" i="16"/>
  <c r="S24" i="16"/>
  <c r="AK24" i="16" s="1"/>
  <c r="AE24" i="17"/>
  <c r="S31" i="16"/>
  <c r="AK31" i="16" s="1"/>
  <c r="AE31" i="17"/>
  <c r="AI78" i="16"/>
  <c r="AI68" i="16"/>
  <c r="AI34" i="16"/>
  <c r="AE51" i="17"/>
  <c r="S51" i="16"/>
  <c r="AK51" i="16" s="1"/>
  <c r="AI26" i="16"/>
  <c r="AI30" i="16"/>
  <c r="AI59" i="16"/>
  <c r="AI73" i="16"/>
  <c r="AI76" i="16"/>
  <c r="AI19" i="16"/>
  <c r="AE61" i="17"/>
  <c r="S61" i="16"/>
  <c r="AK61" i="16" s="1"/>
  <c r="AE57" i="17"/>
  <c r="S57" i="16"/>
  <c r="AK57" i="16" s="1"/>
  <c r="S49" i="16"/>
  <c r="AK49" i="16" s="1"/>
  <c r="AE49" i="17"/>
  <c r="AE26" i="17"/>
  <c r="S26" i="16"/>
  <c r="AK26" i="16" s="1"/>
  <c r="S45" i="16"/>
  <c r="AK45" i="16" s="1"/>
  <c r="AE45" i="17"/>
  <c r="AI17" i="16"/>
  <c r="AI61" i="16"/>
  <c r="AE42" i="17"/>
  <c r="S42" i="16"/>
  <c r="AK42" i="16" s="1"/>
  <c r="AI55" i="16"/>
  <c r="S55" i="16"/>
  <c r="AK55" i="16" s="1"/>
  <c r="AE55" i="17"/>
  <c r="S75" i="16"/>
  <c r="AK75" i="16" s="1"/>
  <c r="AE75" i="17"/>
  <c r="AI16" i="16"/>
  <c r="AE77" i="17"/>
  <c r="S77" i="16"/>
  <c r="AK77" i="16" s="1"/>
  <c r="AI41" i="16"/>
  <c r="AI49" i="16"/>
  <c r="AI42" i="16"/>
  <c r="AI31" i="16"/>
  <c r="AI62" i="16"/>
  <c r="AE48" i="17"/>
  <c r="S48" i="16"/>
  <c r="AK48" i="16" s="1"/>
  <c r="AE16" i="17"/>
  <c r="S16" i="16"/>
  <c r="AK16" i="16" s="1"/>
  <c r="AE34" i="17"/>
  <c r="S34" i="16"/>
  <c r="AK34" i="16" s="1"/>
  <c r="AE50" i="17"/>
  <c r="S50" i="16"/>
  <c r="AK50" i="16" s="1"/>
  <c r="AE72" i="17"/>
  <c r="S72" i="16"/>
  <c r="AK72" i="16" s="1"/>
  <c r="AI64" i="16"/>
  <c r="AI39" i="16"/>
  <c r="S74" i="16"/>
  <c r="AK74" i="16" s="1"/>
  <c r="AE74" i="17"/>
  <c r="AE20" i="17"/>
  <c r="S20" i="16"/>
  <c r="AK20" i="16" s="1"/>
  <c r="AI40" i="16"/>
  <c r="AE71" i="17"/>
  <c r="S71" i="16"/>
  <c r="AK71" i="16" s="1"/>
  <c r="AE35" i="17"/>
  <c r="S35" i="16"/>
  <c r="AK35" i="16" s="1"/>
  <c r="AI71" i="16"/>
  <c r="AI44" i="16"/>
  <c r="AI58" i="16"/>
  <c r="AI45" i="16"/>
  <c r="AE15" i="17"/>
  <c r="S15" i="16"/>
  <c r="AK15" i="16" s="1"/>
  <c r="AE22" i="17"/>
  <c r="S22" i="16"/>
  <c r="AK22" i="16" s="1"/>
  <c r="S21" i="16"/>
  <c r="AK21" i="16" s="1"/>
  <c r="AE21" i="17"/>
  <c r="AE58" i="17"/>
  <c r="S58" i="16"/>
  <c r="AK58" i="16" s="1"/>
  <c r="AE43" i="17"/>
  <c r="S43" i="16"/>
  <c r="AK43" i="16" s="1"/>
  <c r="AI36" i="16"/>
  <c r="AI14" i="16"/>
  <c r="S63" i="16"/>
  <c r="AK63" i="16" s="1"/>
  <c r="AE63" i="17"/>
  <c r="AI79" i="16"/>
  <c r="AA79" i="16"/>
  <c r="AD79" i="16"/>
  <c r="S46" i="16"/>
  <c r="AK46" i="16" s="1"/>
  <c r="AE46" i="17"/>
  <c r="AE69" i="17"/>
  <c r="S69" i="16"/>
  <c r="AK69" i="16" s="1"/>
  <c r="AI32" i="16"/>
  <c r="AI74" i="16"/>
  <c r="AI28" i="16"/>
  <c r="AI20" i="16"/>
  <c r="AI66" i="16"/>
  <c r="AI54" i="16"/>
  <c r="AE32" i="17"/>
  <c r="S32" i="16"/>
  <c r="AK32" i="16" s="1"/>
  <c r="S53" i="16"/>
  <c r="AK53" i="16" s="1"/>
  <c r="AE53" i="17"/>
  <c r="AE27" i="17"/>
  <c r="S27" i="16"/>
  <c r="AK27" i="16" s="1"/>
  <c r="AE66" i="17"/>
  <c r="S66" i="16"/>
  <c r="AK66" i="16" s="1"/>
  <c r="AE62" i="17"/>
  <c r="S62" i="16"/>
  <c r="AK62" i="16" s="1"/>
  <c r="T21" i="16"/>
  <c r="AN21" i="16" s="1"/>
  <c r="T22" i="16"/>
  <c r="AN22" i="16" s="1"/>
  <c r="T28" i="16"/>
  <c r="AN28" i="16" s="1"/>
  <c r="T27" i="16"/>
  <c r="AN27" i="16" s="1"/>
  <c r="T73" i="16"/>
  <c r="AN73" i="16" s="1"/>
  <c r="T30" i="16"/>
  <c r="AN30" i="16" s="1"/>
  <c r="T29" i="16"/>
  <c r="AN29" i="16" s="1"/>
  <c r="T26" i="16"/>
  <c r="AN26" i="16" s="1"/>
  <c r="T25" i="16"/>
  <c r="AN25" i="16" s="1"/>
  <c r="T20" i="16"/>
  <c r="AN20" i="16" s="1"/>
  <c r="T19" i="16"/>
  <c r="AN19" i="16" s="1"/>
  <c r="T37" i="16"/>
  <c r="AN37" i="16" s="1"/>
  <c r="T43" i="16"/>
  <c r="AN43" i="16" s="1"/>
  <c r="T67" i="16"/>
  <c r="AN67" i="16" s="1"/>
  <c r="T49" i="16"/>
  <c r="AN49" i="16" s="1"/>
  <c r="T61" i="16"/>
  <c r="AN61" i="16" s="1"/>
  <c r="T31" i="16"/>
  <c r="AN31" i="16" s="1"/>
  <c r="T55" i="16"/>
  <c r="AN55" i="16" s="1"/>
  <c r="T24" i="16"/>
  <c r="AN24" i="16" s="1"/>
  <c r="T23" i="16"/>
  <c r="AN23" i="16" s="1"/>
  <c r="BI79" i="16" l="1"/>
  <c r="AG79" i="16"/>
  <c r="AE83" i="17"/>
  <c r="AE84" i="17" s="1"/>
  <c r="AD73" i="16"/>
  <c r="AA73" i="16"/>
  <c r="T38" i="16"/>
  <c r="AN38" i="16" s="1"/>
  <c r="T68" i="16"/>
  <c r="AN68" i="16" s="1"/>
  <c r="T44" i="16"/>
  <c r="AN44" i="16" s="1"/>
  <c r="T74" i="16"/>
  <c r="T50" i="16"/>
  <c r="AN50" i="16" s="1"/>
  <c r="T56" i="16"/>
  <c r="AN56" i="16" s="1"/>
  <c r="T62" i="16"/>
  <c r="AN62" i="16" s="1"/>
  <c r="T32" i="16"/>
  <c r="AN32" i="16" s="1"/>
  <c r="AN74" i="16" l="1"/>
  <c r="AD74" i="16"/>
  <c r="AA74" i="16"/>
  <c r="AG73" i="16"/>
  <c r="BI73" i="16"/>
  <c r="T45" i="16"/>
  <c r="AN45" i="16" s="1"/>
  <c r="T69" i="16"/>
  <c r="AN69" i="16" s="1"/>
  <c r="T57" i="16"/>
  <c r="AN57" i="16" s="1"/>
  <c r="T51" i="16"/>
  <c r="AN51" i="16" s="1"/>
  <c r="T39" i="16"/>
  <c r="AN39" i="16" s="1"/>
  <c r="T75" i="16"/>
  <c r="T33" i="16"/>
  <c r="AN33" i="16" s="1"/>
  <c r="T63" i="16"/>
  <c r="AN63" i="16" s="1"/>
  <c r="AN75" i="16" l="1"/>
  <c r="AA75" i="16"/>
  <c r="AD75" i="16"/>
  <c r="BI74" i="16"/>
  <c r="AG74" i="16"/>
  <c r="T46" i="16"/>
  <c r="AN46" i="16" s="1"/>
  <c r="T34" i="16"/>
  <c r="AN34" i="16" s="1"/>
  <c r="T40" i="16"/>
  <c r="AN40" i="16" s="1"/>
  <c r="T58" i="16"/>
  <c r="AN58" i="16" s="1"/>
  <c r="T52" i="16"/>
  <c r="AN52" i="16" s="1"/>
  <c r="T76" i="16"/>
  <c r="T64" i="16"/>
  <c r="AN64" i="16" s="1"/>
  <c r="T70" i="16"/>
  <c r="AN70" i="16" s="1"/>
  <c r="BI75" i="16" l="1"/>
  <c r="AG75" i="16"/>
  <c r="AN76" i="16"/>
  <c r="AD76" i="16"/>
  <c r="AA76" i="16"/>
  <c r="T66" i="16"/>
  <c r="AN66" i="16" s="1"/>
  <c r="T65" i="16"/>
  <c r="AN65" i="16" s="1"/>
  <c r="T36" i="16"/>
  <c r="AN36" i="16" s="1"/>
  <c r="T35" i="16"/>
  <c r="AN35" i="16" s="1"/>
  <c r="T78" i="16"/>
  <c r="T77" i="16"/>
  <c r="T53" i="16"/>
  <c r="AN53" i="16" s="1"/>
  <c r="T54" i="16"/>
  <c r="AN54" i="16" s="1"/>
  <c r="T59" i="16"/>
  <c r="AN59" i="16" s="1"/>
  <c r="T60" i="16"/>
  <c r="AN60" i="16" s="1"/>
  <c r="T48" i="16"/>
  <c r="AN48" i="16" s="1"/>
  <c r="T47" i="16"/>
  <c r="AN47" i="16" s="1"/>
  <c r="T72" i="16"/>
  <c r="AN72" i="16" s="1"/>
  <c r="T71" i="16"/>
  <c r="AN71" i="16" s="1"/>
  <c r="T41" i="16"/>
  <c r="AN41" i="16" s="1"/>
  <c r="T42" i="16"/>
  <c r="AN42" i="16" s="1"/>
  <c r="BI76" i="16" l="1"/>
  <c r="AG76" i="16"/>
  <c r="AN77" i="16"/>
  <c r="AA77" i="16"/>
  <c r="AD77" i="16"/>
  <c r="AN78" i="16"/>
  <c r="AA78" i="16"/>
  <c r="AD78" i="16"/>
  <c r="AG78" i="16" l="1"/>
  <c r="BI78" i="16"/>
  <c r="AG77" i="16"/>
  <c r="BI77" i="16"/>
  <c r="N16" i="16" l="1"/>
  <c r="N80" i="16"/>
  <c r="N15" i="16"/>
  <c r="N62" i="16" l="1"/>
  <c r="N38" i="16"/>
  <c r="N66" i="16"/>
  <c r="N23" i="16"/>
  <c r="N48" i="16"/>
  <c r="N34" i="16"/>
  <c r="N24" i="16"/>
  <c r="N41" i="16"/>
  <c r="N49" i="16"/>
  <c r="N35" i="16"/>
  <c r="N52" i="16"/>
  <c r="N40" i="16"/>
  <c r="N60" i="16"/>
  <c r="N67" i="16"/>
  <c r="N30" i="16"/>
  <c r="N44" i="16"/>
  <c r="N69" i="16"/>
  <c r="AT80" i="16"/>
  <c r="AV80" i="16" s="1"/>
  <c r="AD80" i="16"/>
  <c r="AA80" i="16"/>
  <c r="N36" i="16"/>
  <c r="N64" i="16"/>
  <c r="N33" i="16"/>
  <c r="N43" i="16"/>
  <c r="N37" i="16"/>
  <c r="N45" i="16"/>
  <c r="N39" i="16"/>
  <c r="N51" i="16"/>
  <c r="N47" i="16"/>
  <c r="N42" i="16"/>
  <c r="N17" i="16"/>
  <c r="N56" i="16"/>
  <c r="N21" i="16"/>
  <c r="N27" i="16"/>
  <c r="AT16" i="16"/>
  <c r="AV16" i="16" s="1"/>
  <c r="AD16" i="16"/>
  <c r="AA16" i="16"/>
  <c r="N18" i="16"/>
  <c r="N54" i="16"/>
  <c r="N50" i="16"/>
  <c r="N32" i="16"/>
  <c r="N53" i="16"/>
  <c r="N57" i="16"/>
  <c r="N46" i="16"/>
  <c r="N55" i="16"/>
  <c r="AT15" i="16"/>
  <c r="AV15" i="16" s="1"/>
  <c r="AD15" i="16"/>
  <c r="AA15" i="16"/>
  <c r="N70" i="16"/>
  <c r="N59" i="16"/>
  <c r="N29" i="16"/>
  <c r="N25" i="16"/>
  <c r="N26" i="16"/>
  <c r="N71" i="16"/>
  <c r="N58" i="16"/>
  <c r="N14" i="16"/>
  <c r="N13" i="16"/>
  <c r="N68" i="16"/>
  <c r="N65" i="16"/>
  <c r="N22" i="16"/>
  <c r="N72" i="16"/>
  <c r="N63" i="16"/>
  <c r="N28" i="16"/>
  <c r="N20" i="16"/>
  <c r="N31" i="16"/>
  <c r="N61" i="16"/>
  <c r="N19" i="16"/>
  <c r="AT58" i="16" l="1"/>
  <c r="AV58" i="16" s="1"/>
  <c r="AD58" i="16"/>
  <c r="AA58" i="16"/>
  <c r="AT21" i="16"/>
  <c r="AV21" i="16" s="1"/>
  <c r="AD21" i="16"/>
  <c r="AA21" i="16"/>
  <c r="AT40" i="16"/>
  <c r="AV40" i="16" s="1"/>
  <c r="AD40" i="16"/>
  <c r="AA40" i="16"/>
  <c r="AT19" i="16"/>
  <c r="AV19" i="16" s="1"/>
  <c r="AD19" i="16"/>
  <c r="AA19" i="16"/>
  <c r="AA22" i="16"/>
  <c r="AT22" i="16"/>
  <c r="AV22" i="16" s="1"/>
  <c r="AD22" i="16"/>
  <c r="AT26" i="16"/>
  <c r="AV26" i="16" s="1"/>
  <c r="AD26" i="16"/>
  <c r="AA26" i="16"/>
  <c r="AT56" i="16"/>
  <c r="AV56" i="16" s="1"/>
  <c r="AD56" i="16"/>
  <c r="AA56" i="16"/>
  <c r="AT45" i="16"/>
  <c r="AV45" i="16" s="1"/>
  <c r="AD45" i="16"/>
  <c r="AA45" i="16"/>
  <c r="AT36" i="16"/>
  <c r="AV36" i="16" s="1"/>
  <c r="AD36" i="16"/>
  <c r="AA36" i="16"/>
  <c r="AT39" i="16"/>
  <c r="AV39" i="16" s="1"/>
  <c r="AD39" i="16"/>
  <c r="AA39" i="16"/>
  <c r="AT54" i="16"/>
  <c r="AV54" i="16" s="1"/>
  <c r="AD54" i="16"/>
  <c r="AA54" i="16"/>
  <c r="AT57" i="16"/>
  <c r="AV57" i="16" s="1"/>
  <c r="AD57" i="16"/>
  <c r="AA57" i="16"/>
  <c r="AT18" i="16"/>
  <c r="AV18" i="16" s="1"/>
  <c r="AD18" i="16"/>
  <c r="AA18" i="16"/>
  <c r="AT44" i="16"/>
  <c r="AV44" i="16" s="1"/>
  <c r="AD44" i="16"/>
  <c r="AA44" i="16"/>
  <c r="AD35" i="16"/>
  <c r="BI35" i="16" s="1"/>
  <c r="AT35" i="16"/>
  <c r="AV35" i="16" s="1"/>
  <c r="AG35" i="16" s="1"/>
  <c r="AA35" i="16"/>
  <c r="AD23" i="16"/>
  <c r="BI23" i="16" s="1"/>
  <c r="AT23" i="16"/>
  <c r="AV23" i="16" s="1"/>
  <c r="AG23" i="16" s="1"/>
  <c r="AA23" i="16"/>
  <c r="AT72" i="16"/>
  <c r="AV72" i="16" s="1"/>
  <c r="AD72" i="16"/>
  <c r="AA72" i="16"/>
  <c r="AT37" i="16"/>
  <c r="AV37" i="16" s="1"/>
  <c r="AD37" i="16"/>
  <c r="AA37" i="16"/>
  <c r="AT31" i="16"/>
  <c r="AV31" i="16" s="1"/>
  <c r="AD31" i="16"/>
  <c r="AA31" i="16"/>
  <c r="AT68" i="16"/>
  <c r="AV68" i="16" s="1"/>
  <c r="AD68" i="16"/>
  <c r="AA68" i="16"/>
  <c r="AT29" i="16"/>
  <c r="AV29" i="16" s="1"/>
  <c r="AD29" i="16"/>
  <c r="AA29" i="16"/>
  <c r="AD42" i="16"/>
  <c r="BI42" i="16" s="1"/>
  <c r="AT42" i="16"/>
  <c r="AV42" i="16" s="1"/>
  <c r="AA42" i="16"/>
  <c r="AT43" i="16"/>
  <c r="AV43" i="16" s="1"/>
  <c r="AD43" i="16"/>
  <c r="AA43" i="16"/>
  <c r="AT55" i="16"/>
  <c r="AV55" i="16" s="1"/>
  <c r="AD55" i="16"/>
  <c r="AA55" i="16"/>
  <c r="AT69" i="16"/>
  <c r="AV69" i="16" s="1"/>
  <c r="AD69" i="16"/>
  <c r="AA69" i="16"/>
  <c r="AT65" i="16"/>
  <c r="AV65" i="16" s="1"/>
  <c r="AD65" i="16"/>
  <c r="AA65" i="16"/>
  <c r="AA53" i="16"/>
  <c r="AT53" i="16"/>
  <c r="AV53" i="16" s="1"/>
  <c r="AD53" i="16"/>
  <c r="BI53" i="16" s="1"/>
  <c r="AT30" i="16"/>
  <c r="AV30" i="16" s="1"/>
  <c r="AD30" i="16"/>
  <c r="AA30" i="16"/>
  <c r="AT49" i="16"/>
  <c r="AV49" i="16" s="1"/>
  <c r="AD49" i="16"/>
  <c r="AA49" i="16"/>
  <c r="AT66" i="16"/>
  <c r="AV66" i="16" s="1"/>
  <c r="AD66" i="16"/>
  <c r="AA66" i="16"/>
  <c r="AG15" i="16"/>
  <c r="BI15" i="16"/>
  <c r="AT27" i="16"/>
  <c r="AV27" i="16" s="1"/>
  <c r="AD27" i="16"/>
  <c r="AA27" i="16"/>
  <c r="AT71" i="16"/>
  <c r="AV71" i="16" s="1"/>
  <c r="AD71" i="16"/>
  <c r="AA71" i="16"/>
  <c r="AD46" i="16"/>
  <c r="AT46" i="16"/>
  <c r="AV46" i="16" s="1"/>
  <c r="AA46" i="16"/>
  <c r="AT48" i="16"/>
  <c r="AV48" i="16" s="1"/>
  <c r="AD48" i="16"/>
  <c r="AA48" i="16"/>
  <c r="AT20" i="16"/>
  <c r="AV20" i="16" s="1"/>
  <c r="AD20" i="16"/>
  <c r="AA20" i="16"/>
  <c r="AT13" i="16"/>
  <c r="AV13" i="16" s="1"/>
  <c r="AD13" i="16"/>
  <c r="AA13" i="16"/>
  <c r="AT59" i="16"/>
  <c r="AV59" i="16" s="1"/>
  <c r="AD59" i="16"/>
  <c r="AA59" i="16"/>
  <c r="AT33" i="16"/>
  <c r="AV33" i="16" s="1"/>
  <c r="AD33" i="16"/>
  <c r="AA33" i="16"/>
  <c r="AT34" i="16"/>
  <c r="AV34" i="16" s="1"/>
  <c r="AD34" i="16"/>
  <c r="AA34" i="16"/>
  <c r="AT32" i="16"/>
  <c r="AV32" i="16" s="1"/>
  <c r="AD32" i="16"/>
  <c r="AA32" i="16"/>
  <c r="AG16" i="16"/>
  <c r="BI16" i="16"/>
  <c r="AT67" i="16"/>
  <c r="AV67" i="16" s="1"/>
  <c r="AD67" i="16"/>
  <c r="AA67" i="16"/>
  <c r="AT41" i="16"/>
  <c r="AV41" i="16" s="1"/>
  <c r="AD41" i="16"/>
  <c r="AA41" i="16"/>
  <c r="AT38" i="16"/>
  <c r="AV38" i="16" s="1"/>
  <c r="AD38" i="16"/>
  <c r="AA38" i="16"/>
  <c r="AT63" i="16"/>
  <c r="AV63" i="16" s="1"/>
  <c r="AD63" i="16"/>
  <c r="AA63" i="16"/>
  <c r="AT51" i="16"/>
  <c r="AV51" i="16" s="1"/>
  <c r="AD51" i="16"/>
  <c r="AA51" i="16"/>
  <c r="BI80" i="16"/>
  <c r="AG80" i="16"/>
  <c r="AT52" i="16"/>
  <c r="AV52" i="16" s="1"/>
  <c r="AD52" i="16"/>
  <c r="AA52" i="16"/>
  <c r="AT61" i="16"/>
  <c r="AV61" i="16" s="1"/>
  <c r="AD61" i="16"/>
  <c r="AA61" i="16"/>
  <c r="AT17" i="16"/>
  <c r="AV17" i="16" s="1"/>
  <c r="AD17" i="16"/>
  <c r="AA17" i="16"/>
  <c r="AD14" i="16"/>
  <c r="BI14" i="16" s="1"/>
  <c r="AT14" i="16"/>
  <c r="AV14" i="16" s="1"/>
  <c r="AG14" i="16" s="1"/>
  <c r="AA14" i="16"/>
  <c r="AT70" i="16"/>
  <c r="AV70" i="16" s="1"/>
  <c r="AD70" i="16"/>
  <c r="AA70" i="16"/>
  <c r="AT47" i="16"/>
  <c r="AV47" i="16" s="1"/>
  <c r="AD47" i="16"/>
  <c r="AA47" i="16"/>
  <c r="AD64" i="16"/>
  <c r="AT64" i="16"/>
  <c r="AV64" i="16" s="1"/>
  <c r="AA64" i="16"/>
  <c r="AT25" i="16"/>
  <c r="AV25" i="16" s="1"/>
  <c r="AD25" i="16"/>
  <c r="AA25" i="16"/>
  <c r="AT28" i="16"/>
  <c r="AV28" i="16" s="1"/>
  <c r="AD28" i="16"/>
  <c r="AA28" i="16"/>
  <c r="AT50" i="16"/>
  <c r="AV50" i="16" s="1"/>
  <c r="AD50" i="16"/>
  <c r="AA50" i="16"/>
  <c r="AT60" i="16"/>
  <c r="AV60" i="16" s="1"/>
  <c r="AD60" i="16"/>
  <c r="AA60" i="16"/>
  <c r="AD24" i="16"/>
  <c r="AT24" i="16"/>
  <c r="AV24" i="16" s="1"/>
  <c r="AA24" i="16"/>
  <c r="AT62" i="16"/>
  <c r="AV62" i="16" s="1"/>
  <c r="AD62" i="16"/>
  <c r="AA62" i="16"/>
  <c r="BI17" i="16" l="1"/>
  <c r="AG17" i="16"/>
  <c r="BI63" i="16"/>
  <c r="AG63" i="16"/>
  <c r="BI32" i="16"/>
  <c r="AG32" i="16"/>
  <c r="AG42" i="16"/>
  <c r="BI18" i="16"/>
  <c r="AG18" i="16"/>
  <c r="AG71" i="16"/>
  <c r="BI71" i="16"/>
  <c r="BI44" i="16"/>
  <c r="AG44" i="16"/>
  <c r="BI13" i="16"/>
  <c r="AG13" i="16"/>
  <c r="AG25" i="16"/>
  <c r="BI25" i="16"/>
  <c r="BI37" i="16"/>
  <c r="AG37" i="16"/>
  <c r="BI20" i="16"/>
  <c r="AG20" i="16"/>
  <c r="AG24" i="16"/>
  <c r="BI24" i="16"/>
  <c r="BI65" i="16"/>
  <c r="AG65" i="16"/>
  <c r="AG72" i="16"/>
  <c r="BI72" i="16"/>
  <c r="AG40" i="16"/>
  <c r="BI40" i="16"/>
  <c r="BI28" i="16"/>
  <c r="AG28" i="16"/>
  <c r="AG30" i="16"/>
  <c r="BI30" i="16"/>
  <c r="BI62" i="16"/>
  <c r="AG62" i="16"/>
  <c r="BI27" i="16"/>
  <c r="AG27" i="16"/>
  <c r="BI45" i="16"/>
  <c r="AG45" i="16"/>
  <c r="BI64" i="16"/>
  <c r="AG64" i="16"/>
  <c r="AG61" i="16"/>
  <c r="BI61" i="16"/>
  <c r="AG38" i="16"/>
  <c r="BI38" i="16"/>
  <c r="AG34" i="16"/>
  <c r="BI34" i="16"/>
  <c r="BI29" i="16"/>
  <c r="AG29" i="16"/>
  <c r="AG57" i="16"/>
  <c r="BI57" i="16"/>
  <c r="BI19" i="16"/>
  <c r="AG19" i="16"/>
  <c r="AG60" i="16"/>
  <c r="BI60" i="16"/>
  <c r="BI48" i="16"/>
  <c r="AG48" i="16"/>
  <c r="BI66" i="16"/>
  <c r="AG66" i="16"/>
  <c r="AG56" i="16"/>
  <c r="BI56" i="16"/>
  <c r="AG53" i="16"/>
  <c r="BI47" i="16"/>
  <c r="AG47" i="16"/>
  <c r="AG69" i="16"/>
  <c r="BI69" i="16"/>
  <c r="BI21" i="16"/>
  <c r="AG21" i="16"/>
  <c r="BI36" i="16"/>
  <c r="AG36" i="16"/>
  <c r="AG52" i="16"/>
  <c r="BI52" i="16"/>
  <c r="BI41" i="16"/>
  <c r="AG41" i="16"/>
  <c r="BI33" i="16"/>
  <c r="AG33" i="16"/>
  <c r="BI54" i="16"/>
  <c r="AG54" i="16"/>
  <c r="BI31" i="16"/>
  <c r="AG31" i="16"/>
  <c r="BI50" i="16"/>
  <c r="AG50" i="16"/>
  <c r="BI49" i="16"/>
  <c r="AG49" i="16"/>
  <c r="BI68" i="16"/>
  <c r="AG68" i="16"/>
  <c r="AG26" i="16"/>
  <c r="BI26" i="16"/>
  <c r="BI70" i="16"/>
  <c r="AG70" i="16"/>
  <c r="AG46" i="16"/>
  <c r="BI46" i="16"/>
  <c r="BI55" i="16"/>
  <c r="AG55" i="16"/>
  <c r="BI58" i="16"/>
  <c r="AG58" i="16"/>
  <c r="AG51" i="16"/>
  <c r="BI51" i="16"/>
  <c r="AG43" i="16"/>
  <c r="BI43" i="16"/>
  <c r="BI67" i="16"/>
  <c r="AG67" i="16"/>
  <c r="BI59" i="16"/>
  <c r="AG59" i="16"/>
  <c r="BI39" i="16"/>
  <c r="AG39" i="16"/>
  <c r="AG22" i="16"/>
  <c r="BI22" i="16"/>
  <c r="F8" i="17" l="1"/>
  <c r="F10" i="17" l="1"/>
  <c r="Y8" i="17"/>
  <c r="Y10" i="17" l="1"/>
  <c r="H83" i="17"/>
  <c r="H43" i="17" l="1"/>
  <c r="H66" i="17"/>
  <c r="H67" i="17"/>
  <c r="H46" i="17"/>
  <c r="H39" i="17"/>
  <c r="H57" i="17"/>
  <c r="H52" i="17"/>
  <c r="H64" i="17"/>
  <c r="H73" i="17"/>
  <c r="H26" i="17"/>
  <c r="H72" i="17"/>
  <c r="H25" i="17"/>
  <c r="H23" i="17"/>
  <c r="H24" i="17"/>
  <c r="H50" i="17"/>
  <c r="H20" i="17"/>
  <c r="H53" i="17"/>
  <c r="H77" i="17"/>
  <c r="H35" i="17"/>
  <c r="H59" i="17"/>
  <c r="H42" i="17"/>
  <c r="H76" i="17"/>
  <c r="H16" i="17"/>
  <c r="H80" i="17"/>
  <c r="H79" i="17"/>
  <c r="H19" i="17"/>
  <c r="H33" i="17"/>
  <c r="H49" i="17"/>
  <c r="H61" i="17"/>
  <c r="H51" i="17"/>
  <c r="H62" i="17"/>
  <c r="H56" i="17"/>
  <c r="H55" i="17"/>
  <c r="H15" i="17"/>
  <c r="H58" i="17"/>
  <c r="H71" i="17"/>
  <c r="H60" i="17"/>
  <c r="H38" i="17"/>
  <c r="H22" i="17"/>
  <c r="H65" i="17"/>
  <c r="H78" i="17"/>
  <c r="H70" i="17"/>
  <c r="H18" i="17"/>
  <c r="H29" i="17"/>
  <c r="H21" i="17"/>
  <c r="H68" i="17"/>
  <c r="H41" i="17"/>
  <c r="H63" i="17"/>
  <c r="H34" i="17"/>
  <c r="H74" i="17"/>
  <c r="H48" i="17"/>
  <c r="H14" i="17"/>
  <c r="H27" i="17"/>
  <c r="H45" i="17"/>
  <c r="H40" i="17"/>
  <c r="H28" i="17"/>
  <c r="H47" i="17"/>
  <c r="H17" i="17"/>
  <c r="H54" i="17"/>
  <c r="H36" i="17"/>
  <c r="H30" i="17"/>
  <c r="H32" i="17"/>
  <c r="H13" i="17"/>
  <c r="H31" i="17"/>
  <c r="H69" i="17"/>
  <c r="H75" i="17"/>
  <c r="H37" i="17"/>
  <c r="H44" i="17"/>
  <c r="AA24" i="17" l="1"/>
  <c r="AG24" i="17" s="1"/>
  <c r="F24" i="16"/>
  <c r="AI24" i="17"/>
  <c r="AA45" i="17"/>
  <c r="AG45" i="17" s="1"/>
  <c r="F45" i="16"/>
  <c r="AI45" i="17"/>
  <c r="F25" i="16"/>
  <c r="AA25" i="17"/>
  <c r="AG25" i="17" s="1"/>
  <c r="AI25" i="17"/>
  <c r="AA37" i="17"/>
  <c r="AG37" i="17" s="1"/>
  <c r="F37" i="16"/>
  <c r="AI37" i="17"/>
  <c r="F27" i="16"/>
  <c r="AA27" i="17"/>
  <c r="AG27" i="17" s="1"/>
  <c r="AI27" i="17"/>
  <c r="F22" i="16"/>
  <c r="AA22" i="17"/>
  <c r="AG22" i="17" s="1"/>
  <c r="AI22" i="17"/>
  <c r="AA79" i="17"/>
  <c r="AG79" i="17" s="1"/>
  <c r="F79" i="16"/>
  <c r="AI79" i="17"/>
  <c r="AA72" i="17"/>
  <c r="AG72" i="17" s="1"/>
  <c r="F72" i="16"/>
  <c r="AI72" i="17"/>
  <c r="AA75" i="17"/>
  <c r="AG75" i="17" s="1"/>
  <c r="F75" i="16"/>
  <c r="AI75" i="17"/>
  <c r="F14" i="16"/>
  <c r="AA14" i="17"/>
  <c r="AG14" i="17" s="1"/>
  <c r="AI14" i="17"/>
  <c r="AA38" i="17"/>
  <c r="AG38" i="17" s="1"/>
  <c r="F38" i="16"/>
  <c r="AI38" i="17"/>
  <c r="AA80" i="17"/>
  <c r="AG80" i="17" s="1"/>
  <c r="F80" i="16"/>
  <c r="AI80" i="17"/>
  <c r="F26" i="16"/>
  <c r="AA26" i="17"/>
  <c r="AG26" i="17" s="1"/>
  <c r="AI26" i="17"/>
  <c r="F23" i="16"/>
  <c r="AA23" i="17"/>
  <c r="AG23" i="17" s="1"/>
  <c r="AI23" i="17"/>
  <c r="AA48" i="17"/>
  <c r="AG48" i="17" s="1"/>
  <c r="F48" i="16"/>
  <c r="AI48" i="17"/>
  <c r="AA58" i="17"/>
  <c r="AG58" i="17" s="1"/>
  <c r="F58" i="16"/>
  <c r="AI58" i="17"/>
  <c r="AA32" i="17"/>
  <c r="AG32" i="17" s="1"/>
  <c r="F32" i="16"/>
  <c r="AI32" i="17"/>
  <c r="AA30" i="17"/>
  <c r="AG30" i="17" s="1"/>
  <c r="F30" i="16"/>
  <c r="AI30" i="17"/>
  <c r="F41" i="16"/>
  <c r="AA41" i="17"/>
  <c r="AG41" i="17" s="1"/>
  <c r="AI41" i="17"/>
  <c r="AA55" i="17"/>
  <c r="AG55" i="17" s="1"/>
  <c r="F55" i="16"/>
  <c r="AI55" i="17"/>
  <c r="AA35" i="17"/>
  <c r="AG35" i="17" s="1"/>
  <c r="F35" i="16"/>
  <c r="AI35" i="17"/>
  <c r="AA39" i="17"/>
  <c r="AG39" i="17" s="1"/>
  <c r="F39" i="16"/>
  <c r="AI39" i="17"/>
  <c r="AA28" i="17"/>
  <c r="AG28" i="17" s="1"/>
  <c r="F28" i="16"/>
  <c r="AI28" i="17"/>
  <c r="F70" i="16"/>
  <c r="AA70" i="17"/>
  <c r="AG70" i="17" s="1"/>
  <c r="AI70" i="17"/>
  <c r="F40" i="16"/>
  <c r="AA40" i="17"/>
  <c r="AG40" i="17" s="1"/>
  <c r="AI40" i="17"/>
  <c r="AA76" i="17"/>
  <c r="AG76" i="17" s="1"/>
  <c r="F76" i="16"/>
  <c r="AI76" i="17"/>
  <c r="AA57" i="17"/>
  <c r="AG57" i="17" s="1"/>
  <c r="F57" i="16"/>
  <c r="AI57" i="17"/>
  <c r="F36" i="16"/>
  <c r="AA36" i="17"/>
  <c r="AG36" i="17" s="1"/>
  <c r="AI36" i="17"/>
  <c r="AA68" i="17"/>
  <c r="AG68" i="17" s="1"/>
  <c r="F68" i="16"/>
  <c r="AI68" i="17"/>
  <c r="AA56" i="17"/>
  <c r="AG56" i="17" s="1"/>
  <c r="F56" i="16"/>
  <c r="AI56" i="17"/>
  <c r="AA77" i="17"/>
  <c r="AG77" i="17" s="1"/>
  <c r="F77" i="16"/>
  <c r="AI77" i="17"/>
  <c r="AA46" i="17"/>
  <c r="AG46" i="17" s="1"/>
  <c r="F46" i="16"/>
  <c r="AI46" i="17"/>
  <c r="AA49" i="17"/>
  <c r="AG49" i="17" s="1"/>
  <c r="F49" i="16"/>
  <c r="AI49" i="17"/>
  <c r="F65" i="16"/>
  <c r="AA65" i="17"/>
  <c r="AG65" i="17" s="1"/>
  <c r="AI65" i="17"/>
  <c r="F60" i="16"/>
  <c r="AA60" i="17"/>
  <c r="AG60" i="17" s="1"/>
  <c r="AI60" i="17"/>
  <c r="F31" i="16"/>
  <c r="AA31" i="17"/>
  <c r="AG31" i="17" s="1"/>
  <c r="AI31" i="17"/>
  <c r="AA74" i="17"/>
  <c r="AG74" i="17" s="1"/>
  <c r="F74" i="16"/>
  <c r="AI74" i="17"/>
  <c r="AA71" i="17"/>
  <c r="AG71" i="17" s="1"/>
  <c r="F71" i="16"/>
  <c r="AI71" i="17"/>
  <c r="AA64" i="17"/>
  <c r="AG64" i="17" s="1"/>
  <c r="F64" i="16"/>
  <c r="AI64" i="17"/>
  <c r="F13" i="16"/>
  <c r="AA13" i="17"/>
  <c r="AI13" i="17"/>
  <c r="AA59" i="17"/>
  <c r="AG59" i="17" s="1"/>
  <c r="F59" i="16"/>
  <c r="AI59" i="17"/>
  <c r="AA54" i="17"/>
  <c r="AG54" i="17" s="1"/>
  <c r="F54" i="16"/>
  <c r="AI54" i="17"/>
  <c r="AA21" i="17"/>
  <c r="AG21" i="17" s="1"/>
  <c r="F21" i="16"/>
  <c r="AI21" i="17"/>
  <c r="AA62" i="17"/>
  <c r="AG62" i="17" s="1"/>
  <c r="F62" i="16"/>
  <c r="AI62" i="17"/>
  <c r="AA53" i="17"/>
  <c r="AG53" i="17" s="1"/>
  <c r="F53" i="16"/>
  <c r="AI53" i="17"/>
  <c r="F67" i="16"/>
  <c r="AA67" i="17"/>
  <c r="AG67" i="17" s="1"/>
  <c r="AI67" i="17"/>
  <c r="F33" i="16"/>
  <c r="AA33" i="17"/>
  <c r="AG33" i="17" s="1"/>
  <c r="AI33" i="17"/>
  <c r="AA16" i="17"/>
  <c r="AG16" i="17" s="1"/>
  <c r="F16" i="16"/>
  <c r="AI16" i="17"/>
  <c r="AA42" i="17"/>
  <c r="AG42" i="17" s="1"/>
  <c r="F42" i="16"/>
  <c r="AI42" i="17"/>
  <c r="AA15" i="17"/>
  <c r="AG15" i="17" s="1"/>
  <c r="F15" i="16"/>
  <c r="AI15" i="17"/>
  <c r="AA17" i="17"/>
  <c r="AG17" i="17" s="1"/>
  <c r="F17" i="16"/>
  <c r="AI17" i="17"/>
  <c r="AA29" i="17"/>
  <c r="AG29" i="17" s="1"/>
  <c r="F29" i="16"/>
  <c r="AI29" i="17"/>
  <c r="AA51" i="17"/>
  <c r="AG51" i="17" s="1"/>
  <c r="F51" i="16"/>
  <c r="AI51" i="17"/>
  <c r="AA20" i="17"/>
  <c r="AG20" i="17" s="1"/>
  <c r="F20" i="16"/>
  <c r="AI20" i="17"/>
  <c r="AA66" i="17"/>
  <c r="AG66" i="17" s="1"/>
  <c r="F66" i="16"/>
  <c r="AI66" i="17"/>
  <c r="AA78" i="17"/>
  <c r="AG78" i="17" s="1"/>
  <c r="F78" i="16"/>
  <c r="AI78" i="17"/>
  <c r="AA44" i="17"/>
  <c r="AG44" i="17" s="1"/>
  <c r="F44" i="16"/>
  <c r="AI44" i="17"/>
  <c r="AA19" i="17"/>
  <c r="AG19" i="17" s="1"/>
  <c r="F19" i="16"/>
  <c r="AI19" i="17"/>
  <c r="F69" i="16"/>
  <c r="AA69" i="17"/>
  <c r="AG69" i="17" s="1"/>
  <c r="AI69" i="17"/>
  <c r="AA73" i="17"/>
  <c r="AG73" i="17" s="1"/>
  <c r="F73" i="16"/>
  <c r="AI73" i="17"/>
  <c r="F34" i="16"/>
  <c r="AA34" i="17"/>
  <c r="AG34" i="17" s="1"/>
  <c r="AI34" i="17"/>
  <c r="AA52" i="17"/>
  <c r="AG52" i="17" s="1"/>
  <c r="F52" i="16"/>
  <c r="AI52" i="17"/>
  <c r="AA63" i="17"/>
  <c r="AG63" i="17" s="1"/>
  <c r="F63" i="16"/>
  <c r="AI63" i="17"/>
  <c r="F47" i="16"/>
  <c r="AA47" i="17"/>
  <c r="AG47" i="17" s="1"/>
  <c r="AI47" i="17"/>
  <c r="F18" i="16"/>
  <c r="AA18" i="17"/>
  <c r="AG18" i="17" s="1"/>
  <c r="AI18" i="17"/>
  <c r="AA61" i="17"/>
  <c r="AG61" i="17" s="1"/>
  <c r="F61" i="16"/>
  <c r="AI61" i="17"/>
  <c r="AA50" i="17"/>
  <c r="AG50" i="17" s="1"/>
  <c r="F50" i="16"/>
  <c r="AI50" i="17"/>
  <c r="F43" i="16"/>
  <c r="AA43" i="17"/>
  <c r="AG43" i="17" s="1"/>
  <c r="AI43" i="17"/>
  <c r="AB27" i="16" l="1"/>
  <c r="I27" i="16"/>
  <c r="AB73" i="16"/>
  <c r="I73" i="16"/>
  <c r="AB66" i="16"/>
  <c r="I66" i="16"/>
  <c r="AB57" i="16"/>
  <c r="I57" i="16"/>
  <c r="AB15" i="16"/>
  <c r="I15" i="16"/>
  <c r="AB26" i="16"/>
  <c r="I26" i="16"/>
  <c r="I32" i="16"/>
  <c r="AB32" i="16"/>
  <c r="AB19" i="16"/>
  <c r="I19" i="16"/>
  <c r="AB42" i="16"/>
  <c r="I42" i="16"/>
  <c r="AB13" i="16"/>
  <c r="I13" i="16"/>
  <c r="I35" i="16"/>
  <c r="AB35" i="16"/>
  <c r="AB79" i="16"/>
  <c r="I79" i="16"/>
  <c r="I49" i="16"/>
  <c r="AB49" i="16"/>
  <c r="I75" i="16"/>
  <c r="AB75" i="16"/>
  <c r="AB67" i="16"/>
  <c r="I67" i="16"/>
  <c r="I39" i="16"/>
  <c r="AB39" i="16"/>
  <c r="AB69" i="16"/>
  <c r="I69" i="16"/>
  <c r="AB53" i="16"/>
  <c r="I53" i="16"/>
  <c r="I77" i="16"/>
  <c r="AB77" i="16"/>
  <c r="I50" i="16"/>
  <c r="AB50" i="16"/>
  <c r="AB51" i="16"/>
  <c r="I51" i="16"/>
  <c r="I62" i="16"/>
  <c r="AB62" i="16"/>
  <c r="AB60" i="16"/>
  <c r="I60" i="16"/>
  <c r="AB56" i="16"/>
  <c r="I56" i="16"/>
  <c r="AB58" i="16"/>
  <c r="I58" i="16"/>
  <c r="AB45" i="16"/>
  <c r="I45" i="16"/>
  <c r="AB74" i="16"/>
  <c r="I74" i="16"/>
  <c r="AB28" i="16"/>
  <c r="I28" i="16"/>
  <c r="AB37" i="16"/>
  <c r="I37" i="16"/>
  <c r="AB20" i="16"/>
  <c r="I20" i="16"/>
  <c r="AB76" i="16"/>
  <c r="I76" i="16"/>
  <c r="AB52" i="16"/>
  <c r="I52" i="16"/>
  <c r="I64" i="16"/>
  <c r="AB64" i="16"/>
  <c r="I38" i="16"/>
  <c r="AB38" i="16"/>
  <c r="I78" i="16"/>
  <c r="AB78" i="16"/>
  <c r="AB17" i="16"/>
  <c r="I17" i="16"/>
  <c r="I36" i="16"/>
  <c r="AB36" i="16"/>
  <c r="AB72" i="16"/>
  <c r="I72" i="16"/>
  <c r="I43" i="16"/>
  <c r="AB43" i="16"/>
  <c r="I25" i="16"/>
  <c r="AB25" i="16"/>
  <c r="AB44" i="16"/>
  <c r="I44" i="16"/>
  <c r="AB16" i="16"/>
  <c r="I16" i="16"/>
  <c r="AB40" i="16"/>
  <c r="I40" i="16"/>
  <c r="AB55" i="16"/>
  <c r="I55" i="16"/>
  <c r="AB34" i="16"/>
  <c r="I34" i="16"/>
  <c r="I14" i="16"/>
  <c r="AB14" i="16"/>
  <c r="AB33" i="16"/>
  <c r="I33" i="16"/>
  <c r="AB54" i="16"/>
  <c r="I54" i="16"/>
  <c r="AB41" i="16"/>
  <c r="I41" i="16"/>
  <c r="I59" i="16"/>
  <c r="AB59" i="16"/>
  <c r="AG13" i="17"/>
  <c r="AA83" i="17"/>
  <c r="AB80" i="16"/>
  <c r="I80" i="16"/>
  <c r="AB61" i="16"/>
  <c r="I61" i="16"/>
  <c r="AB29" i="16"/>
  <c r="I29" i="16"/>
  <c r="AB21" i="16"/>
  <c r="I21" i="16"/>
  <c r="I65" i="16"/>
  <c r="AB65" i="16"/>
  <c r="AB68" i="16"/>
  <c r="I68" i="16"/>
  <c r="AB48" i="16"/>
  <c r="I48" i="16"/>
  <c r="AB22" i="16"/>
  <c r="I22" i="16"/>
  <c r="I24" i="16"/>
  <c r="AB24" i="16"/>
  <c r="AB70" i="16"/>
  <c r="I70" i="16"/>
  <c r="AB18" i="16"/>
  <c r="I18" i="16"/>
  <c r="I23" i="16"/>
  <c r="AB23" i="16"/>
  <c r="AB46" i="16"/>
  <c r="I46" i="16"/>
  <c r="I30" i="16"/>
  <c r="AB30" i="16"/>
  <c r="AB47" i="16"/>
  <c r="I47" i="16"/>
  <c r="AB31" i="16"/>
  <c r="I31" i="16"/>
  <c r="AB63" i="16"/>
  <c r="I63" i="16"/>
  <c r="I71" i="16"/>
  <c r="AB71" i="16"/>
  <c r="AH77" i="16" l="1"/>
  <c r="AE77" i="16"/>
  <c r="BJ77" i="16" s="1"/>
  <c r="AH47" i="16"/>
  <c r="AE47" i="16"/>
  <c r="BJ47" i="16" s="1"/>
  <c r="AG83" i="17"/>
  <c r="AA84" i="17"/>
  <c r="AG84" i="17" s="1"/>
  <c r="J46" i="16"/>
  <c r="W46" i="16"/>
  <c r="J68" i="16"/>
  <c r="W68" i="16"/>
  <c r="AH59" i="16"/>
  <c r="AE59" i="16"/>
  <c r="BJ59" i="16" s="1"/>
  <c r="AH55" i="16"/>
  <c r="AE55" i="16"/>
  <c r="BJ55" i="16" s="1"/>
  <c r="J36" i="16"/>
  <c r="W36" i="16"/>
  <c r="J20" i="16"/>
  <c r="W20" i="16"/>
  <c r="J56" i="16"/>
  <c r="W56" i="16"/>
  <c r="J69" i="16"/>
  <c r="W69" i="16"/>
  <c r="J35" i="16"/>
  <c r="W35" i="16"/>
  <c r="AH15" i="16"/>
  <c r="AE15" i="16"/>
  <c r="BJ15" i="16" s="1"/>
  <c r="J52" i="16"/>
  <c r="W52" i="16"/>
  <c r="J58" i="16"/>
  <c r="W58" i="16"/>
  <c r="J55" i="16"/>
  <c r="W55" i="16"/>
  <c r="AH69" i="16"/>
  <c r="AE69" i="16"/>
  <c r="BJ69" i="16" s="1"/>
  <c r="J60" i="16"/>
  <c r="W60" i="16"/>
  <c r="J28" i="16"/>
  <c r="W28" i="16"/>
  <c r="J63" i="16"/>
  <c r="W63" i="16"/>
  <c r="AE18" i="16"/>
  <c r="BJ18" i="16" s="1"/>
  <c r="AH18" i="16"/>
  <c r="AH21" i="16"/>
  <c r="AE21" i="16"/>
  <c r="BJ21" i="16" s="1"/>
  <c r="AH54" i="16"/>
  <c r="AE54" i="16"/>
  <c r="BJ54" i="16" s="1"/>
  <c r="J44" i="16"/>
  <c r="W44" i="16"/>
  <c r="J78" i="16"/>
  <c r="W78" i="16"/>
  <c r="AH28" i="16"/>
  <c r="AE28" i="16"/>
  <c r="BJ28" i="16" s="1"/>
  <c r="J62" i="16"/>
  <c r="W62" i="16"/>
  <c r="AH67" i="16"/>
  <c r="AE67" i="16"/>
  <c r="BJ67" i="16" s="1"/>
  <c r="J19" i="16"/>
  <c r="W19" i="16"/>
  <c r="J73" i="16"/>
  <c r="W73" i="16"/>
  <c r="J47" i="16"/>
  <c r="W47" i="16"/>
  <c r="J22" i="16"/>
  <c r="W22" i="16"/>
  <c r="J80" i="16"/>
  <c r="W80" i="16"/>
  <c r="J34" i="16"/>
  <c r="W34" i="16"/>
  <c r="J79" i="16"/>
  <c r="W79" i="16"/>
  <c r="AH22" i="16"/>
  <c r="AE22" i="16"/>
  <c r="BJ22" i="16" s="1"/>
  <c r="AE80" i="16"/>
  <c r="BJ80" i="16" s="1"/>
  <c r="AH80" i="16"/>
  <c r="J72" i="16"/>
  <c r="W72" i="16"/>
  <c r="AH52" i="16"/>
  <c r="AE52" i="16"/>
  <c r="BJ52" i="16" s="1"/>
  <c r="AH26" i="16"/>
  <c r="AE26" i="16"/>
  <c r="BJ26" i="16" s="1"/>
  <c r="AH72" i="16"/>
  <c r="AE72" i="16"/>
  <c r="BJ72" i="16" s="1"/>
  <c r="J76" i="16"/>
  <c r="W76" i="16"/>
  <c r="J30" i="16"/>
  <c r="W30" i="16"/>
  <c r="AH48" i="16"/>
  <c r="AE48" i="16"/>
  <c r="BJ48" i="16" s="1"/>
  <c r="AH36" i="16"/>
  <c r="AE36" i="16"/>
  <c r="BJ36" i="16" s="1"/>
  <c r="AH76" i="16"/>
  <c r="AE76" i="16"/>
  <c r="BJ76" i="16" s="1"/>
  <c r="AH35" i="16"/>
  <c r="AE35" i="16"/>
  <c r="BJ35" i="16" s="1"/>
  <c r="J57" i="16"/>
  <c r="W57" i="16"/>
  <c r="AH23" i="16"/>
  <c r="AE23" i="16"/>
  <c r="BJ23" i="16" s="1"/>
  <c r="J41" i="16"/>
  <c r="W41" i="16"/>
  <c r="AH40" i="16"/>
  <c r="AE40" i="16"/>
  <c r="BJ40" i="16" s="1"/>
  <c r="J17" i="16"/>
  <c r="W17" i="16"/>
  <c r="J37" i="16"/>
  <c r="W37" i="16"/>
  <c r="AH57" i="16"/>
  <c r="AE57" i="16"/>
  <c r="BJ57" i="16" s="1"/>
  <c r="J23" i="16"/>
  <c r="W23" i="16"/>
  <c r="J65" i="16"/>
  <c r="W65" i="16"/>
  <c r="J16" i="16"/>
  <c r="W16" i="16"/>
  <c r="AH17" i="16"/>
  <c r="AE17" i="16"/>
  <c r="BJ17" i="16" s="1"/>
  <c r="AH37" i="16"/>
  <c r="AE37" i="16"/>
  <c r="BJ37" i="16" s="1"/>
  <c r="J66" i="16"/>
  <c r="W66" i="16"/>
  <c r="J18" i="16"/>
  <c r="W18" i="16"/>
  <c r="J21" i="16"/>
  <c r="W21" i="16"/>
  <c r="J54" i="16"/>
  <c r="W54" i="16"/>
  <c r="AH16" i="16"/>
  <c r="AE16" i="16"/>
  <c r="BJ16" i="16" s="1"/>
  <c r="AH78" i="16"/>
  <c r="AE78" i="16"/>
  <c r="BJ78" i="16" s="1"/>
  <c r="AH62" i="16"/>
  <c r="AE62" i="16"/>
  <c r="BJ62" i="16" s="1"/>
  <c r="AH63" i="16"/>
  <c r="AE63" i="16"/>
  <c r="BJ63" i="16" s="1"/>
  <c r="J70" i="16"/>
  <c r="W70" i="16"/>
  <c r="J29" i="16"/>
  <c r="W29" i="16"/>
  <c r="J33" i="16"/>
  <c r="W33" i="16"/>
  <c r="AH44" i="16"/>
  <c r="AE44" i="16"/>
  <c r="BJ44" i="16" s="1"/>
  <c r="AH38" i="16"/>
  <c r="AE38" i="16"/>
  <c r="BJ38" i="16" s="1"/>
  <c r="J74" i="16"/>
  <c r="W74" i="16"/>
  <c r="J51" i="16"/>
  <c r="W51" i="16"/>
  <c r="AH75" i="16"/>
  <c r="AE75" i="16"/>
  <c r="BJ75" i="16" s="1"/>
  <c r="AH19" i="16"/>
  <c r="AE19" i="16"/>
  <c r="BJ19" i="16" s="1"/>
  <c r="AH73" i="16"/>
  <c r="AE73" i="16"/>
  <c r="BJ73" i="16" s="1"/>
  <c r="AH45" i="16"/>
  <c r="AE45" i="16"/>
  <c r="BJ45" i="16" s="1"/>
  <c r="AH34" i="16"/>
  <c r="AE34" i="16"/>
  <c r="BJ34" i="16" s="1"/>
  <c r="AH53" i="16"/>
  <c r="AE53" i="16"/>
  <c r="BJ53" i="16" s="1"/>
  <c r="J13" i="16"/>
  <c r="W13" i="16"/>
  <c r="J42" i="16"/>
  <c r="W42" i="16"/>
  <c r="AH66" i="16"/>
  <c r="AE66" i="16"/>
  <c r="BJ66" i="16" s="1"/>
  <c r="AE70" i="16"/>
  <c r="BJ70" i="16" s="1"/>
  <c r="AH70" i="16"/>
  <c r="AH29" i="16"/>
  <c r="AE29" i="16"/>
  <c r="BJ29" i="16" s="1"/>
  <c r="AH33" i="16"/>
  <c r="AE33" i="16"/>
  <c r="BJ33" i="16" s="1"/>
  <c r="AH25" i="16"/>
  <c r="AE25" i="16"/>
  <c r="BJ25" i="16" s="1"/>
  <c r="J38" i="16"/>
  <c r="W38" i="16"/>
  <c r="AH74" i="16"/>
  <c r="AE74" i="16"/>
  <c r="BJ74" i="16" s="1"/>
  <c r="AH51" i="16"/>
  <c r="AE51" i="16"/>
  <c r="BJ51" i="16" s="1"/>
  <c r="J75" i="16"/>
  <c r="W75" i="16"/>
  <c r="J27" i="16"/>
  <c r="W27" i="16"/>
  <c r="J43" i="16"/>
  <c r="W43" i="16"/>
  <c r="AH79" i="16"/>
  <c r="AE79" i="16"/>
  <c r="BJ79" i="16" s="1"/>
  <c r="J48" i="16"/>
  <c r="W48" i="16"/>
  <c r="J15" i="16"/>
  <c r="W15" i="16"/>
  <c r="AH71" i="16"/>
  <c r="AE71" i="16"/>
  <c r="BJ71" i="16" s="1"/>
  <c r="AH68" i="16"/>
  <c r="AE68" i="16"/>
  <c r="BJ68" i="16" s="1"/>
  <c r="J59" i="16"/>
  <c r="W59" i="16"/>
  <c r="J40" i="16"/>
  <c r="W40" i="16"/>
  <c r="AH56" i="16"/>
  <c r="AE56" i="16"/>
  <c r="BJ56" i="16" s="1"/>
  <c r="AH65" i="16"/>
  <c r="AE65" i="16"/>
  <c r="BJ65" i="16" s="1"/>
  <c r="AH39" i="16"/>
  <c r="AE39" i="16"/>
  <c r="BJ39" i="16" s="1"/>
  <c r="AH41" i="16"/>
  <c r="AE41" i="16"/>
  <c r="BJ41" i="16" s="1"/>
  <c r="J39" i="16"/>
  <c r="W39" i="16"/>
  <c r="J67" i="16"/>
  <c r="W67" i="16"/>
  <c r="J31" i="16"/>
  <c r="W31" i="16"/>
  <c r="AH24" i="16"/>
  <c r="AE24" i="16"/>
  <c r="BJ24" i="16" s="1"/>
  <c r="J61" i="16"/>
  <c r="W61" i="16"/>
  <c r="AH14" i="16"/>
  <c r="AE14" i="16"/>
  <c r="BJ14" i="16" s="1"/>
  <c r="J25" i="16"/>
  <c r="W25" i="16"/>
  <c r="AH64" i="16"/>
  <c r="AE64" i="16"/>
  <c r="BJ64" i="16" s="1"/>
  <c r="AH50" i="16"/>
  <c r="AE50" i="16"/>
  <c r="BJ50" i="16" s="1"/>
  <c r="AH49" i="16"/>
  <c r="AE49" i="16"/>
  <c r="BJ49" i="16" s="1"/>
  <c r="AH32" i="16"/>
  <c r="AE32" i="16"/>
  <c r="BJ32" i="16" s="1"/>
  <c r="AE27" i="16"/>
  <c r="BJ27" i="16" s="1"/>
  <c r="AH27" i="16"/>
  <c r="J26" i="16"/>
  <c r="W26" i="16"/>
  <c r="J77" i="16"/>
  <c r="W77" i="16"/>
  <c r="AH30" i="16"/>
  <c r="AE30" i="16"/>
  <c r="BJ30" i="16" s="1"/>
  <c r="J53" i="16"/>
  <c r="W53" i="16"/>
  <c r="AH58" i="16"/>
  <c r="AE58" i="16"/>
  <c r="BJ58" i="16" s="1"/>
  <c r="AH46" i="16"/>
  <c r="AE46" i="16"/>
  <c r="BJ46" i="16" s="1"/>
  <c r="AE20" i="16"/>
  <c r="BJ20" i="16" s="1"/>
  <c r="AH20" i="16"/>
  <c r="J71" i="16"/>
  <c r="W71" i="16"/>
  <c r="AH13" i="16"/>
  <c r="AE13" i="16"/>
  <c r="BJ13" i="16" s="1"/>
  <c r="AH60" i="16"/>
  <c r="AE60" i="16"/>
  <c r="BJ60" i="16" s="1"/>
  <c r="AH42" i="16"/>
  <c r="AE42" i="16"/>
  <c r="BJ42" i="16" s="1"/>
  <c r="AH31" i="16"/>
  <c r="AE31" i="16"/>
  <c r="BJ31" i="16" s="1"/>
  <c r="J24" i="16"/>
  <c r="W24" i="16"/>
  <c r="AH61" i="16"/>
  <c r="AE61" i="16"/>
  <c r="BJ61" i="16" s="1"/>
  <c r="J14" i="16"/>
  <c r="W14" i="16"/>
  <c r="AH43" i="16"/>
  <c r="AE43" i="16"/>
  <c r="BJ43" i="16" s="1"/>
  <c r="J64" i="16"/>
  <c r="W64" i="16"/>
  <c r="J45" i="16"/>
  <c r="W45" i="16"/>
  <c r="J50" i="16"/>
  <c r="W50" i="16"/>
  <c r="J49" i="16"/>
  <c r="W49" i="16"/>
  <c r="J32" i="16"/>
  <c r="W32" i="16"/>
  <c r="AJ39" i="17" l="1"/>
  <c r="AL39" i="17" s="1"/>
  <c r="X39" i="16"/>
  <c r="Z39" i="16"/>
  <c r="AJ77" i="17"/>
  <c r="AL77" i="17" s="1"/>
  <c r="X77" i="16"/>
  <c r="Z77" i="16"/>
  <c r="AJ29" i="17"/>
  <c r="AL29" i="17" s="1"/>
  <c r="X29" i="16"/>
  <c r="Z29" i="16"/>
  <c r="AJ21" i="17"/>
  <c r="AL21" i="17" s="1"/>
  <c r="X21" i="16"/>
  <c r="Z21" i="16"/>
  <c r="AJ23" i="17"/>
  <c r="AL23" i="17" s="1"/>
  <c r="X23" i="16"/>
  <c r="Z23" i="16"/>
  <c r="AJ57" i="17"/>
  <c r="AL57" i="17" s="1"/>
  <c r="X57" i="16"/>
  <c r="Z57" i="16"/>
  <c r="AJ34" i="17"/>
  <c r="AL34" i="17" s="1"/>
  <c r="X34" i="16"/>
  <c r="Z34" i="16"/>
  <c r="AJ63" i="17"/>
  <c r="AL63" i="17" s="1"/>
  <c r="X63" i="16"/>
  <c r="Z63" i="16"/>
  <c r="AJ64" i="17"/>
  <c r="AL64" i="17" s="1"/>
  <c r="Z64" i="16"/>
  <c r="X64" i="16"/>
  <c r="AJ75" i="17"/>
  <c r="AL75" i="17" s="1"/>
  <c r="Z75" i="16"/>
  <c r="X75" i="16"/>
  <c r="AJ33" i="17"/>
  <c r="AL33" i="17" s="1"/>
  <c r="X33" i="16"/>
  <c r="Z33" i="16"/>
  <c r="AJ25" i="17"/>
  <c r="AL25" i="17" s="1"/>
  <c r="X25" i="16"/>
  <c r="Z25" i="16"/>
  <c r="AJ62" i="17"/>
  <c r="AL62" i="17" s="1"/>
  <c r="X62" i="16"/>
  <c r="Z62" i="16"/>
  <c r="AJ54" i="17"/>
  <c r="AL54" i="17" s="1"/>
  <c r="Z54" i="16"/>
  <c r="X54" i="16"/>
  <c r="AJ65" i="17"/>
  <c r="AL65" i="17" s="1"/>
  <c r="X65" i="16"/>
  <c r="Z65" i="16"/>
  <c r="AJ76" i="17"/>
  <c r="AL76" i="17" s="1"/>
  <c r="Z76" i="16"/>
  <c r="X76" i="16"/>
  <c r="X79" i="16"/>
  <c r="AJ79" i="17"/>
  <c r="AL79" i="17" s="1"/>
  <c r="Z79" i="16"/>
  <c r="AJ52" i="17"/>
  <c r="AL52" i="17" s="1"/>
  <c r="Z52" i="16"/>
  <c r="X52" i="16"/>
  <c r="AJ14" i="17"/>
  <c r="AL14" i="17" s="1"/>
  <c r="Z14" i="16"/>
  <c r="X14" i="16"/>
  <c r="AJ71" i="17"/>
  <c r="AL71" i="17" s="1"/>
  <c r="X71" i="16"/>
  <c r="Z71" i="16"/>
  <c r="AJ26" i="17"/>
  <c r="AL26" i="17" s="1"/>
  <c r="X26" i="16"/>
  <c r="Z26" i="16"/>
  <c r="AJ15" i="17"/>
  <c r="AL15" i="17" s="1"/>
  <c r="Z15" i="16"/>
  <c r="X15" i="16"/>
  <c r="W9" i="16"/>
  <c r="AJ42" i="17"/>
  <c r="AL42" i="17" s="1"/>
  <c r="X42" i="16"/>
  <c r="Z42" i="16"/>
  <c r="AJ70" i="17"/>
  <c r="AL70" i="17" s="1"/>
  <c r="Z70" i="16"/>
  <c r="X70" i="16"/>
  <c r="AJ18" i="17"/>
  <c r="AL18" i="17" s="1"/>
  <c r="X18" i="16"/>
  <c r="Z18" i="16"/>
  <c r="AJ80" i="17"/>
  <c r="AL80" i="17" s="1"/>
  <c r="Z80" i="16"/>
  <c r="X80" i="16"/>
  <c r="AJ28" i="17"/>
  <c r="AL28" i="17" s="1"/>
  <c r="Z28" i="16"/>
  <c r="X28" i="16"/>
  <c r="AJ35" i="17"/>
  <c r="AL35" i="17" s="1"/>
  <c r="X35" i="16"/>
  <c r="Z35" i="16"/>
  <c r="AJ68" i="17"/>
  <c r="AL68" i="17" s="1"/>
  <c r="Z68" i="16"/>
  <c r="X68" i="16"/>
  <c r="AJ32" i="17"/>
  <c r="AL32" i="17" s="1"/>
  <c r="Z32" i="16"/>
  <c r="X32" i="16"/>
  <c r="AJ78" i="17"/>
  <c r="AL78" i="17" s="1"/>
  <c r="Z78" i="16"/>
  <c r="X78" i="16"/>
  <c r="AJ49" i="17"/>
  <c r="AL49" i="17" s="1"/>
  <c r="X49" i="16"/>
  <c r="Z49" i="16"/>
  <c r="AJ24" i="17"/>
  <c r="AL24" i="17" s="1"/>
  <c r="X24" i="16"/>
  <c r="Z24" i="16"/>
  <c r="AJ74" i="17"/>
  <c r="AL74" i="17" s="1"/>
  <c r="X74" i="16"/>
  <c r="Z74" i="16"/>
  <c r="AJ17" i="17"/>
  <c r="AL17" i="17" s="1"/>
  <c r="X17" i="16"/>
  <c r="Z17" i="16"/>
  <c r="AJ72" i="17"/>
  <c r="AL72" i="17" s="1"/>
  <c r="Z72" i="16"/>
  <c r="X72" i="16"/>
  <c r="AJ47" i="17"/>
  <c r="AL47" i="17" s="1"/>
  <c r="Z47" i="16"/>
  <c r="X47" i="16"/>
  <c r="AJ50" i="17"/>
  <c r="AL50" i="17" s="1"/>
  <c r="Z50" i="16"/>
  <c r="X50" i="16"/>
  <c r="AJ31" i="17"/>
  <c r="AL31" i="17" s="1"/>
  <c r="X31" i="16"/>
  <c r="Z31" i="16"/>
  <c r="AJ40" i="17"/>
  <c r="AL40" i="17" s="1"/>
  <c r="Z40" i="16"/>
  <c r="X40" i="16"/>
  <c r="AJ43" i="17"/>
  <c r="AL43" i="17" s="1"/>
  <c r="X43" i="16"/>
  <c r="Z43" i="16"/>
  <c r="X73" i="16"/>
  <c r="AJ73" i="17"/>
  <c r="AL73" i="17" s="1"/>
  <c r="Z73" i="16"/>
  <c r="AJ55" i="17"/>
  <c r="AL55" i="17" s="1"/>
  <c r="X55" i="16"/>
  <c r="Z55" i="16"/>
  <c r="AJ20" i="17"/>
  <c r="AL20" i="17" s="1"/>
  <c r="Z20" i="16"/>
  <c r="X20" i="16"/>
  <c r="AJ13" i="17"/>
  <c r="AL13" i="17" s="1"/>
  <c r="X13" i="16"/>
  <c r="Z13" i="16"/>
  <c r="AJ69" i="17"/>
  <c r="AL69" i="17" s="1"/>
  <c r="X69" i="16"/>
  <c r="Z69" i="16"/>
  <c r="AJ61" i="17"/>
  <c r="AL61" i="17" s="1"/>
  <c r="X61" i="16"/>
  <c r="Z61" i="16"/>
  <c r="AJ46" i="17"/>
  <c r="AL46" i="17" s="1"/>
  <c r="X46" i="16"/>
  <c r="Z46" i="16"/>
  <c r="AJ56" i="17"/>
  <c r="AL56" i="17" s="1"/>
  <c r="X56" i="16"/>
  <c r="Z56" i="16"/>
  <c r="AJ45" i="17"/>
  <c r="AL45" i="17" s="1"/>
  <c r="X45" i="16"/>
  <c r="Z45" i="16"/>
  <c r="AJ53" i="17"/>
  <c r="AL53" i="17" s="1"/>
  <c r="Z53" i="16"/>
  <c r="X53" i="16"/>
  <c r="AJ67" i="17"/>
  <c r="AL67" i="17" s="1"/>
  <c r="X67" i="16"/>
  <c r="Z67" i="16"/>
  <c r="AJ59" i="17"/>
  <c r="AL59" i="17" s="1"/>
  <c r="X59" i="16"/>
  <c r="Z59" i="16"/>
  <c r="AJ27" i="17"/>
  <c r="AL27" i="17" s="1"/>
  <c r="Z27" i="16"/>
  <c r="X27" i="16"/>
  <c r="AJ16" i="17"/>
  <c r="AL16" i="17" s="1"/>
  <c r="Z16" i="16"/>
  <c r="X16" i="16"/>
  <c r="AJ41" i="17"/>
  <c r="AL41" i="17" s="1"/>
  <c r="X41" i="16"/>
  <c r="Z41" i="16"/>
  <c r="AJ30" i="17"/>
  <c r="AL30" i="17" s="1"/>
  <c r="X30" i="16"/>
  <c r="Z30" i="16"/>
  <c r="AJ19" i="17"/>
  <c r="AL19" i="17" s="1"/>
  <c r="Z19" i="16"/>
  <c r="X19" i="16"/>
  <c r="AJ58" i="17"/>
  <c r="AL58" i="17" s="1"/>
  <c r="X58" i="16"/>
  <c r="Z58" i="16"/>
  <c r="AJ36" i="17"/>
  <c r="AL36" i="17" s="1"/>
  <c r="X36" i="16"/>
  <c r="Z36" i="16"/>
  <c r="AJ48" i="17"/>
  <c r="AL48" i="17" s="1"/>
  <c r="Z48" i="16"/>
  <c r="X48" i="16"/>
  <c r="AJ38" i="17"/>
  <c r="AL38" i="17" s="1"/>
  <c r="X38" i="16"/>
  <c r="Z38" i="16"/>
  <c r="AJ51" i="17"/>
  <c r="AL51" i="17" s="1"/>
  <c r="Z51" i="16"/>
  <c r="X51" i="16"/>
  <c r="AJ66" i="17"/>
  <c r="AL66" i="17" s="1"/>
  <c r="X66" i="16"/>
  <c r="Z66" i="16"/>
  <c r="AJ37" i="17"/>
  <c r="AL37" i="17" s="1"/>
  <c r="Z37" i="16"/>
  <c r="X37" i="16"/>
  <c r="AJ22" i="17"/>
  <c r="AL22" i="17" s="1"/>
  <c r="Z22" i="16"/>
  <c r="X22" i="16"/>
  <c r="AJ60" i="17"/>
  <c r="AL60" i="17" s="1"/>
  <c r="Z60" i="16"/>
  <c r="X60" i="16"/>
  <c r="AJ44" i="17"/>
  <c r="AL44" i="17" s="1"/>
  <c r="X44" i="16"/>
  <c r="Z44" i="16"/>
  <c r="F18" i="15" l="1"/>
  <c r="F22" i="15" l="1"/>
  <c r="J18" i="15"/>
  <c r="J22" i="15" l="1"/>
  <c r="F24" i="15"/>
  <c r="F29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Stevens, Maddie</author>
  </authors>
  <commentList>
    <comment ref="W9" authorId="0" shapeId="0" xr:uid="{A5AB3B24-7760-41BF-B155-D017FA29AE96}">
      <text>
        <r>
          <rPr>
            <b/>
            <sz val="9"/>
            <color indexed="81"/>
            <rFont val="Tahoma"/>
            <family val="2"/>
          </rPr>
          <t>Stevens, Maddie:</t>
        </r>
        <r>
          <rPr>
            <sz val="9"/>
            <color indexed="81"/>
            <rFont val="Tahoma"/>
            <family val="2"/>
          </rPr>
          <t xml:space="preserve">
Does not include Mist in this check as it’s a Perm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McFarlane, Courtney</author>
  </authors>
  <commentList>
    <comment ref="G11" authorId="0" shapeId="0" xr:uid="{C453C0E1-E6AE-4359-B223-53513419D743}">
      <text>
        <r>
          <rPr>
            <b/>
            <sz val="9"/>
            <color indexed="81"/>
            <rFont val="Tahoma"/>
            <family val="2"/>
          </rPr>
          <t>McFarlane, Courtney:</t>
        </r>
        <r>
          <rPr>
            <sz val="9"/>
            <color indexed="81"/>
            <rFont val="Tahoma"/>
            <family val="2"/>
          </rPr>
          <t xml:space="preserve">
Q3 FERC Rate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Walker, Kyle T.</author>
  </authors>
  <commentList>
    <comment ref="D3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Walker, Kyle T.:</t>
        </r>
        <r>
          <rPr>
            <sz val="9"/>
            <color indexed="81"/>
            <rFont val="Tahoma"/>
            <family val="2"/>
          </rPr>
          <t xml:space="preserve">
This factor was set using goal seek by forcing cell "F43" to zero by changing cell "D38".</t>
        </r>
      </text>
    </comment>
  </commentList>
</comments>
</file>

<file path=xl/sharedStrings.xml><?xml version="1.0" encoding="utf-8"?>
<sst xmlns="http://schemas.openxmlformats.org/spreadsheetml/2006/main" count="1255" uniqueCount="502">
  <si>
    <t>Calculation of Increments Allocated on the EQUAL CENT PER THERM BASIS</t>
  </si>
  <si>
    <t>Volumes and Increment are pasted as values from the CCA filing UG 230819</t>
  </si>
  <si>
    <t>Washington</t>
  </si>
  <si>
    <t>Industrial Energy Efficiency Audit</t>
  </si>
  <si>
    <t>CCA Recovery Mechanism</t>
  </si>
  <si>
    <t>Total Equal Cent Per Therm</t>
  </si>
  <si>
    <t>PGA</t>
  </si>
  <si>
    <t>Proposed Amount:</t>
  </si>
  <si>
    <t>Temporary Increment</t>
  </si>
  <si>
    <t>Volumes page,</t>
  </si>
  <si>
    <t>Revenue Sensitive Multiplier:</t>
  </si>
  <si>
    <t>add revenue sensitive factor</t>
  </si>
  <si>
    <t>Column F</t>
  </si>
  <si>
    <t>Amount to Amortize:</t>
  </si>
  <si>
    <t>Firm</t>
  </si>
  <si>
    <t>Interruptible</t>
  </si>
  <si>
    <t xml:space="preserve">Residential </t>
  </si>
  <si>
    <t>Industrial</t>
  </si>
  <si>
    <t>Multiplier</t>
  </si>
  <si>
    <t>Volumes</t>
  </si>
  <si>
    <t>Increment</t>
  </si>
  <si>
    <t>WACOG Def</t>
  </si>
  <si>
    <t>DEMAND Def</t>
  </si>
  <si>
    <t>DEMAND - Def</t>
  </si>
  <si>
    <t>Rate Mitigation</t>
  </si>
  <si>
    <t>EE Audit</t>
  </si>
  <si>
    <t>CCA</t>
  </si>
  <si>
    <t>TOTAL</t>
  </si>
  <si>
    <t>TOTAL Temporary Proof</t>
  </si>
  <si>
    <t>Schedule</t>
  </si>
  <si>
    <t>Block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</si>
  <si>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</si>
  <si>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</si>
  <si>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</si>
  <si>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</si>
  <si>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</si>
  <si>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</si>
  <si>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</si>
  <si>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</si>
  <si>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</si>
  <si>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</si>
  <si>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</si>
  <si>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</si>
  <si>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</si>
  <si>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</si>
  <si>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</si>
  <si>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</si>
  <si>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</si>
  <si>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</si>
  <si>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</si>
  <si>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PROOF</t>
  </si>
  <si>
    <t>Allocation</t>
  </si>
  <si>
    <t>Temps</t>
  </si>
  <si>
    <t>Perm</t>
  </si>
  <si>
    <t>Diff.</t>
  </si>
  <si>
    <t>1R</t>
  </si>
  <si>
    <t>1C</t>
  </si>
  <si>
    <t>2R</t>
  </si>
  <si>
    <t>3 CFS</t>
  </si>
  <si>
    <t>3 IFS</t>
  </si>
  <si>
    <t>41C Firm Sales</t>
  </si>
  <si>
    <t>Block 1</t>
  </si>
  <si>
    <t>Block 2</t>
  </si>
  <si>
    <t>41I Firm Sales</t>
  </si>
  <si>
    <t>41C Interr Sales</t>
  </si>
  <si>
    <t>41I Interr Sales</t>
  </si>
  <si>
    <t>41C Firm Trans</t>
  </si>
  <si>
    <t xml:space="preserve">41I Firm Trans </t>
  </si>
  <si>
    <t>42C Firm Sales</t>
  </si>
  <si>
    <t>Block 3</t>
  </si>
  <si>
    <t>Block 4</t>
  </si>
  <si>
    <t>Block 5</t>
  </si>
  <si>
    <t>Block 6</t>
  </si>
  <si>
    <t>42I Firm Sales</t>
  </si>
  <si>
    <t>42C Firm Trans</t>
  </si>
  <si>
    <t>42I Firm Trans</t>
  </si>
  <si>
    <t>42C Interr Sales</t>
  </si>
  <si>
    <t>42I Interr Sales</t>
  </si>
  <si>
    <t>42C Inter Trans</t>
  </si>
  <si>
    <t>42I Inter Trans</t>
  </si>
  <si>
    <t>43 Firm Trans</t>
  </si>
  <si>
    <t>43 Interr Trans</t>
  </si>
  <si>
    <t>Intentionally blank</t>
  </si>
  <si>
    <t>Totals</t>
  </si>
  <si>
    <t>Diff &gt;</t>
  </si>
  <si>
    <t>Sources for line 2 above:</t>
  </si>
  <si>
    <t>Inputs page</t>
  </si>
  <si>
    <t>Line 31</t>
  </si>
  <si>
    <t>Line 33</t>
  </si>
  <si>
    <t>Line 35</t>
  </si>
  <si>
    <t>Line 34</t>
  </si>
  <si>
    <t>Line 36</t>
  </si>
  <si>
    <t>Tariff Schedules:</t>
  </si>
  <si>
    <t>Schedule #</t>
  </si>
  <si>
    <t>Sched 201</t>
  </si>
  <si>
    <t>Sch 308</t>
  </si>
  <si>
    <t>Summary of TEMPORARY Increments</t>
  </si>
  <si>
    <t xml:space="preserve">Temporary Adj. </t>
  </si>
  <si>
    <t>186 Adjustment</t>
  </si>
  <si>
    <t>Summaries for linking to the tariff sheets:</t>
  </si>
  <si>
    <t>CIS ENTRY Acct 191 Commodity adjustment only</t>
  </si>
  <si>
    <t>This is a perm</t>
  </si>
  <si>
    <t>2024-25 PGA</t>
  </si>
  <si>
    <t>2025 CCA &amp; BDP Filing</t>
  </si>
  <si>
    <t>Residential Check:</t>
  </si>
  <si>
    <t>For CIS Entry</t>
  </si>
  <si>
    <t>for CIS Entry</t>
  </si>
  <si>
    <t>not a temp</t>
  </si>
  <si>
    <t>Schedule 303</t>
  </si>
  <si>
    <t>Schedule 201 &amp; 203</t>
  </si>
  <si>
    <t>REMOVE</t>
  </si>
  <si>
    <t>ADD</t>
  </si>
  <si>
    <t>(w/o Sch. 215)</t>
  </si>
  <si>
    <t>Schedule 201</t>
  </si>
  <si>
    <t>Schedule 212</t>
  </si>
  <si>
    <t>NEW</t>
  </si>
  <si>
    <t>Schedule 215</t>
  </si>
  <si>
    <t>Schedule 230</t>
  </si>
  <si>
    <t>Schedule 201 - No EE</t>
  </si>
  <si>
    <t>Current Temporaries</t>
  </si>
  <si>
    <t>PGA Current Temporaries</t>
  </si>
  <si>
    <t>WACOG Deferral</t>
  </si>
  <si>
    <t>Demand Deferral FIRM</t>
  </si>
  <si>
    <t>Demand Deferral INTERR</t>
  </si>
  <si>
    <t>Total Proposed PGA Temporaries</t>
  </si>
  <si>
    <t>Net Effect of PGA Temps</t>
  </si>
  <si>
    <t>Residential Rate Mitigation</t>
  </si>
  <si>
    <t>Environmental  Cost Recovery Mechanism (ECRM)</t>
  </si>
  <si>
    <t>Industrial EE Audit</t>
  </si>
  <si>
    <t>WA Regulatory Fee</t>
  </si>
  <si>
    <t xml:space="preserve">CCA Recovery </t>
  </si>
  <si>
    <t>Total Proposed Temporaries</t>
  </si>
  <si>
    <t>Net Effect of Temps</t>
  </si>
  <si>
    <t>Total Temps less EE</t>
  </si>
  <si>
    <t>Non-Gas Cost less EE</t>
  </si>
  <si>
    <t>191 Commodity</t>
  </si>
  <si>
    <t>191 Pipeline</t>
  </si>
  <si>
    <t>186 NET - Combined</t>
  </si>
  <si>
    <t>Total Temps - Combined</t>
  </si>
  <si>
    <t>Total Perms</t>
  </si>
  <si>
    <t>Res Rate Mitigation</t>
  </si>
  <si>
    <t>R&amp;C Energy Efficiency</t>
  </si>
  <si>
    <t>Sched G: EE Gen</t>
  </si>
  <si>
    <t>Sched J: GREAT</t>
  </si>
  <si>
    <t>Sched I: WA-LIEE</t>
  </si>
  <si>
    <t>Total</t>
  </si>
  <si>
    <t>186 NET - No EE</t>
  </si>
  <si>
    <t>Total Temps - No EE</t>
  </si>
  <si>
    <t>F = C+D+E</t>
  </si>
  <si>
    <t>G = F-B</t>
  </si>
  <si>
    <t>P=sum C thru O</t>
  </si>
  <si>
    <t xml:space="preserve">Q = P - A </t>
  </si>
  <si>
    <t>check</t>
  </si>
  <si>
    <t>this is RS 215</t>
  </si>
  <si>
    <t>R&amp;C PGA</t>
  </si>
  <si>
    <t>WA-LIEE and GREAT</t>
  </si>
  <si>
    <t>ECRM</t>
  </si>
  <si>
    <t>Amortization of PGA and Deferred Gas Costs</t>
  </si>
  <si>
    <t>Residual - Astoria and Truck Lot Sale</t>
  </si>
  <si>
    <t>column</t>
  </si>
  <si>
    <t>R&amp;C EE</t>
  </si>
  <si>
    <t xml:space="preserve">Residental Bill Discount Program </t>
  </si>
  <si>
    <t>Check:</t>
  </si>
  <si>
    <t>41I Firm Trans</t>
  </si>
  <si>
    <t>Sources:</t>
  </si>
  <si>
    <t>Direct Inputs</t>
  </si>
  <si>
    <t>23-24 PGA</t>
  </si>
  <si>
    <t>Equal ¢ per therm</t>
  </si>
  <si>
    <t>Column H</t>
  </si>
  <si>
    <t>Column K</t>
  </si>
  <si>
    <t>Column N</t>
  </si>
  <si>
    <t>Equal % of margin</t>
  </si>
  <si>
    <t>Column P</t>
  </si>
  <si>
    <t>Column S</t>
  </si>
  <si>
    <t>Column V</t>
  </si>
  <si>
    <t>Column Y</t>
  </si>
  <si>
    <t>Column AB</t>
  </si>
  <si>
    <t>Column AE</t>
  </si>
  <si>
    <t>Equal % of Revenue</t>
  </si>
  <si>
    <t>N/A</t>
  </si>
  <si>
    <t>Sched 303</t>
  </si>
  <si>
    <t>Dollars</t>
  </si>
  <si>
    <t>CCA per therm</t>
  </si>
  <si>
    <t>Current</t>
  </si>
  <si>
    <t>Effects on Average Bill by Rate Schedule</t>
  </si>
  <si>
    <t>Proposed</t>
  </si>
  <si>
    <t>Calculation of Effect on Customer Average Bill by Rate Schedule [1] [3]</t>
  </si>
  <si>
    <t>For Tariff Advice 1X-X only</t>
  </si>
  <si>
    <t>Normal</t>
  </si>
  <si>
    <t>Net</t>
  </si>
  <si>
    <t>PGA Normalized</t>
  </si>
  <si>
    <t>Therms</t>
  </si>
  <si>
    <t>Minimum</t>
  </si>
  <si>
    <t>Therms in</t>
  </si>
  <si>
    <t>Monthly</t>
  </si>
  <si>
    <t xml:space="preserve">Monthly </t>
  </si>
  <si>
    <t>Billing</t>
  </si>
  <si>
    <t>R&amp;C Energy Eff.</t>
  </si>
  <si>
    <t>GREAT &amp; LIEE</t>
  </si>
  <si>
    <r>
      <rPr>
        <b/>
        <sz val="10.9"/>
        <rFont val="Calibri"/>
        <family val="2"/>
      </rPr>
      <t>Residual</t>
    </r>
    <r>
      <rPr>
        <sz val="11"/>
        <rFont val="Calibri"/>
        <family val="2"/>
        <scheme val="minor"/>
      </rPr>
      <t xml:space="preserve">
( Regulatory Fee, Rate Mitigation,  Industrial EE &amp; Property Sale )</t>
    </r>
  </si>
  <si>
    <t>Mist Recall</t>
  </si>
  <si>
    <t xml:space="preserve">CCA </t>
  </si>
  <si>
    <t>PGA Effects</t>
  </si>
  <si>
    <t>R&amp;C EE Total</t>
  </si>
  <si>
    <t>Column D</t>
  </si>
  <si>
    <t>Average use</t>
  </si>
  <si>
    <t>Charge</t>
  </si>
  <si>
    <t xml:space="preserve">Avg. Credit </t>
  </si>
  <si>
    <t>Rates</t>
  </si>
  <si>
    <t>Average Bill[2]</t>
  </si>
  <si>
    <t>Rates [3]</t>
  </si>
  <si>
    <t>Average Bill</t>
  </si>
  <si>
    <t>% Bill Change</t>
  </si>
  <si>
    <t>Rates [2]</t>
  </si>
  <si>
    <t xml:space="preserve">Average Bill </t>
  </si>
  <si>
    <t>F=D+(C * E)</t>
  </si>
  <si>
    <t>H=D+(C * G)</t>
  </si>
  <si>
    <t>K= D+(C*J)</t>
  </si>
  <si>
    <t>Q = D+(C*P)</t>
  </si>
  <si>
    <t>T = D+(C*S)</t>
  </si>
  <si>
    <t>Z=D+(C*Y)</t>
  </si>
  <si>
    <t>AA=D+(C * Z)</t>
  </si>
  <si>
    <t>AB=(AA - F)/F</t>
  </si>
  <si>
    <t>BDP</t>
  </si>
  <si>
    <t>Combined</t>
  </si>
  <si>
    <t>K=D+(C * J)</t>
  </si>
  <si>
    <t>L=(K - F)/F</t>
  </si>
  <si>
    <t xml:space="preserve">Avg </t>
  </si>
  <si>
    <t>Avg</t>
  </si>
  <si>
    <t>T</t>
  </si>
  <si>
    <t>U</t>
  </si>
  <si>
    <t>Y</t>
  </si>
  <si>
    <t>Z</t>
  </si>
  <si>
    <t>AA</t>
  </si>
  <si>
    <t>AB</t>
  </si>
  <si>
    <t>AC</t>
  </si>
  <si>
    <t>AD</t>
  </si>
  <si>
    <t>Rate Schedule</t>
  </si>
  <si>
    <t>PGA  Bill</t>
  </si>
  <si>
    <t>PGA Bill</t>
  </si>
  <si>
    <t>Bill Change</t>
  </si>
  <si>
    <t>% of Bill</t>
  </si>
  <si>
    <t>27 Dry Out</t>
  </si>
  <si>
    <t>all additional</t>
  </si>
  <si>
    <t>42C Interr Trans</t>
  </si>
  <si>
    <t>42I Interr Trans</t>
  </si>
  <si>
    <t>[1] Rate Schedule 41 and 42 customers may choose demand charges at a volumetric rate or based on MDDV.  For convenience of presentation, demand charges are not included in the calculations for those schedules.</t>
  </si>
  <si>
    <t>[2] Proposed new CCA rates is equal to Current Billing Rate plus New CCA rates less current CCA rates. Assumes customer receives CCA credit.</t>
  </si>
  <si>
    <t xml:space="preserve">[3] For Schedules where the average usage would generate a new credit, the non-volumetric credits have been capped at the CCA cost. </t>
  </si>
  <si>
    <t>Col A</t>
  </si>
  <si>
    <t>Add: Col E</t>
  </si>
  <si>
    <t>per Tariff</t>
  </si>
  <si>
    <t>Less: Col E</t>
  </si>
  <si>
    <t>Rates in summary</t>
  </si>
  <si>
    <t>Column A</t>
  </si>
  <si>
    <t>NW Natural</t>
  </si>
  <si>
    <t>Rates &amp; Regulatory Affairs</t>
  </si>
  <si>
    <t>2025-2026 PGA Filing - Washington: September Filing</t>
  </si>
  <si>
    <t>Summary of Deferred Accounts</t>
  </si>
  <si>
    <t>Refer to</t>
  </si>
  <si>
    <t>Estimated</t>
  </si>
  <si>
    <t>Rate Dev File</t>
  </si>
  <si>
    <t>Sep-Oct</t>
  </si>
  <si>
    <t>Interest</t>
  </si>
  <si>
    <t>Amount for</t>
  </si>
  <si>
    <t>Amounts</t>
  </si>
  <si>
    <t>"Allocation</t>
  </si>
  <si>
    <t>Balance</t>
  </si>
  <si>
    <t>During</t>
  </si>
  <si>
    <t>(Refund) or</t>
  </si>
  <si>
    <t>Excluded from</t>
  </si>
  <si>
    <t>Included in</t>
  </si>
  <si>
    <t>= % of</t>
  </si>
  <si>
    <t>Equal ¢ per</t>
  </si>
  <si>
    <t>Account</t>
  </si>
  <si>
    <t>Activity</t>
  </si>
  <si>
    <t>Amortization</t>
  </si>
  <si>
    <t>Collection</t>
  </si>
  <si>
    <t>PGA Filing</t>
  </si>
  <si>
    <t>margin" tab</t>
  </si>
  <si>
    <t>therm" tab</t>
  </si>
  <si>
    <t>E = sum B thru D</t>
  </si>
  <si>
    <t>G = E + F</t>
  </si>
  <si>
    <t>see note</t>
  </si>
  <si>
    <t>Excl. Rev Sens</t>
  </si>
  <si>
    <t>DSM &amp; LOW INCOME PROGRAMS</t>
  </si>
  <si>
    <t>151822  WA LOW INCOME BILL PAY ASSIST (GREAT)</t>
  </si>
  <si>
    <t>151824 WA GREAT AMORTIZATION</t>
  </si>
  <si>
    <t>Column P-R</t>
  </si>
  <si>
    <t>151890 WA WA-LIEE PROGRAM</t>
  </si>
  <si>
    <t>151892 AMORT WA-LIEE PROGRAM</t>
  </si>
  <si>
    <t>Column S-U</t>
  </si>
  <si>
    <t>151894  WA DSM AMORTIZATION</t>
  </si>
  <si>
    <t>151898  WA ENERGY EFFICIENCY</t>
  </si>
  <si>
    <t>Column M-O</t>
  </si>
  <si>
    <t>Gas Cost Deferrals and Amortizations</t>
  </si>
  <si>
    <t>151540 WACOG - ACCRUAL WA</t>
  </si>
  <si>
    <t>Includes tariffs paid to Tenaska in GL 151941</t>
  </si>
  <si>
    <t>151545 AMORT OF WACOG - WA</t>
  </si>
  <si>
    <t>FC Normal Therms</t>
  </si>
  <si>
    <t>Current Demand</t>
  </si>
  <si>
    <t>151550 DEMAND ACCRUAL -  WA</t>
  </si>
  <si>
    <t>FIRM</t>
  </si>
  <si>
    <t>151555 AMORT OF DEMAND WA</t>
  </si>
  <si>
    <t>INTERRUPTIBLE</t>
  </si>
  <si>
    <t>232035 MARGIN SHARING - WA</t>
  </si>
  <si>
    <t>Column G &amp; J</t>
  </si>
  <si>
    <t>MISC Deferrals and Amortizations</t>
  </si>
  <si>
    <t>232075 WA PROPERTY SALE DEFER</t>
  </si>
  <si>
    <t>232050 AMORT WA GAIN ON PROP SALES</t>
  </si>
  <si>
    <t>151827 DEFER WUTC FEE</t>
  </si>
  <si>
    <t>151829 AMORT WUTC FEE</t>
  </si>
  <si>
    <t>151887 DEFER WA EE AUDIT</t>
  </si>
  <si>
    <t>151889 AMORT WA EE AUDIT</t>
  </si>
  <si>
    <t>151914 AMORT WA RATE MITIGATION</t>
  </si>
  <si>
    <t>151884 DEFER PARTICIPATORY FUND</t>
  </si>
  <si>
    <t>151823 DEFER DEMAND RESPONSE</t>
  </si>
  <si>
    <t>GRAND TOTAL</t>
  </si>
  <si>
    <t>Notes</t>
  </si>
  <si>
    <r>
      <rPr>
        <b/>
        <sz val="10"/>
        <rFont val="Tahoma"/>
        <family val="2"/>
      </rPr>
      <t>1</t>
    </r>
    <r>
      <rPr>
        <sz val="10"/>
        <rFont val="Tahoma"/>
        <family val="2"/>
      </rPr>
      <t xml:space="preserve"> - Transferred authorized balance to account 191421 for amortization.</t>
    </r>
  </si>
  <si>
    <t>History truncated for ease of viewing</t>
  </si>
  <si>
    <t>1</t>
  </si>
  <si>
    <t>a</t>
  </si>
  <si>
    <t>Beginning Balance</t>
  </si>
  <si>
    <t>(g)</t>
  </si>
  <si>
    <t>(f)</t>
  </si>
  <si>
    <t>(e2)</t>
  </si>
  <si>
    <t>(e1)</t>
  </si>
  <si>
    <t>(d)</t>
  </si>
  <si>
    <t>(c)</t>
  </si>
  <si>
    <t>(b)</t>
  </si>
  <si>
    <t>(a)</t>
  </si>
  <si>
    <t>Interest Rate</t>
  </si>
  <si>
    <t>Transfers</t>
  </si>
  <si>
    <t>Accumulation</t>
  </si>
  <si>
    <t>Note</t>
  </si>
  <si>
    <t xml:space="preserve">Month/Year </t>
  </si>
  <si>
    <t>Debit    (Credit)</t>
  </si>
  <si>
    <t>Temp Increment under Schedule 203</t>
  </si>
  <si>
    <t>Program under Schedule P</t>
  </si>
  <si>
    <t>Account Number:</t>
  </si>
  <si>
    <t>Washington WACOG Deferral</t>
  </si>
  <si>
    <t>Description:</t>
  </si>
  <si>
    <t>State:</t>
  </si>
  <si>
    <t>Northwest Natural Gas Company</t>
  </si>
  <si>
    <t>Company:</t>
  </si>
  <si>
    <r>
      <rPr>
        <b/>
        <sz val="10"/>
        <rFont val="Tahoma"/>
        <family val="2"/>
      </rPr>
      <t>1</t>
    </r>
    <r>
      <rPr>
        <sz val="10"/>
        <rFont val="Tahoma"/>
        <family val="2"/>
      </rPr>
      <t xml:space="preserve"> - Transfer in amounts from account 191420 approved for amortization.</t>
    </r>
  </si>
  <si>
    <t>Forecasted</t>
  </si>
  <si>
    <t>OLD</t>
  </si>
  <si>
    <r>
      <t xml:space="preserve">NEW </t>
    </r>
    <r>
      <rPr>
        <b/>
        <sz val="10"/>
        <rFont val="Tahoma"/>
        <family val="2"/>
      </rPr>
      <t>(1)</t>
    </r>
  </si>
  <si>
    <r>
      <t xml:space="preserve">new </t>
    </r>
    <r>
      <rPr>
        <b/>
        <sz val="10"/>
        <rFont val="Tahoma"/>
        <family val="2"/>
      </rPr>
      <t>(1)</t>
    </r>
  </si>
  <si>
    <t>old</t>
  </si>
  <si>
    <t>old rate</t>
  </si>
  <si>
    <r>
      <t xml:space="preserve">new rate </t>
    </r>
    <r>
      <rPr>
        <b/>
        <sz val="10"/>
        <rFont val="Tahoma"/>
        <family val="2"/>
      </rPr>
      <t>(1)</t>
    </r>
  </si>
  <si>
    <t>new rates</t>
  </si>
  <si>
    <t>old rates \a</t>
  </si>
  <si>
    <t>Washington Amortization of WACOG</t>
  </si>
  <si>
    <r>
      <rPr>
        <b/>
        <sz val="10"/>
        <rFont val="Tahoma"/>
        <family val="2"/>
      </rPr>
      <t>1</t>
    </r>
    <r>
      <rPr>
        <sz val="10"/>
        <rFont val="Tahoma"/>
        <family val="2"/>
      </rPr>
      <t xml:space="preserve"> - Transferred authorized balance to account 191431 for amortization.</t>
    </r>
  </si>
  <si>
    <t>\b</t>
  </si>
  <si>
    <t>\a</t>
  </si>
  <si>
    <t>Washington Demand Accrual</t>
  </si>
  <si>
    <r>
      <rPr>
        <b/>
        <sz val="10"/>
        <rFont val="Tahoma"/>
        <family val="2"/>
      </rPr>
      <t>2</t>
    </r>
    <r>
      <rPr>
        <sz val="10"/>
        <rFont val="Tahoma"/>
        <family val="2"/>
      </rPr>
      <t xml:space="preserve"> - Transfer in from account 254302 (storage and optimization revenue sharing).</t>
    </r>
  </si>
  <si>
    <r>
      <rPr>
        <b/>
        <sz val="10"/>
        <rFont val="Tahoma"/>
        <family val="2"/>
      </rPr>
      <t>1</t>
    </r>
    <r>
      <rPr>
        <sz val="10"/>
        <rFont val="Tahoma"/>
        <family val="2"/>
      </rPr>
      <t xml:space="preserve"> - Transfer in amounts from account 191430 approved for amortization.</t>
    </r>
  </si>
  <si>
    <t>2</t>
  </si>
  <si>
    <t>(2)</t>
  </si>
  <si>
    <t>(h)</t>
  </si>
  <si>
    <t>(e)</t>
  </si>
  <si>
    <t>s</t>
  </si>
  <si>
    <t>Washington Amortization of Demand</t>
  </si>
  <si>
    <r>
      <rPr>
        <b/>
        <sz val="10"/>
        <rFont val="Tahoma"/>
        <family val="2"/>
      </rPr>
      <t>1</t>
    </r>
    <r>
      <rPr>
        <sz val="10"/>
        <rFont val="Tahoma"/>
        <family val="2"/>
      </rPr>
      <t xml:space="preserve"> - Transfer December balance for amortization.</t>
    </r>
  </si>
  <si>
    <t>Temp Increment under Schedule 220</t>
  </si>
  <si>
    <t>232035</t>
  </si>
  <si>
    <t>Washington Storage Sharing</t>
  </si>
  <si>
    <t>Summary of Total Commodity Cost</t>
  </si>
  <si>
    <t>ALL VOLUMES IN THERMS</t>
  </si>
  <si>
    <t>WASHINGTON COSTS</t>
  </si>
  <si>
    <t>(i)</t>
  </si>
  <si>
    <t>(j)</t>
  </si>
  <si>
    <t>(k)</t>
  </si>
  <si>
    <t>(l)</t>
  </si>
  <si>
    <t>(m)</t>
  </si>
  <si>
    <t>(n)</t>
  </si>
  <si>
    <t>(o)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</si>
  <si>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</si>
  <si>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</si>
  <si>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</si>
  <si>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</si>
  <si>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</si>
  <si>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</si>
  <si>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</si>
  <si>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</si>
  <si>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</si>
  <si>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</si>
  <si>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</si>
  <si>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</si>
  <si>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COSTS</t>
  </si>
  <si>
    <t>CHECK:</t>
  </si>
  <si>
    <t>Commodity Cost from Supply</t>
  </si>
  <si>
    <t>tab commodity cost from supply, column cd, lines 93-104 plus gen input line 80; and</t>
  </si>
  <si>
    <t>tab commodity cost from gas reserve, column q, lines 59-70</t>
  </si>
  <si>
    <t>Volumetric Pipeline Chgs</t>
  </si>
  <si>
    <t>tab commodity cost from vol pipe, column e, line 78-89</t>
  </si>
  <si>
    <t>Commodity Cost from Storage</t>
  </si>
  <si>
    <t>tab Commodity Cost from Storage, column k, line 61-72</t>
  </si>
  <si>
    <t>Commodity Cost from RNG RTCs</t>
  </si>
  <si>
    <t>tab RNG RTC Costs, column AE, line 1-12</t>
  </si>
  <si>
    <t>Commodity Cost from RNG</t>
  </si>
  <si>
    <t>tab Commodity Cost from RNG, column i, line 61-72</t>
  </si>
  <si>
    <t>Total Commodity Cost</t>
  </si>
  <si>
    <t>VOLUMES</t>
  </si>
  <si>
    <t>Commodity Volumes at Receipt Points</t>
  </si>
  <si>
    <t>Pipeline Fuel Use</t>
  </si>
  <si>
    <t>Gas Arriving at City Gate</t>
  </si>
  <si>
    <t>RNG and Storage Gas Withdrawals</t>
  </si>
  <si>
    <t>Pipeline Fuel Use for Off-site Storage</t>
  </si>
  <si>
    <t>Storage Gas Deliveries at City Gate</t>
  </si>
  <si>
    <t>Total Gas At City Gate (Storage and Commodity)</t>
  </si>
  <si>
    <t>Unaccounted for Gas</t>
  </si>
  <si>
    <t>Load Served</t>
  </si>
  <si>
    <t>WACOG Calculations</t>
  </si>
  <si>
    <t>Total Load Served</t>
  </si>
  <si>
    <t>Total (same as line 25 +/- rounding)</t>
  </si>
  <si>
    <t>Washington WACOG Calculation</t>
  </si>
  <si>
    <t>Total Washington commodity cost</t>
  </si>
  <si>
    <t>Total commodity cost for Washington</t>
  </si>
  <si>
    <t>WASHINGTON BILLING WACOG</t>
  </si>
  <si>
    <t>Current WACOG</t>
  </si>
  <si>
    <t>Change</t>
  </si>
  <si>
    <t>% Change</t>
  </si>
  <si>
    <t>WACOG Calcuation Proof (no need to print)</t>
  </si>
  <si>
    <t>Washington Load</t>
  </si>
  <si>
    <t>Washington Sales WACOG</t>
  </si>
  <si>
    <t>Total Gas Cost embedded for Washington</t>
  </si>
  <si>
    <t>Summary of Total Demand Charges</t>
  </si>
  <si>
    <t>Source:  Detail in file "Capacity Contract Monthly Summary for 2024-2025 PGA.xls"</t>
  </si>
  <si>
    <t>SYSTEM COSTS</t>
  </si>
  <si>
    <t>Transport charges by transporter (Washington):</t>
  </si>
  <si>
    <t>Northwest Pipeline</t>
  </si>
  <si>
    <t>Alberta: NOVA</t>
  </si>
  <si>
    <t>Alberta: Foothills</t>
  </si>
  <si>
    <t>Alberta: GTN</t>
  </si>
  <si>
    <t>BC: Southern Crossing</t>
  </si>
  <si>
    <t>BC: Spectra (Westcoast)</t>
  </si>
  <si>
    <t>KB Pipeline</t>
  </si>
  <si>
    <t>Shell Capacity Release Premium</t>
  </si>
  <si>
    <t>Total System Demand</t>
  </si>
  <si>
    <t>Derivation of Washington per therm Non-Commodity Charges</t>
  </si>
  <si>
    <t>Washington Derivation of Demand Increments</t>
  </si>
  <si>
    <t>Without</t>
  </si>
  <si>
    <t>WITH</t>
  </si>
  <si>
    <t>Revenue Sensitive</t>
  </si>
  <si>
    <t xml:space="preserve">System Demand  </t>
  </si>
  <si>
    <t>Washington Allocation Factor 1/</t>
  </si>
  <si>
    <t>Washington Demand</t>
  </si>
  <si>
    <t>Washington Firm Sales Forecasted Normal Volumes</t>
  </si>
  <si>
    <t>Washington Interruptible Sales Forecasted Normal Volumes</t>
  </si>
  <si>
    <t>Proposed Firm Demand Per Therm 2/</t>
  </si>
  <si>
    <t>Proposed Interruptible Demand 2/</t>
  </si>
  <si>
    <t>Proposed MDDV Demand Charge</t>
  </si>
  <si>
    <t>Current Firm Demand Per Therm</t>
  </si>
  <si>
    <t>Current Interruptible Demand</t>
  </si>
  <si>
    <t>Current MDDV Demand Charge</t>
  </si>
  <si>
    <t>Percent Change in Firm Demand</t>
  </si>
  <si>
    <t>1/Allocation Factor: 2024-25 PGA forecast firm sales volumes:</t>
  </si>
  <si>
    <t>Oregon</t>
  </si>
  <si>
    <t>System</t>
  </si>
  <si>
    <t>Firm Sales</t>
  </si>
  <si>
    <t>2/Calculation of Proposed Demand Rates:</t>
  </si>
  <si>
    <t>Demand change factor</t>
  </si>
  <si>
    <t>Firm Demand (line 16 * line 30)</t>
  </si>
  <si>
    <t>Interruptible Demand (line 17 * line 30)</t>
  </si>
  <si>
    <t>Calculation of Winter WACOG</t>
  </si>
  <si>
    <t>Prices are per therm</t>
  </si>
  <si>
    <t>Forecast price for AECO gas:</t>
  </si>
  <si>
    <t>AECO/NIT</t>
  </si>
  <si>
    <t>Average price, November-March</t>
  </si>
  <si>
    <t>average lines 5-9</t>
  </si>
  <si>
    <t>Annual average price, November-October</t>
  </si>
  <si>
    <t>average lines 5-16</t>
  </si>
  <si>
    <t>Ratio of winter to annual</t>
  </si>
  <si>
    <t>line 19 ÷ line 21</t>
  </si>
  <si>
    <t>Without Rev</t>
  </si>
  <si>
    <t>WITH Rev</t>
  </si>
  <si>
    <t>Sensitive</t>
  </si>
  <si>
    <t>WA</t>
  </si>
  <si>
    <t>Washington Annual WACOG</t>
  </si>
  <si>
    <t>Washington Winter WACOG</t>
  </si>
  <si>
    <t>Tariff Advice 25-08: PGA Effects on Revenue</t>
  </si>
  <si>
    <t>Amount</t>
  </si>
  <si>
    <t>Reference</t>
  </si>
  <si>
    <t>Original Filing</t>
  </si>
  <si>
    <t>Purchased Gas Cost Adjustment (PGA)</t>
  </si>
  <si>
    <t>Gas Cost Change</t>
  </si>
  <si>
    <t>Capacity Cost Change</t>
  </si>
  <si>
    <t>Total PGA Change</t>
  </si>
  <si>
    <t>Temporary Rate Adjustments</t>
  </si>
  <si>
    <t>Proposed PGA Temporary Increments</t>
  </si>
  <si>
    <t>Removal of PGA Current Temporary Increments</t>
  </si>
  <si>
    <t>Total Net Temporary Rate Adjustment</t>
  </si>
  <si>
    <t>TOTAL OF ALL COMPONENTS OF ALL RATE CHANGES</t>
  </si>
  <si>
    <t xml:space="preserve">Effect of this filing, as a percentage change </t>
  </si>
  <si>
    <t>2025 CCA Recovery Mechanism Filing - Washington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</si>
</sst>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%"/>
    <numFmt numFmtId="166" formatCode="_(* #,##0.000000_);_(* \(#,##0.000000\);_(* &quot;-&quot;??_);_(@_)"/>
    <numFmt numFmtId="167" formatCode="#,##0.0_);\(#,##0.0\)"/>
    <numFmt numFmtId="168" formatCode="&quot;$&quot;#,##0.00000_);\(&quot;$&quot;#,##0.00000\)"/>
    <numFmt numFmtId="169" formatCode="#,##0.00000_);\(#,##0.00000\)"/>
    <numFmt numFmtId="170" formatCode="0.00000"/>
    <numFmt numFmtId="171" formatCode="0.00_);\(0.00\)"/>
    <numFmt numFmtId="172" formatCode="_(* #,##0_);_(* \(#,##0\);_(* &quot;-&quot;??_);_(@_)"/>
    <numFmt numFmtId="173" formatCode="_(* #,##0.00000_);_(* \(#,##0.00000\);_(* &quot;-&quot;??_);_(@_)"/>
    <numFmt numFmtId="174" formatCode="_(* #,##0.0000_);_(* \(#,##0.0000\);_(* &quot;-&quot;??_);_(@_)"/>
    <numFmt numFmtId="175" formatCode="0.0%"/>
    <numFmt numFmtId="176" formatCode="0.000000"/>
    <numFmt numFmtId="177" formatCode="[$-409]mmm\-yy;@"/>
    <numFmt numFmtId="178" formatCode="0_);\(0\)"/>
    <numFmt numFmtId="179" formatCode="General_)"/>
    <numFmt numFmtId="180" formatCode="0.0"/>
    <numFmt numFmtId="181" formatCode="0_)"/>
    <numFmt numFmtId="182" formatCode="&quot;$&quot;#,##0.000_);\(&quot;$&quot;#,##0.000\)"/>
    <numFmt numFmtId="183" formatCode="mm/dd/yy"/>
    <numFmt numFmtId="184" formatCode="&quot;$&quot;#,##0.00000"/>
    <numFmt numFmtId="185" formatCode="_(&quot;$&quot;* #,##0.00000_);_(&quot;$&quot;* \(#,##0.00000\);_(&quot;$&quot;* &quot;-&quot;??_);_(@_)"/>
    <numFmt numFmtId="186" formatCode="&quot;$&quot;#,##0.00"/>
    <numFmt numFmtId="187" formatCode="0.00000_)"/>
    <numFmt numFmtId="188" formatCode="0.000"/>
    <numFmt numFmtId="189" formatCode="0.000000000"/>
    <numFmt numFmtId="190" formatCode="&quot;$&quot;#,##0.00000;[Red]&quot;$&quot;#,##0.00000"/>
    <numFmt numFmtId="191" formatCode="&quot;$&quot;#,##0.00000_);[Red]\(&quot;$&quot;#,##0.00000\)"/>
    <numFmt numFmtId="192" formatCode="&quot;$&quot;#,##0.00;[Red]&quot;$&quot;#,##0.00"/>
  </numFmts>
  <fonts count="38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b/>
      <i/>
      <sz val="11"/>
      <name val="Calibri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.9"/>
      <name val="Calibri"/>
      <family val="2"/>
    </font>
    <font>
      <sz val="11"/>
      <color indexed="12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u/>
      <sz val="10"/>
      <name val="Tahoma"/>
      <family val="2"/>
    </font>
    <font>
      <sz val="10"/>
      <name val="MS Sans Serif"/>
      <family val="2"/>
    </font>
    <font>
      <b/>
      <u/>
      <sz val="10"/>
      <name val="Tahoma"/>
      <family val="2"/>
    </font>
    <font>
      <i/>
      <sz val="10"/>
      <name val="Tahoma"/>
      <family val="2"/>
    </font>
    <font>
      <sz val="10"/>
      <name val="Tahoma"/>
      <family val="2"/>
    </font>
    <font>
      <sz val="10"/>
      <name val="Helv"/>
    </font>
    <font>
      <sz val="11"/>
      <color rgb="FF0000FF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EDEE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D2D"/>
        <bgColor indexed="64"/>
      </patternFill>
    </fill>
    <fill>
      <patternFill patternType="solid">
        <fgColor rgb="FFFF2F2F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1" fillId="0" borderId="0"/>
    <xf numFmtId="177" fontId="11" fillId="0" borderId="0"/>
    <xf numFmtId="177" fontId="11" fillId="0" borderId="0">
      <alignment vertical="top"/>
    </xf>
    <xf numFmtId="177" fontId="5" fillId="0" borderId="0"/>
    <xf numFmtId="177" fontId="11" fillId="0" borderId="0">
      <alignment vertical="top"/>
    </xf>
    <xf numFmtId="177" fontId="25" fillId="0" borderId="0"/>
    <xf numFmtId="177" fontId="25" fillId="0" borderId="0"/>
    <xf numFmtId="0" fontId="25" fillId="0" borderId="0"/>
    <xf numFmtId="43" fontId="1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8" fillId="0" borderId="0" applyFont="0" applyFill="0" applyBorder="0" applyAlignment="0" applyProtection="0"/>
    <xf numFmtId="177" fontId="25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5" fillId="0" borderId="0"/>
    <xf numFmtId="177" fontId="11" fillId="0" borderId="0"/>
    <xf numFmtId="0" fontId="28" fillId="0" borderId="0"/>
    <xf numFmtId="9" fontId="19" fillId="0" borderId="0" applyFont="0" applyFill="0" applyBorder="0" applyAlignment="0" applyProtection="0"/>
    <xf numFmtId="179" fontId="29" fillId="0" borderId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</cellStyleXfs>
  <cellXfs count="651">
    <xf numFmtId="0" fontId="0" fillId="0" borderId="0" xfId="0"/>
    <xf numFmtId="0" fontId="7" fillId="0" borderId="4" xfId="4" applyFont="1" applyBorder="1"/>
    <xf numFmtId="177" fontId="17" fillId="4" borderId="0" xfId="5" applyFont="1" applyFill="1"/>
    <xf numFmtId="177" fontId="18" fillId="4" borderId="0" xfId="5" applyFont="1" applyFill="1"/>
    <xf numFmtId="177" fontId="19" fillId="4" borderId="0" xfId="5" applyFont="1" applyFill="1"/>
    <xf numFmtId="15" fontId="18" fillId="4" borderId="0" xfId="5" applyNumberFormat="1" applyFont="1" applyFill="1"/>
    <xf numFmtId="10" fontId="19" fillId="4" borderId="0" xfId="5" applyNumberFormat="1" applyFont="1" applyFill="1" applyAlignment="1">
      <alignment horizontal="center"/>
    </xf>
    <xf numFmtId="177" fontId="18" fillId="4" borderId="0" xfId="5" applyFont="1" applyFill="1" applyAlignment="1">
      <alignment horizontal="center"/>
    </xf>
    <xf numFmtId="15" fontId="18" fillId="4" borderId="0" xfId="5" quotePrefix="1" applyNumberFormat="1" applyFont="1" applyFill="1"/>
    <xf numFmtId="177" fontId="18" fillId="4" borderId="0" xfId="5" quotePrefix="1" applyFont="1" applyFill="1" applyAlignment="1">
      <alignment horizontal="center"/>
    </xf>
    <xf numFmtId="177" fontId="18" fillId="4" borderId="18" xfId="5" applyFont="1" applyFill="1" applyBorder="1" applyAlignment="1">
      <alignment horizontal="center"/>
    </xf>
    <xf numFmtId="14" fontId="18" fillId="4" borderId="18" xfId="5" quotePrefix="1" applyNumberFormat="1" applyFont="1" applyFill="1" applyBorder="1" applyAlignment="1">
      <alignment horizontal="center"/>
    </xf>
    <xf numFmtId="14" fontId="18" fillId="4" borderId="18" xfId="5" applyNumberFormat="1" applyFont="1" applyFill="1" applyBorder="1" applyAlignment="1">
      <alignment horizontal="center"/>
    </xf>
    <xf numFmtId="177" fontId="18" fillId="4" borderId="0" xfId="5" applyFont="1" applyFill="1" applyAlignment="1">
      <alignment horizontal="centerContinuous"/>
    </xf>
    <xf numFmtId="37" fontId="19" fillId="4" borderId="0" xfId="5" applyNumberFormat="1" applyFont="1" applyFill="1"/>
    <xf numFmtId="14" fontId="18" fillId="4" borderId="0" xfId="5" applyNumberFormat="1" applyFont="1" applyFill="1" applyAlignment="1">
      <alignment horizontal="center"/>
    </xf>
    <xf numFmtId="177" fontId="20" fillId="4" borderId="0" xfId="5" applyFont="1" applyFill="1" applyAlignment="1">
      <alignment horizontal="center"/>
    </xf>
    <xf numFmtId="10" fontId="21" fillId="4" borderId="36" xfId="3" applyNumberFormat="1" applyFont="1" applyFill="1" applyBorder="1" applyAlignment="1">
      <alignment horizontal="center"/>
    </xf>
    <xf numFmtId="37" fontId="20" fillId="4" borderId="0" xfId="5" applyNumberFormat="1" applyFont="1" applyFill="1" applyAlignment="1">
      <alignment horizontal="center"/>
    </xf>
    <xf numFmtId="178" fontId="19" fillId="4" borderId="0" xfId="5" applyNumberFormat="1" applyFont="1" applyFill="1"/>
    <xf numFmtId="39" fontId="19" fillId="4" borderId="0" xfId="5" applyNumberFormat="1" applyFont="1" applyFill="1"/>
    <xf numFmtId="177" fontId="18" fillId="4" borderId="23" xfId="5" applyFont="1" applyFill="1" applyBorder="1" applyAlignment="1">
      <alignment horizontal="left" indent="1"/>
    </xf>
    <xf numFmtId="43" fontId="19" fillId="4" borderId="0" xfId="1" quotePrefix="1" applyFont="1" applyFill="1"/>
    <xf numFmtId="37" fontId="19" fillId="4" borderId="0" xfId="6" applyNumberFormat="1" applyFont="1" applyFill="1">
      <alignment vertical="top"/>
    </xf>
    <xf numFmtId="37" fontId="19" fillId="4" borderId="0" xfId="5" applyNumberFormat="1" applyFont="1" applyFill="1" applyAlignment="1">
      <alignment horizontal="center"/>
    </xf>
    <xf numFmtId="37" fontId="19" fillId="4" borderId="18" xfId="5" applyNumberFormat="1" applyFont="1" applyFill="1" applyBorder="1"/>
    <xf numFmtId="37" fontId="19" fillId="4" borderId="0" xfId="5" quotePrefix="1" applyNumberFormat="1" applyFont="1" applyFill="1"/>
    <xf numFmtId="37" fontId="19" fillId="4" borderId="18" xfId="6" applyNumberFormat="1" applyFont="1" applyFill="1" applyBorder="1">
      <alignment vertical="top"/>
    </xf>
    <xf numFmtId="37" fontId="22" fillId="4" borderId="0" xfId="5" applyNumberFormat="1" applyFont="1" applyFill="1" applyAlignment="1">
      <alignment horizontal="left"/>
    </xf>
    <xf numFmtId="37" fontId="19" fillId="4" borderId="19" xfId="5" applyNumberFormat="1" applyFont="1" applyFill="1" applyBorder="1"/>
    <xf numFmtId="37" fontId="19" fillId="4" borderId="19" xfId="6" quotePrefix="1" applyNumberFormat="1" applyFont="1" applyFill="1" applyBorder="1">
      <alignment vertical="top"/>
    </xf>
    <xf numFmtId="37" fontId="22" fillId="4" borderId="0" xfId="5" applyNumberFormat="1" applyFont="1" applyFill="1"/>
    <xf numFmtId="37" fontId="18" fillId="4" borderId="0" xfId="5" applyNumberFormat="1" applyFont="1" applyFill="1"/>
    <xf numFmtId="37" fontId="19" fillId="4" borderId="18" xfId="5" quotePrefix="1" applyNumberFormat="1" applyFont="1" applyFill="1" applyBorder="1"/>
    <xf numFmtId="177" fontId="19" fillId="4" borderId="0" xfId="5" applyFont="1" applyFill="1" applyAlignment="1">
      <alignment horizontal="left" indent="1"/>
    </xf>
    <xf numFmtId="37" fontId="19" fillId="4" borderId="31" xfId="5" applyNumberFormat="1" applyFont="1" applyFill="1" applyBorder="1"/>
    <xf numFmtId="37" fontId="19" fillId="4" borderId="41" xfId="5" applyNumberFormat="1" applyFont="1" applyFill="1" applyBorder="1"/>
    <xf numFmtId="177" fontId="19" fillId="4" borderId="35" xfId="5" applyFont="1" applyFill="1" applyBorder="1"/>
    <xf numFmtId="37" fontId="19" fillId="4" borderId="0" xfId="6" applyNumberFormat="1" applyFont="1" applyFill="1" applyAlignment="1">
      <alignment horizontal="right" vertical="top"/>
    </xf>
    <xf numFmtId="37" fontId="19" fillId="4" borderId="0" xfId="5" applyNumberFormat="1" applyFont="1" applyFill="1" applyAlignment="1">
      <alignment horizontal="left"/>
    </xf>
    <xf numFmtId="167" fontId="7" fillId="4" borderId="0" xfId="7" applyNumberFormat="1" applyFont="1" applyFill="1"/>
    <xf numFmtId="37" fontId="19" fillId="4" borderId="33" xfId="8" applyNumberFormat="1" applyFont="1" applyFill="1" applyBorder="1">
      <alignment vertical="top"/>
    </xf>
    <xf numFmtId="37" fontId="19" fillId="4" borderId="0" xfId="8" applyNumberFormat="1" applyFont="1" applyFill="1">
      <alignment vertical="top"/>
    </xf>
    <xf numFmtId="168" fontId="19" fillId="4" borderId="42" xfId="5" applyNumberFormat="1" applyFont="1" applyFill="1" applyBorder="1"/>
    <xf numFmtId="37" fontId="19" fillId="4" borderId="34" xfId="8" applyNumberFormat="1" applyFont="1" applyFill="1" applyBorder="1">
      <alignment vertical="top"/>
    </xf>
    <xf numFmtId="37" fontId="19" fillId="4" borderId="10" xfId="8" applyNumberFormat="1" applyFont="1" applyFill="1" applyBorder="1">
      <alignment vertical="top"/>
    </xf>
    <xf numFmtId="168" fontId="19" fillId="4" borderId="43" xfId="5" applyNumberFormat="1" applyFont="1" applyFill="1" applyBorder="1"/>
    <xf numFmtId="43" fontId="19" fillId="4" borderId="18" xfId="1" applyFont="1" applyFill="1" applyBorder="1"/>
    <xf numFmtId="168" fontId="19" fillId="4" borderId="0" xfId="7" applyNumberFormat="1" applyFont="1" applyFill="1"/>
    <xf numFmtId="4" fontId="19" fillId="4" borderId="0" xfId="5" applyNumberFormat="1" applyFont="1" applyFill="1"/>
    <xf numFmtId="9" fontId="19" fillId="4" borderId="0" xfId="5" applyNumberFormat="1" applyFont="1" applyFill="1"/>
    <xf numFmtId="177" fontId="18" fillId="4" borderId="0" xfId="5" quotePrefix="1" applyFont="1" applyFill="1" applyAlignment="1">
      <alignment horizontal="left" indent="1"/>
    </xf>
    <xf numFmtId="43" fontId="19" fillId="4" borderId="0" xfId="1" applyFont="1" applyFill="1"/>
    <xf numFmtId="37" fontId="19" fillId="4" borderId="19" xfId="6" applyNumberFormat="1" applyFont="1" applyFill="1" applyBorder="1">
      <alignment vertical="top"/>
    </xf>
    <xf numFmtId="10" fontId="19" fillId="4" borderId="0" xfId="3" applyNumberFormat="1" applyFont="1" applyFill="1" applyAlignment="1">
      <alignment vertical="top"/>
    </xf>
    <xf numFmtId="37" fontId="23" fillId="4" borderId="0" xfId="5" applyNumberFormat="1" applyFont="1" applyFill="1"/>
    <xf numFmtId="10" fontId="19" fillId="4" borderId="18" xfId="3" applyNumberFormat="1" applyFont="1" applyFill="1" applyBorder="1" applyAlignment="1">
      <alignment vertical="top"/>
    </xf>
    <xf numFmtId="43" fontId="19" fillId="4" borderId="19" xfId="1" applyFont="1" applyFill="1" applyBorder="1"/>
    <xf numFmtId="43" fontId="19" fillId="4" borderId="0" xfId="1" applyFont="1" applyFill="1" applyAlignment="1">
      <alignment vertical="top"/>
    </xf>
    <xf numFmtId="37" fontId="18" fillId="4" borderId="44" xfId="5" applyNumberFormat="1" applyFont="1" applyFill="1" applyBorder="1"/>
    <xf numFmtId="177" fontId="24" fillId="4" borderId="0" xfId="5" applyFont="1" applyFill="1"/>
    <xf numFmtId="177" fontId="22" fillId="4" borderId="0" xfId="5" applyFont="1" applyFill="1"/>
    <xf numFmtId="4" fontId="18" fillId="4" borderId="0" xfId="5" applyNumberFormat="1" applyFont="1" applyFill="1"/>
    <xf numFmtId="0" fontId="18" fillId="4" borderId="0" xfId="5" applyNumberFormat="1" applyFont="1" applyFill="1"/>
    <xf numFmtId="0" fontId="19" fillId="4" borderId="0" xfId="5" applyNumberFormat="1" applyFont="1" applyFill="1"/>
    <xf numFmtId="0" fontId="19" fillId="4" borderId="0" xfId="5" applyNumberFormat="1" applyFont="1" applyFill="1" applyAlignment="1">
      <alignment horizontal="left" indent="1"/>
    </xf>
    <xf numFmtId="177" fontId="19" fillId="0" borderId="0" xfId="9" applyFont="1"/>
    <xf numFmtId="39" fontId="19" fillId="0" borderId="0" xfId="9" applyNumberFormat="1" applyFont="1"/>
    <xf numFmtId="37" fontId="20" fillId="0" borderId="0" xfId="9" applyNumberFormat="1" applyFont="1"/>
    <xf numFmtId="177" fontId="19" fillId="0" borderId="0" xfId="10" applyFont="1"/>
    <xf numFmtId="177" fontId="19" fillId="0" borderId="0" xfId="9" applyFont="1" applyAlignment="1">
      <alignment horizontal="left"/>
    </xf>
    <xf numFmtId="37" fontId="20" fillId="0" borderId="0" xfId="9" applyNumberFormat="1" applyFont="1" applyAlignment="1">
      <alignment horizontal="center"/>
    </xf>
    <xf numFmtId="177" fontId="26" fillId="0" borderId="0" xfId="9" applyFont="1"/>
    <xf numFmtId="177" fontId="24" fillId="0" borderId="0" xfId="9" applyFont="1"/>
    <xf numFmtId="177" fontId="18" fillId="0" borderId="0" xfId="9" applyFont="1"/>
    <xf numFmtId="39" fontId="19" fillId="0" borderId="0" xfId="1" applyNumberFormat="1" applyFont="1" applyFill="1"/>
    <xf numFmtId="39" fontId="19" fillId="0" borderId="0" xfId="1" applyNumberFormat="1" applyFont="1" applyFill="1" applyBorder="1"/>
    <xf numFmtId="10" fontId="19" fillId="0" borderId="0" xfId="9" applyNumberFormat="1" applyFont="1"/>
    <xf numFmtId="43" fontId="19" fillId="0" borderId="0" xfId="1" applyFont="1"/>
    <xf numFmtId="10" fontId="19" fillId="0" borderId="0" xfId="1" applyNumberFormat="1" applyFont="1" applyFill="1" applyBorder="1"/>
    <xf numFmtId="43" fontId="19" fillId="0" borderId="0" xfId="1" applyFont="1" applyFill="1" applyBorder="1"/>
    <xf numFmtId="177" fontId="18" fillId="0" borderId="0" xfId="9" quotePrefix="1" applyFont="1" applyAlignment="1">
      <alignment horizontal="center"/>
    </xf>
    <xf numFmtId="177" fontId="19" fillId="0" borderId="0" xfId="11" applyNumberFormat="1" applyFont="1"/>
    <xf numFmtId="10" fontId="19" fillId="6" borderId="0" xfId="1" applyNumberFormat="1" applyFont="1" applyFill="1" applyBorder="1"/>
    <xf numFmtId="39" fontId="19" fillId="6" borderId="0" xfId="9" applyNumberFormat="1" applyFont="1" applyFill="1"/>
    <xf numFmtId="43" fontId="19" fillId="0" borderId="0" xfId="12" applyFont="1" applyFill="1"/>
    <xf numFmtId="4" fontId="19" fillId="0" borderId="0" xfId="9" applyNumberFormat="1" applyFont="1"/>
    <xf numFmtId="3" fontId="18" fillId="0" borderId="0" xfId="9" applyNumberFormat="1" applyFont="1" applyAlignment="1">
      <alignment horizontal="center"/>
    </xf>
    <xf numFmtId="10" fontId="19" fillId="0" borderId="0" xfId="1" applyNumberFormat="1" applyFont="1" applyBorder="1"/>
    <xf numFmtId="0" fontId="27" fillId="0" borderId="0" xfId="11" applyFont="1"/>
    <xf numFmtId="3" fontId="19" fillId="0" borderId="0" xfId="9" applyNumberFormat="1" applyFont="1"/>
    <xf numFmtId="43" fontId="11" fillId="0" borderId="0" xfId="13" applyFont="1" applyFill="1" applyProtection="1">
      <protection locked="0"/>
    </xf>
    <xf numFmtId="39" fontId="19" fillId="0" borderId="0" xfId="9" applyNumberFormat="1" applyFont="1" applyAlignment="1">
      <alignment horizontal="center"/>
    </xf>
    <xf numFmtId="177" fontId="19" fillId="0" borderId="0" xfId="9" applyFont="1" applyAlignment="1">
      <alignment horizontal="center"/>
    </xf>
    <xf numFmtId="39" fontId="19" fillId="0" borderId="18" xfId="9" applyNumberFormat="1" applyFont="1" applyBorder="1" applyAlignment="1">
      <alignment horizontal="center"/>
    </xf>
    <xf numFmtId="177" fontId="19" fillId="0" borderId="18" xfId="9" applyFont="1" applyBorder="1" applyAlignment="1">
      <alignment horizontal="center"/>
    </xf>
    <xf numFmtId="0" fontId="19" fillId="0" borderId="0" xfId="9" applyNumberFormat="1" applyFont="1" applyAlignment="1">
      <alignment horizontal="left"/>
    </xf>
    <xf numFmtId="39" fontId="19" fillId="0" borderId="0" xfId="9" applyNumberFormat="1" applyFont="1" applyAlignment="1">
      <alignment horizontal="left"/>
    </xf>
    <xf numFmtId="39" fontId="19" fillId="0" borderId="0" xfId="7" applyNumberFormat="1" applyFont="1"/>
    <xf numFmtId="39" fontId="19" fillId="0" borderId="0" xfId="12" applyNumberFormat="1" applyFont="1" applyFill="1"/>
    <xf numFmtId="177" fontId="18" fillId="0" borderId="0" xfId="9" applyFont="1" applyAlignment="1">
      <alignment horizontal="left"/>
    </xf>
    <xf numFmtId="39" fontId="19" fillId="0" borderId="0" xfId="1" applyNumberFormat="1" applyFont="1" applyBorder="1"/>
    <xf numFmtId="39" fontId="19" fillId="0" borderId="0" xfId="11" applyNumberFormat="1" applyFont="1"/>
    <xf numFmtId="39" fontId="19" fillId="0" borderId="0" xfId="12" applyNumberFormat="1" applyFont="1" applyFill="1" applyBorder="1"/>
    <xf numFmtId="10" fontId="19" fillId="0" borderId="0" xfId="14" applyNumberFormat="1" applyFont="1" applyFill="1" applyBorder="1"/>
    <xf numFmtId="43" fontId="27" fillId="0" borderId="0" xfId="12" quotePrefix="1" applyFont="1" applyFill="1"/>
    <xf numFmtId="43" fontId="19" fillId="0" borderId="0" xfId="12" quotePrefix="1" applyFont="1" applyFill="1"/>
    <xf numFmtId="10" fontId="19" fillId="6" borderId="0" xfId="14" applyNumberFormat="1" applyFont="1" applyFill="1" applyBorder="1"/>
    <xf numFmtId="0" fontId="19" fillId="0" borderId="0" xfId="11" applyFont="1"/>
    <xf numFmtId="39" fontId="19" fillId="0" borderId="0" xfId="1" applyNumberFormat="1" applyFont="1"/>
    <xf numFmtId="177" fontId="19" fillId="0" borderId="0" xfId="15" applyFont="1" applyProtection="1">
      <protection locked="0"/>
    </xf>
    <xf numFmtId="177" fontId="19" fillId="0" borderId="0" xfId="15" applyFont="1"/>
    <xf numFmtId="43" fontId="19" fillId="0" borderId="0" xfId="16" applyFont="1" applyFill="1"/>
    <xf numFmtId="39" fontId="19" fillId="0" borderId="0" xfId="17" applyNumberFormat="1" applyFont="1" applyFill="1" applyBorder="1"/>
    <xf numFmtId="0" fontId="19" fillId="0" borderId="0" xfId="11" applyFont="1" applyAlignment="1">
      <alignment horizontal="left"/>
    </xf>
    <xf numFmtId="0" fontId="18" fillId="0" borderId="0" xfId="11" applyFont="1" applyAlignment="1">
      <alignment horizontal="center"/>
    </xf>
    <xf numFmtId="43" fontId="19" fillId="0" borderId="0" xfId="1" applyFont="1" applyFill="1"/>
    <xf numFmtId="177" fontId="19" fillId="0" borderId="0" xfId="7" applyFont="1"/>
    <xf numFmtId="39" fontId="27" fillId="0" borderId="0" xfId="9" applyNumberFormat="1" applyFont="1"/>
    <xf numFmtId="177" fontId="27" fillId="0" borderId="0" xfId="9" applyFont="1"/>
    <xf numFmtId="177" fontId="18" fillId="0" borderId="0" xfId="9" quotePrefix="1" applyFont="1"/>
    <xf numFmtId="39" fontId="19" fillId="0" borderId="0" xfId="18" applyNumberFormat="1" applyFont="1"/>
    <xf numFmtId="43" fontId="19" fillId="0" borderId="0" xfId="9" applyNumberFormat="1" applyFont="1"/>
    <xf numFmtId="39" fontId="19" fillId="0" borderId="0" xfId="9" quotePrefix="1" applyNumberFormat="1" applyFont="1"/>
    <xf numFmtId="37" fontId="19" fillId="0" borderId="0" xfId="7" applyNumberFormat="1" applyFont="1"/>
    <xf numFmtId="39" fontId="19" fillId="7" borderId="0" xfId="7" applyNumberFormat="1" applyFont="1" applyFill="1"/>
    <xf numFmtId="0" fontId="18" fillId="0" borderId="0" xfId="7" applyNumberFormat="1" applyFont="1" applyAlignment="1">
      <alignment horizontal="center"/>
    </xf>
    <xf numFmtId="177" fontId="18" fillId="0" borderId="0" xfId="7" quotePrefix="1" applyFont="1" applyAlignment="1">
      <alignment horizontal="center"/>
    </xf>
    <xf numFmtId="39" fontId="19" fillId="0" borderId="0" xfId="7" quotePrefix="1" applyNumberFormat="1" applyFont="1"/>
    <xf numFmtId="39" fontId="19" fillId="0" borderId="0" xfId="19" applyNumberFormat="1" applyFont="1" applyAlignment="1">
      <alignment horizontal="right"/>
    </xf>
    <xf numFmtId="9" fontId="7" fillId="0" borderId="0" xfId="21" applyFont="1" applyBorder="1"/>
    <xf numFmtId="179" fontId="7" fillId="0" borderId="0" xfId="22" applyFont="1"/>
    <xf numFmtId="179" fontId="12" fillId="0" borderId="0" xfId="22" applyFont="1"/>
    <xf numFmtId="179" fontId="6" fillId="0" borderId="0" xfId="22" applyFont="1"/>
    <xf numFmtId="164" fontId="7" fillId="0" borderId="0" xfId="23" applyNumberFormat="1" applyFont="1" applyFill="1" applyBorder="1" applyAlignment="1"/>
    <xf numFmtId="5" fontId="7" fillId="0" borderId="0" xfId="22" applyNumberFormat="1" applyFont="1"/>
    <xf numFmtId="164" fontId="7" fillId="0" borderId="32" xfId="22" applyNumberFormat="1" applyFont="1" applyBorder="1"/>
    <xf numFmtId="5" fontId="7" fillId="0" borderId="32" xfId="22" applyNumberFormat="1" applyFont="1" applyBorder="1"/>
    <xf numFmtId="179" fontId="6" fillId="0" borderId="45" xfId="22" applyFont="1" applyBorder="1"/>
    <xf numFmtId="179" fontId="7" fillId="0" borderId="45" xfId="22" applyFont="1" applyBorder="1"/>
    <xf numFmtId="164" fontId="7" fillId="0" borderId="45" xfId="22" applyNumberFormat="1" applyFont="1" applyBorder="1"/>
    <xf numFmtId="5" fontId="7" fillId="0" borderId="45" xfId="22" applyNumberFormat="1" applyFont="1" applyBorder="1"/>
    <xf numFmtId="164" fontId="7" fillId="0" borderId="46" xfId="22" applyNumberFormat="1" applyFont="1" applyBorder="1"/>
    <xf numFmtId="181" fontId="7" fillId="0" borderId="0" xfId="22" applyNumberFormat="1" applyFont="1"/>
    <xf numFmtId="37" fontId="7" fillId="0" borderId="32" xfId="22" applyNumberFormat="1" applyFont="1" applyBorder="1"/>
    <xf numFmtId="37" fontId="7" fillId="0" borderId="0" xfId="22" applyNumberFormat="1" applyFont="1"/>
    <xf numFmtId="175" fontId="7" fillId="0" borderId="0" xfId="21" applyNumberFormat="1" applyFont="1" applyBorder="1"/>
    <xf numFmtId="179" fontId="7" fillId="0" borderId="18" xfId="22" applyFont="1" applyBorder="1"/>
    <xf numFmtId="37" fontId="7" fillId="0" borderId="18" xfId="22" applyNumberFormat="1" applyFont="1" applyBorder="1"/>
    <xf numFmtId="37" fontId="7" fillId="0" borderId="37" xfId="22" applyNumberFormat="1" applyFont="1" applyBorder="1"/>
    <xf numFmtId="172" fontId="7" fillId="0" borderId="0" xfId="24" applyNumberFormat="1" applyFont="1" applyBorder="1" applyAlignment="1"/>
    <xf numFmtId="183" fontId="7" fillId="0" borderId="0" xfId="22" applyNumberFormat="1" applyFont="1"/>
    <xf numFmtId="165" fontId="7" fillId="0" borderId="0" xfId="21" applyNumberFormat="1" applyFont="1" applyBorder="1" applyAlignment="1"/>
    <xf numFmtId="165" fontId="7" fillId="0" borderId="32" xfId="21" applyNumberFormat="1" applyFont="1" applyFill="1" applyBorder="1" applyAlignment="1"/>
    <xf numFmtId="179" fontId="7" fillId="0" borderId="44" xfId="22" applyFont="1" applyBorder="1"/>
    <xf numFmtId="37" fontId="7" fillId="0" borderId="44" xfId="22" applyNumberFormat="1" applyFont="1" applyBorder="1"/>
    <xf numFmtId="37" fontId="7" fillId="0" borderId="47" xfId="22" applyNumberFormat="1" applyFont="1" applyBorder="1"/>
    <xf numFmtId="172" fontId="7" fillId="0" borderId="0" xfId="24" applyNumberFormat="1" applyFont="1" applyFill="1" applyBorder="1" applyAlignment="1" applyProtection="1">
      <alignment horizontal="center"/>
    </xf>
    <xf numFmtId="179" fontId="7" fillId="0" borderId="10" xfId="22" applyFont="1" applyBorder="1"/>
    <xf numFmtId="37" fontId="7" fillId="0" borderId="10" xfId="22" applyNumberFormat="1" applyFont="1" applyBorder="1"/>
    <xf numFmtId="37" fontId="4" fillId="0" borderId="48" xfId="22" applyNumberFormat="1" applyFont="1" applyBorder="1"/>
    <xf numFmtId="37" fontId="7" fillId="4" borderId="0" xfId="22" applyNumberFormat="1" applyFont="1" applyFill="1"/>
    <xf numFmtId="37" fontId="7" fillId="4" borderId="32" xfId="22" applyNumberFormat="1" applyFont="1" applyFill="1" applyBorder="1"/>
    <xf numFmtId="172" fontId="7" fillId="0" borderId="0" xfId="24" applyNumberFormat="1" applyFont="1" applyBorder="1" applyAlignment="1" applyProtection="1">
      <alignment horizontal="center"/>
    </xf>
    <xf numFmtId="5" fontId="7" fillId="4" borderId="0" xfId="22" applyNumberFormat="1" applyFont="1" applyFill="1"/>
    <xf numFmtId="5" fontId="7" fillId="4" borderId="32" xfId="22" applyNumberFormat="1" applyFont="1" applyFill="1" applyBorder="1"/>
    <xf numFmtId="179" fontId="7" fillId="4" borderId="0" xfId="22" applyFont="1" applyFill="1"/>
    <xf numFmtId="179" fontId="7" fillId="4" borderId="19" xfId="22" applyFont="1" applyFill="1" applyBorder="1"/>
    <xf numFmtId="37" fontId="7" fillId="4" borderId="19" xfId="22" applyNumberFormat="1" applyFont="1" applyFill="1" applyBorder="1"/>
    <xf numFmtId="37" fontId="7" fillId="4" borderId="49" xfId="22" applyNumberFormat="1" applyFont="1" applyFill="1" applyBorder="1"/>
    <xf numFmtId="179" fontId="6" fillId="4" borderId="27" xfId="22" applyFont="1" applyFill="1" applyBorder="1"/>
    <xf numFmtId="165" fontId="7" fillId="4" borderId="28" xfId="22" applyNumberFormat="1" applyFont="1" applyFill="1" applyBorder="1"/>
    <xf numFmtId="184" fontId="7" fillId="4" borderId="0" xfId="22" applyNumberFormat="1" applyFont="1" applyFill="1"/>
    <xf numFmtId="184" fontId="7" fillId="4" borderId="32" xfId="22" applyNumberFormat="1" applyFont="1" applyFill="1" applyBorder="1"/>
    <xf numFmtId="165" fontId="7" fillId="4" borderId="0" xfId="22" applyNumberFormat="1" applyFont="1" applyFill="1"/>
    <xf numFmtId="165" fontId="7" fillId="4" borderId="19" xfId="22" applyNumberFormat="1" applyFont="1" applyFill="1" applyBorder="1"/>
    <xf numFmtId="5" fontId="7" fillId="4" borderId="19" xfId="22" applyNumberFormat="1" applyFont="1" applyFill="1" applyBorder="1"/>
    <xf numFmtId="5" fontId="7" fillId="4" borderId="49" xfId="22" applyNumberFormat="1" applyFont="1" applyFill="1" applyBorder="1"/>
    <xf numFmtId="173" fontId="7" fillId="0" borderId="0" xfId="24" applyNumberFormat="1" applyFont="1" applyBorder="1" applyAlignment="1">
      <alignment horizontal="center"/>
    </xf>
    <xf numFmtId="165" fontId="7" fillId="0" borderId="0" xfId="21" applyNumberFormat="1" applyFont="1"/>
    <xf numFmtId="184" fontId="7" fillId="4" borderId="44" xfId="22" applyNumberFormat="1" applyFont="1" applyFill="1" applyBorder="1"/>
    <xf numFmtId="184" fontId="7" fillId="4" borderId="47" xfId="22" applyNumberFormat="1" applyFont="1" applyFill="1" applyBorder="1"/>
    <xf numFmtId="185" fontId="7" fillId="0" borderId="0" xfId="23" applyNumberFormat="1" applyFont="1" applyBorder="1" applyAlignment="1">
      <alignment horizontal="center"/>
    </xf>
    <xf numFmtId="184" fontId="7" fillId="0" borderId="0" xfId="22" applyNumberFormat="1" applyFont="1"/>
    <xf numFmtId="184" fontId="7" fillId="0" borderId="32" xfId="22" applyNumberFormat="1" applyFont="1" applyBorder="1"/>
    <xf numFmtId="165" fontId="3" fillId="0" borderId="0" xfId="21" applyNumberFormat="1" applyFont="1" applyBorder="1" applyAlignment="1">
      <alignment horizontal="center"/>
    </xf>
    <xf numFmtId="10" fontId="3" fillId="0" borderId="0" xfId="21" applyNumberFormat="1" applyFont="1" applyBorder="1"/>
    <xf numFmtId="186" fontId="7" fillId="0" borderId="32" xfId="22" applyNumberFormat="1" applyFont="1" applyBorder="1"/>
    <xf numFmtId="10" fontId="7" fillId="0" borderId="32" xfId="21" applyNumberFormat="1" applyFont="1" applyBorder="1" applyAlignment="1" applyProtection="1"/>
    <xf numFmtId="181" fontId="7" fillId="0" borderId="0" xfId="22" applyNumberFormat="1" applyFont="1" applyAlignment="1">
      <alignment horizontal="left"/>
    </xf>
    <xf numFmtId="165" fontId="7" fillId="0" borderId="32" xfId="21" applyNumberFormat="1" applyFont="1" applyBorder="1" applyAlignment="1"/>
    <xf numFmtId="187" fontId="7" fillId="9" borderId="0" xfId="22" applyNumberFormat="1" applyFont="1" applyFill="1"/>
    <xf numFmtId="184" fontId="7" fillId="9" borderId="32" xfId="22" applyNumberFormat="1" applyFont="1" applyFill="1" applyBorder="1"/>
    <xf numFmtId="37" fontId="7" fillId="9" borderId="0" xfId="22" applyNumberFormat="1" applyFont="1" applyFill="1"/>
    <xf numFmtId="184" fontId="7" fillId="9" borderId="18" xfId="22" applyNumberFormat="1" applyFont="1" applyFill="1" applyBorder="1"/>
    <xf numFmtId="5" fontId="7" fillId="9" borderId="0" xfId="22" applyNumberFormat="1" applyFont="1" applyFill="1"/>
    <xf numFmtId="5" fontId="7" fillId="9" borderId="32" xfId="22" applyNumberFormat="1" applyFont="1" applyFill="1" applyBorder="1"/>
    <xf numFmtId="37" fontId="7" fillId="9" borderId="10" xfId="22" applyNumberFormat="1" applyFont="1" applyFill="1" applyBorder="1"/>
    <xf numFmtId="172" fontId="7" fillId="0" borderId="0" xfId="24" applyNumberFormat="1" applyFont="1" applyFill="1" applyBorder="1" applyAlignment="1"/>
    <xf numFmtId="10" fontId="7" fillId="0" borderId="0" xfId="21" applyNumberFormat="1" applyFont="1" applyBorder="1" applyAlignment="1" applyProtection="1"/>
    <xf numFmtId="165" fontId="7" fillId="0" borderId="0" xfId="22" applyNumberFormat="1" applyFont="1"/>
    <xf numFmtId="172" fontId="7" fillId="0" borderId="0" xfId="24" applyNumberFormat="1" applyFont="1" applyFill="1" applyBorder="1"/>
    <xf numFmtId="10" fontId="7" fillId="0" borderId="0" xfId="21" applyNumberFormat="1" applyFont="1" applyBorder="1" applyAlignment="1"/>
    <xf numFmtId="10" fontId="7" fillId="4" borderId="0" xfId="21" applyNumberFormat="1" applyFont="1" applyFill="1" applyBorder="1"/>
    <xf numFmtId="0" fontId="17" fillId="4" borderId="0" xfId="0" applyFont="1" applyFill="1"/>
    <xf numFmtId="0" fontId="19" fillId="4" borderId="0" xfId="0" applyFont="1" applyFill="1"/>
    <xf numFmtId="0" fontId="17" fillId="0" borderId="0" xfId="0" applyFont="1"/>
    <xf numFmtId="0" fontId="19" fillId="0" borderId="0" xfId="0" applyFont="1"/>
    <xf numFmtId="0" fontId="19" fillId="4" borderId="0" xfId="0" applyFont="1" applyFill="1" applyAlignment="1">
      <alignment horizontal="center"/>
    </xf>
    <xf numFmtId="0" fontId="26" fillId="4" borderId="0" xfId="0" applyFont="1" applyFill="1" applyAlignment="1">
      <alignment horizontal="center"/>
    </xf>
    <xf numFmtId="0" fontId="26" fillId="4" borderId="0" xfId="0" applyFont="1" applyFill="1"/>
    <xf numFmtId="0" fontId="20" fillId="4" borderId="0" xfId="0" applyFont="1" applyFill="1"/>
    <xf numFmtId="5" fontId="19" fillId="4" borderId="0" xfId="0" applyNumberFormat="1" applyFont="1" applyFill="1"/>
    <xf numFmtId="37" fontId="19" fillId="4" borderId="0" xfId="0" applyNumberFormat="1" applyFont="1" applyFill="1"/>
    <xf numFmtId="37" fontId="19" fillId="4" borderId="18" xfId="0" applyNumberFormat="1" applyFont="1" applyFill="1" applyBorder="1"/>
    <xf numFmtId="0" fontId="18" fillId="4" borderId="0" xfId="0" applyFont="1" applyFill="1" applyAlignment="1">
      <alignment horizontal="left" indent="2"/>
    </xf>
    <xf numFmtId="37" fontId="19" fillId="0" borderId="18" xfId="0" applyNumberFormat="1" applyFont="1" applyBorder="1"/>
    <xf numFmtId="0" fontId="18" fillId="4" borderId="0" xfId="0" applyFont="1" applyFill="1"/>
    <xf numFmtId="5" fontId="18" fillId="4" borderId="44" xfId="0" applyNumberFormat="1" applyFont="1" applyFill="1" applyBorder="1"/>
    <xf numFmtId="37" fontId="18" fillId="4" borderId="0" xfId="0" applyNumberFormat="1" applyFont="1" applyFill="1"/>
    <xf numFmtId="0" fontId="18" fillId="4" borderId="0" xfId="0" quotePrefix="1" applyFont="1" applyFill="1"/>
    <xf numFmtId="0" fontId="19" fillId="4" borderId="0" xfId="0" quotePrefix="1" applyFont="1" applyFill="1"/>
    <xf numFmtId="5" fontId="18" fillId="4" borderId="0" xfId="2" applyNumberFormat="1" applyFont="1" applyFill="1"/>
    <xf numFmtId="10" fontId="18" fillId="4" borderId="0" xfId="3" applyNumberFormat="1" applyFont="1" applyFill="1"/>
    <xf numFmtId="0" fontId="7" fillId="0" borderId="0" xfId="27" applyFont="1"/>
    <xf numFmtId="0" fontId="16" fillId="0" borderId="0" xfId="27" applyFont="1"/>
    <xf numFmtId="0" fontId="7" fillId="2" borderId="30" xfId="27" applyFont="1" applyFill="1" applyBorder="1"/>
    <xf numFmtId="0" fontId="7" fillId="2" borderId="7" xfId="27" applyFont="1" applyFill="1" applyBorder="1"/>
    <xf numFmtId="0" fontId="7" fillId="3" borderId="7" xfId="27" applyFont="1" applyFill="1" applyBorder="1"/>
    <xf numFmtId="0" fontId="7" fillId="0" borderId="7" xfId="27" applyFont="1" applyBorder="1" applyAlignment="1">
      <alignment horizontal="center"/>
    </xf>
    <xf numFmtId="0" fontId="7" fillId="4" borderId="7" xfId="27" applyFont="1" applyFill="1" applyBorder="1" applyAlignment="1">
      <alignment horizontal="center"/>
    </xf>
    <xf numFmtId="0" fontId="7" fillId="4" borderId="7" xfId="27" applyFont="1" applyFill="1" applyBorder="1"/>
    <xf numFmtId="0" fontId="6" fillId="4" borderId="29" xfId="27" applyFont="1" applyFill="1" applyBorder="1"/>
    <xf numFmtId="0" fontId="7" fillId="4" borderId="0" xfId="27" applyFont="1" applyFill="1" applyAlignment="1">
      <alignment horizontal="center"/>
    </xf>
    <xf numFmtId="0" fontId="7" fillId="0" borderId="0" xfId="27" applyFont="1" applyAlignment="1">
      <alignment horizontal="center"/>
    </xf>
    <xf numFmtId="0" fontId="7" fillId="4" borderId="0" xfId="27" applyFont="1" applyFill="1"/>
    <xf numFmtId="0" fontId="12" fillId="4" borderId="0" xfId="27" applyFont="1" applyFill="1"/>
    <xf numFmtId="0" fontId="7" fillId="5" borderId="7" xfId="27" applyFont="1" applyFill="1" applyBorder="1"/>
    <xf numFmtId="0" fontId="7" fillId="5" borderId="30" xfId="27" applyFont="1" applyFill="1" applyBorder="1"/>
    <xf numFmtId="0" fontId="7" fillId="5" borderId="7" xfId="27" applyFont="1" applyFill="1" applyBorder="1" applyAlignment="1">
      <alignment horizontal="center"/>
    </xf>
    <xf numFmtId="0" fontId="7" fillId="0" borderId="30" xfId="27" applyFont="1" applyBorder="1"/>
    <xf numFmtId="0" fontId="7" fillId="0" borderId="7" xfId="27" applyFont="1" applyBorder="1"/>
    <xf numFmtId="0" fontId="7" fillId="4" borderId="7" xfId="27" applyFont="1" applyFill="1" applyBorder="1" applyAlignment="1">
      <alignment horizontal="left"/>
    </xf>
    <xf numFmtId="169" fontId="7" fillId="0" borderId="0" xfId="27" applyNumberFormat="1" applyFont="1"/>
    <xf numFmtId="170" fontId="7" fillId="0" borderId="0" xfId="27" applyNumberFormat="1" applyFont="1"/>
    <xf numFmtId="170" fontId="30" fillId="10" borderId="0" xfId="27" applyNumberFormat="1" applyFont="1" applyFill="1" applyAlignment="1">
      <alignment horizontal="center"/>
    </xf>
    <xf numFmtId="170" fontId="30" fillId="10" borderId="0" xfId="27" applyNumberFormat="1" applyFont="1" applyFill="1"/>
    <xf numFmtId="169" fontId="32" fillId="0" borderId="0" xfId="27" applyNumberFormat="1" applyFont="1"/>
    <xf numFmtId="169" fontId="7" fillId="0" borderId="0" xfId="27" applyNumberFormat="1" applyFont="1" applyAlignment="1">
      <alignment horizontal="center"/>
    </xf>
    <xf numFmtId="169" fontId="7" fillId="0" borderId="18" xfId="27" applyNumberFormat="1" applyFont="1" applyBorder="1"/>
    <xf numFmtId="168" fontId="7" fillId="0" borderId="18" xfId="27" applyNumberFormat="1" applyFont="1" applyBorder="1"/>
    <xf numFmtId="169" fontId="7" fillId="4" borderId="18" xfId="27" applyNumberFormat="1" applyFont="1" applyFill="1" applyBorder="1"/>
    <xf numFmtId="168" fontId="7" fillId="4" borderId="18" xfId="27" applyNumberFormat="1" applyFont="1" applyFill="1" applyBorder="1"/>
    <xf numFmtId="169" fontId="7" fillId="4" borderId="23" xfId="27" applyNumberFormat="1" applyFont="1" applyFill="1" applyBorder="1"/>
    <xf numFmtId="0" fontId="7" fillId="4" borderId="23" xfId="27" applyFont="1" applyFill="1" applyBorder="1" applyAlignment="1">
      <alignment horizontal="center"/>
    </xf>
    <xf numFmtId="0" fontId="30" fillId="10" borderId="0" xfId="27" applyFont="1" applyFill="1" applyAlignment="1">
      <alignment horizontal="center"/>
    </xf>
    <xf numFmtId="169" fontId="7" fillId="4" borderId="19" xfId="27" applyNumberFormat="1" applyFont="1" applyFill="1" applyBorder="1"/>
    <xf numFmtId="169" fontId="7" fillId="0" borderId="23" xfId="27" applyNumberFormat="1" applyFont="1" applyBorder="1"/>
    <xf numFmtId="0" fontId="7" fillId="4" borderId="18" xfId="27" applyFont="1" applyFill="1" applyBorder="1" applyAlignment="1">
      <alignment horizontal="center"/>
    </xf>
    <xf numFmtId="169" fontId="7" fillId="4" borderId="0" xfId="27" applyNumberFormat="1" applyFont="1" applyFill="1"/>
    <xf numFmtId="171" fontId="7" fillId="4" borderId="18" xfId="27" applyNumberFormat="1" applyFont="1" applyFill="1" applyBorder="1" applyAlignment="1">
      <alignment horizontal="center"/>
    </xf>
    <xf numFmtId="171" fontId="7" fillId="4" borderId="0" xfId="27" applyNumberFormat="1" applyFont="1" applyFill="1" applyAlignment="1">
      <alignment horizontal="center"/>
    </xf>
    <xf numFmtId="169" fontId="7" fillId="0" borderId="19" xfId="27" applyNumberFormat="1" applyFont="1" applyBorder="1"/>
    <xf numFmtId="0" fontId="7" fillId="4" borderId="19" xfId="27" applyFont="1" applyFill="1" applyBorder="1" applyAlignment="1">
      <alignment horizontal="center"/>
    </xf>
    <xf numFmtId="170" fontId="30" fillId="11" borderId="0" xfId="27" applyNumberFormat="1" applyFont="1" applyFill="1" applyAlignment="1">
      <alignment horizontal="center"/>
    </xf>
    <xf numFmtId="0" fontId="6" fillId="0" borderId="0" xfId="27" applyFont="1" applyAlignment="1">
      <alignment horizontal="right"/>
    </xf>
    <xf numFmtId="0" fontId="6" fillId="10" borderId="0" xfId="27" applyFont="1" applyFill="1" applyAlignment="1">
      <alignment horizontal="center"/>
    </xf>
    <xf numFmtId="37" fontId="6" fillId="10" borderId="10" xfId="27" applyNumberFormat="1" applyFont="1" applyFill="1" applyBorder="1" applyAlignment="1">
      <alignment horizontal="center"/>
    </xf>
    <xf numFmtId="0" fontId="6" fillId="10" borderId="10" xfId="27" applyFont="1" applyFill="1" applyBorder="1" applyAlignment="1">
      <alignment horizontal="center"/>
    </xf>
    <xf numFmtId="0" fontId="6" fillId="0" borderId="0" xfId="27" applyFont="1" applyAlignment="1">
      <alignment horizontal="center"/>
    </xf>
    <xf numFmtId="0" fontId="32" fillId="0" borderId="0" xfId="27" applyFont="1" applyAlignment="1">
      <alignment horizontal="center"/>
    </xf>
    <xf numFmtId="0" fontId="6" fillId="0" borderId="18" xfId="27" applyFont="1" applyBorder="1" applyAlignment="1">
      <alignment horizontal="center"/>
    </xf>
    <xf numFmtId="0" fontId="6" fillId="4" borderId="18" xfId="27" applyFont="1" applyFill="1" applyBorder="1" applyAlignment="1">
      <alignment horizontal="center"/>
    </xf>
    <xf numFmtId="0" fontId="6" fillId="10" borderId="0" xfId="27" applyFont="1" applyFill="1" applyAlignment="1">
      <alignment horizontal="center" wrapText="1"/>
    </xf>
    <xf numFmtId="0" fontId="6" fillId="0" borderId="0" xfId="27" applyFont="1" applyAlignment="1">
      <alignment horizontal="center" wrapText="1"/>
    </xf>
    <xf numFmtId="0" fontId="6" fillId="4" borderId="0" xfId="27" applyFont="1" applyFill="1" applyAlignment="1">
      <alignment horizontal="center"/>
    </xf>
    <xf numFmtId="0" fontId="6" fillId="4" borderId="0" xfId="27" applyFont="1" applyFill="1" applyAlignment="1">
      <alignment horizontal="right"/>
    </xf>
    <xf numFmtId="0" fontId="6" fillId="10" borderId="0" xfId="27" applyFont="1" applyFill="1" applyAlignment="1">
      <alignment horizontal="right"/>
    </xf>
    <xf numFmtId="0" fontId="7" fillId="10" borderId="0" xfId="27" applyFont="1" applyFill="1" applyAlignment="1">
      <alignment horizontal="right"/>
    </xf>
    <xf numFmtId="0" fontId="7" fillId="0" borderId="0" xfId="27" applyFont="1" applyAlignment="1">
      <alignment horizontal="right"/>
    </xf>
    <xf numFmtId="37" fontId="7" fillId="3" borderId="0" xfId="27" applyNumberFormat="1" applyFont="1" applyFill="1" applyAlignment="1">
      <alignment horizontal="center" wrapText="1"/>
    </xf>
    <xf numFmtId="0" fontId="7" fillId="0" borderId="0" xfId="27" applyFont="1" applyAlignment="1">
      <alignment horizontal="center" wrapText="1"/>
    </xf>
    <xf numFmtId="0" fontId="7" fillId="0" borderId="0" xfId="27" applyFont="1" applyAlignment="1">
      <alignment horizontal="right" wrapText="1"/>
    </xf>
    <xf numFmtId="37" fontId="7" fillId="0" borderId="0" xfId="27" applyNumberFormat="1" applyFont="1" applyAlignment="1">
      <alignment horizontal="center" wrapText="1"/>
    </xf>
    <xf numFmtId="0" fontId="6" fillId="0" borderId="10" xfId="27" applyFont="1" applyBorder="1" applyAlignment="1">
      <alignment horizontal="center" wrapText="1"/>
    </xf>
    <xf numFmtId="37" fontId="6" fillId="12" borderId="10" xfId="27" applyNumberFormat="1" applyFont="1" applyFill="1" applyBorder="1" applyAlignment="1">
      <alignment horizontal="center" wrapText="1"/>
    </xf>
    <xf numFmtId="0" fontId="6" fillId="8" borderId="10" xfId="27" applyFont="1" applyFill="1" applyBorder="1" applyAlignment="1">
      <alignment horizontal="center" wrapText="1"/>
    </xf>
    <xf numFmtId="37" fontId="6" fillId="8" borderId="10" xfId="27" applyNumberFormat="1" applyFont="1" applyFill="1" applyBorder="1" applyAlignment="1">
      <alignment horizontal="center" wrapText="1"/>
    </xf>
    <xf numFmtId="0" fontId="6" fillId="4" borderId="10" xfId="27" applyFont="1" applyFill="1" applyBorder="1" applyAlignment="1">
      <alignment horizontal="center" wrapText="1"/>
    </xf>
    <xf numFmtId="0" fontId="7" fillId="9" borderId="23" xfId="27" applyFont="1" applyFill="1" applyBorder="1" applyAlignment="1">
      <alignment horizontal="centerContinuous"/>
    </xf>
    <xf numFmtId="0" fontId="6" fillId="9" borderId="23" xfId="27" applyFont="1" applyFill="1" applyBorder="1" applyAlignment="1">
      <alignment horizontal="centerContinuous"/>
    </xf>
    <xf numFmtId="0" fontId="7" fillId="10" borderId="0" xfId="27" applyFont="1" applyFill="1" applyAlignment="1">
      <alignment horizontal="center"/>
    </xf>
    <xf numFmtId="0" fontId="7" fillId="10" borderId="0" xfId="27" applyFont="1" applyFill="1"/>
    <xf numFmtId="0" fontId="7" fillId="13" borderId="23" xfId="27" applyFont="1" applyFill="1" applyBorder="1" applyAlignment="1">
      <alignment horizontal="centerContinuous"/>
    </xf>
    <xf numFmtId="0" fontId="6" fillId="13" borderId="23" xfId="27" applyFont="1" applyFill="1" applyBorder="1" applyAlignment="1">
      <alignment horizontal="centerContinuous"/>
    </xf>
    <xf numFmtId="0" fontId="6" fillId="13" borderId="0" xfId="27" applyFont="1" applyFill="1" applyAlignment="1">
      <alignment horizontal="center"/>
    </xf>
    <xf numFmtId="0" fontId="6" fillId="9" borderId="0" xfId="27" applyFont="1" applyFill="1" applyAlignment="1">
      <alignment horizontal="center"/>
    </xf>
    <xf numFmtId="0" fontId="6" fillId="9" borderId="23" xfId="27" applyFont="1" applyFill="1" applyBorder="1" applyAlignment="1">
      <alignment horizontal="center"/>
    </xf>
    <xf numFmtId="0" fontId="6" fillId="13" borderId="23" xfId="27" applyFont="1" applyFill="1" applyBorder="1" applyAlignment="1">
      <alignment horizontal="center"/>
    </xf>
    <xf numFmtId="0" fontId="7" fillId="13" borderId="0" xfId="27" applyFont="1" applyFill="1"/>
    <xf numFmtId="0" fontId="6" fillId="13" borderId="0" xfId="27" applyFont="1" applyFill="1" applyAlignment="1">
      <alignment horizontal="centerContinuous"/>
    </xf>
    <xf numFmtId="0" fontId="7" fillId="14" borderId="0" xfId="27" applyFont="1" applyFill="1"/>
    <xf numFmtId="0" fontId="7" fillId="11" borderId="0" xfId="27" applyFont="1" applyFill="1"/>
    <xf numFmtId="0" fontId="33" fillId="4" borderId="0" xfId="27" applyFont="1" applyFill="1" applyAlignment="1">
      <alignment horizontal="center"/>
    </xf>
    <xf numFmtId="0" fontId="7" fillId="9" borderId="0" xfId="27" applyFont="1" applyFill="1"/>
    <xf numFmtId="0" fontId="7" fillId="9" borderId="0" xfId="27" applyFont="1" applyFill="1" applyAlignment="1">
      <alignment horizontal="center"/>
    </xf>
    <xf numFmtId="0" fontId="34" fillId="0" borderId="0" xfId="27" applyFont="1"/>
    <xf numFmtId="169" fontId="6" fillId="0" borderId="0" xfId="27" applyNumberFormat="1" applyFont="1"/>
    <xf numFmtId="14" fontId="6" fillId="0" borderId="0" xfId="27" applyNumberFormat="1" applyFont="1" applyAlignment="1">
      <alignment horizontal="center"/>
    </xf>
    <xf numFmtId="173" fontId="6" fillId="0" borderId="0" xfId="28" applyNumberFormat="1" applyFont="1" applyFill="1" applyAlignment="1">
      <alignment horizontal="center"/>
    </xf>
    <xf numFmtId="14" fontId="35" fillId="0" borderId="0" xfId="27" applyNumberFormat="1" applyFont="1" applyAlignment="1">
      <alignment horizontal="center"/>
    </xf>
    <xf numFmtId="14" fontId="6" fillId="4" borderId="0" xfId="27" applyNumberFormat="1" applyFont="1" applyFill="1" applyAlignment="1">
      <alignment horizontal="center" wrapText="1"/>
    </xf>
    <xf numFmtId="15" fontId="7" fillId="10" borderId="0" xfId="27" applyNumberFormat="1" applyFont="1" applyFill="1" applyAlignment="1">
      <alignment horizontal="center"/>
    </xf>
    <xf numFmtId="170" fontId="6" fillId="0" borderId="0" xfId="27" applyNumberFormat="1" applyFont="1" applyAlignment="1">
      <alignment horizontal="center"/>
    </xf>
    <xf numFmtId="0" fontId="3" fillId="0" borderId="0" xfId="27" applyFont="1"/>
    <xf numFmtId="0" fontId="6" fillId="4" borderId="0" xfId="27" applyFont="1" applyFill="1"/>
    <xf numFmtId="0" fontId="5" fillId="0" borderId="0" xfId="27"/>
    <xf numFmtId="167" fontId="7" fillId="0" borderId="0" xfId="27" applyNumberFormat="1" applyFont="1" applyAlignment="1">
      <alignment horizontal="center"/>
    </xf>
    <xf numFmtId="167" fontId="7" fillId="3" borderId="7" xfId="27" applyNumberFormat="1" applyFont="1" applyFill="1" applyBorder="1" applyAlignment="1">
      <alignment horizontal="center"/>
    </xf>
    <xf numFmtId="167" fontId="7" fillId="0" borderId="7" xfId="27" applyNumberFormat="1" applyFont="1" applyBorder="1" applyAlignment="1">
      <alignment horizontal="center"/>
    </xf>
    <xf numFmtId="0" fontId="6" fillId="0" borderId="29" xfId="27" applyFont="1" applyBorder="1"/>
    <xf numFmtId="0" fontId="12" fillId="0" borderId="0" xfId="27" applyFont="1"/>
    <xf numFmtId="5" fontId="7" fillId="0" borderId="0" xfId="27" applyNumberFormat="1" applyFont="1"/>
    <xf numFmtId="37" fontId="7" fillId="0" borderId="0" xfId="27" applyNumberFormat="1" applyFont="1"/>
    <xf numFmtId="5" fontId="6" fillId="0" borderId="0" xfId="27" applyNumberFormat="1" applyFont="1"/>
    <xf numFmtId="168" fontId="7" fillId="0" borderId="0" xfId="27" applyNumberFormat="1" applyFont="1"/>
    <xf numFmtId="172" fontId="7" fillId="0" borderId="0" xfId="28" applyNumberFormat="1" applyFont="1"/>
    <xf numFmtId="5" fontId="7" fillId="0" borderId="19" xfId="27" applyNumberFormat="1" applyFont="1" applyBorder="1"/>
    <xf numFmtId="5" fontId="7" fillId="0" borderId="18" xfId="27" applyNumberFormat="1" applyFont="1" applyBorder="1"/>
    <xf numFmtId="37" fontId="7" fillId="0" borderId="28" xfId="27" applyNumberFormat="1" applyFont="1" applyBorder="1"/>
    <xf numFmtId="37" fontId="7" fillId="0" borderId="23" xfId="27" applyNumberFormat="1" applyFont="1" applyBorder="1"/>
    <xf numFmtId="167" fontId="7" fillId="0" borderId="27" xfId="27" applyNumberFormat="1" applyFont="1" applyBorder="1" applyAlignment="1">
      <alignment horizontal="center"/>
    </xf>
    <xf numFmtId="169" fontId="7" fillId="0" borderId="22" xfId="27" applyNumberFormat="1" applyFont="1" applyBorder="1"/>
    <xf numFmtId="37" fontId="7" fillId="0" borderId="18" xfId="27" applyNumberFormat="1" applyFont="1" applyBorder="1"/>
    <xf numFmtId="167" fontId="7" fillId="0" borderId="21" xfId="27" applyNumberFormat="1" applyFont="1" applyBorder="1" applyAlignment="1">
      <alignment horizontal="center"/>
    </xf>
    <xf numFmtId="168" fontId="7" fillId="0" borderId="22" xfId="27" applyNumberFormat="1" applyFont="1" applyBorder="1"/>
    <xf numFmtId="37" fontId="7" fillId="2" borderId="20" xfId="27" applyNumberFormat="1" applyFont="1" applyFill="1" applyBorder="1"/>
    <xf numFmtId="0" fontId="7" fillId="0" borderId="23" xfId="27" applyFont="1" applyBorder="1" applyAlignment="1">
      <alignment horizontal="center"/>
    </xf>
    <xf numFmtId="0" fontId="7" fillId="0" borderId="18" xfId="27" applyFont="1" applyBorder="1" applyAlignment="1">
      <alignment horizontal="center"/>
    </xf>
    <xf numFmtId="171" fontId="7" fillId="0" borderId="18" xfId="27" applyNumberFormat="1" applyFont="1" applyBorder="1" applyAlignment="1">
      <alignment horizontal="center"/>
    </xf>
    <xf numFmtId="169" fontId="7" fillId="0" borderId="17" xfId="27" applyNumberFormat="1" applyFont="1" applyBorder="1"/>
    <xf numFmtId="167" fontId="7" fillId="0" borderId="16" xfId="27" applyNumberFormat="1" applyFont="1" applyBorder="1" applyAlignment="1">
      <alignment horizontal="center"/>
    </xf>
    <xf numFmtId="168" fontId="7" fillId="0" borderId="17" xfId="27" applyNumberFormat="1" applyFont="1" applyBorder="1"/>
    <xf numFmtId="37" fontId="7" fillId="2" borderId="15" xfId="27" applyNumberFormat="1" applyFont="1" applyFill="1" applyBorder="1"/>
    <xf numFmtId="171" fontId="7" fillId="0" borderId="0" xfId="27" applyNumberFormat="1" applyFont="1" applyAlignment="1">
      <alignment horizontal="center"/>
    </xf>
    <xf numFmtId="169" fontId="7" fillId="0" borderId="26" xfId="27" applyNumberFormat="1" applyFont="1" applyBorder="1"/>
    <xf numFmtId="37" fontId="7" fillId="0" borderId="19" xfId="27" applyNumberFormat="1" applyFont="1" applyBorder="1"/>
    <xf numFmtId="167" fontId="7" fillId="0" borderId="25" xfId="27" applyNumberFormat="1" applyFont="1" applyBorder="1" applyAlignment="1">
      <alignment horizontal="center"/>
    </xf>
    <xf numFmtId="168" fontId="7" fillId="0" borderId="26" xfId="27" applyNumberFormat="1" applyFont="1" applyBorder="1"/>
    <xf numFmtId="37" fontId="7" fillId="2" borderId="24" xfId="27" applyNumberFormat="1" applyFont="1" applyFill="1" applyBorder="1"/>
    <xf numFmtId="0" fontId="6" fillId="0" borderId="22" xfId="27" applyFont="1" applyBorder="1" applyAlignment="1">
      <alignment horizontal="center"/>
    </xf>
    <xf numFmtId="0" fontId="6" fillId="0" borderId="21" xfId="27" applyFont="1" applyBorder="1" applyAlignment="1">
      <alignment horizontal="center"/>
    </xf>
    <xf numFmtId="0" fontId="6" fillId="2" borderId="20" xfId="27" applyFont="1" applyFill="1" applyBorder="1" applyAlignment="1">
      <alignment horizontal="center"/>
    </xf>
    <xf numFmtId="0" fontId="7" fillId="0" borderId="19" xfId="27" applyFont="1" applyBorder="1" applyAlignment="1">
      <alignment horizontal="center"/>
    </xf>
    <xf numFmtId="0" fontId="6" fillId="0" borderId="17" xfId="27" applyFont="1" applyBorder="1" applyAlignment="1">
      <alignment horizontal="center"/>
    </xf>
    <xf numFmtId="0" fontId="6" fillId="0" borderId="16" xfId="27" applyFont="1" applyBorder="1" applyAlignment="1">
      <alignment horizontal="center"/>
    </xf>
    <xf numFmtId="0" fontId="6" fillId="2" borderId="15" xfId="27" applyFont="1" applyFill="1" applyBorder="1" applyAlignment="1">
      <alignment horizontal="right"/>
    </xf>
    <xf numFmtId="37" fontId="6" fillId="0" borderId="0" xfId="27" applyNumberFormat="1" applyFont="1" applyAlignment="1">
      <alignment horizontal="right"/>
    </xf>
    <xf numFmtId="166" fontId="6" fillId="0" borderId="0" xfId="28" applyNumberFormat="1" applyFont="1" applyBorder="1" applyAlignment="1">
      <alignment horizontal="right"/>
    </xf>
    <xf numFmtId="164" fontId="6" fillId="0" borderId="0" xfId="29" applyNumberFormat="1" applyFont="1" applyFill="1" applyAlignment="1">
      <alignment horizontal="right"/>
    </xf>
    <xf numFmtId="37" fontId="7" fillId="0" borderId="14" xfId="27" applyNumberFormat="1" applyFont="1" applyBorder="1"/>
    <xf numFmtId="37" fontId="7" fillId="0" borderId="13" xfId="27" applyNumberFormat="1" applyFont="1" applyBorder="1"/>
    <xf numFmtId="37" fontId="7" fillId="0" borderId="12" xfId="27" applyNumberFormat="1" applyFont="1" applyBorder="1"/>
    <xf numFmtId="37" fontId="7" fillId="0" borderId="8" xfId="27" applyNumberFormat="1" applyFont="1" applyBorder="1"/>
    <xf numFmtId="37" fontId="7" fillId="0" borderId="7" xfId="27" applyNumberFormat="1" applyFont="1" applyBorder="1"/>
    <xf numFmtId="37" fontId="7" fillId="0" borderId="6" xfId="27" applyNumberFormat="1" applyFont="1" applyBorder="1"/>
    <xf numFmtId="0" fontId="7" fillId="0" borderId="11" xfId="27" applyFont="1" applyBorder="1"/>
    <xf numFmtId="0" fontId="7" fillId="0" borderId="10" xfId="27" applyFont="1" applyBorder="1" applyAlignment="1">
      <alignment horizontal="center"/>
    </xf>
    <xf numFmtId="43" fontId="7" fillId="0" borderId="0" xfId="28" applyFont="1" applyFill="1"/>
    <xf numFmtId="0" fontId="7" fillId="0" borderId="8" xfId="27" applyFont="1" applyBorder="1"/>
    <xf numFmtId="165" fontId="7" fillId="0" borderId="6" xfId="30" applyNumberFormat="1" applyFont="1" applyBorder="1"/>
    <xf numFmtId="0" fontId="7" fillId="0" borderId="5" xfId="27" applyFont="1" applyBorder="1"/>
    <xf numFmtId="164" fontId="7" fillId="0" borderId="9" xfId="29" applyNumberFormat="1" applyFont="1" applyFill="1" applyBorder="1"/>
    <xf numFmtId="37" fontId="7" fillId="0" borderId="6" xfId="27" applyNumberFormat="1" applyFont="1" applyBorder="1" applyAlignment="1">
      <alignment horizontal="center"/>
    </xf>
    <xf numFmtId="0" fontId="7" fillId="0" borderId="3" xfId="27" applyFont="1" applyBorder="1" applyAlignment="1">
      <alignment horizontal="centerContinuous"/>
    </xf>
    <xf numFmtId="0" fontId="6" fillId="0" borderId="2" xfId="27" applyFont="1" applyBorder="1" applyAlignment="1">
      <alignment horizontal="centerContinuous"/>
    </xf>
    <xf numFmtId="37" fontId="6" fillId="0" borderId="1" xfId="27" applyNumberFormat="1" applyFont="1" applyBorder="1" applyAlignment="1">
      <alignment horizontal="centerContinuous"/>
    </xf>
    <xf numFmtId="0" fontId="6" fillId="0" borderId="0" xfId="27" applyFont="1"/>
    <xf numFmtId="0" fontId="9" fillId="0" borderId="0" xfId="27" applyFont="1"/>
    <xf numFmtId="175" fontId="7" fillId="4" borderId="0" xfId="27" applyNumberFormat="1" applyFont="1" applyFill="1"/>
    <xf numFmtId="39" fontId="7" fillId="4" borderId="0" xfId="27" applyNumberFormat="1" applyFont="1" applyFill="1"/>
    <xf numFmtId="39" fontId="7" fillId="4" borderId="9" xfId="27" applyNumberFormat="1" applyFont="1" applyFill="1" applyBorder="1"/>
    <xf numFmtId="39" fontId="7" fillId="4" borderId="18" xfId="27" applyNumberFormat="1" applyFont="1" applyFill="1" applyBorder="1"/>
    <xf numFmtId="39" fontId="7" fillId="4" borderId="23" xfId="27" applyNumberFormat="1" applyFont="1" applyFill="1" applyBorder="1"/>
    <xf numFmtId="175" fontId="7" fillId="4" borderId="37" xfId="30" applyNumberFormat="1" applyFont="1" applyFill="1" applyBorder="1"/>
    <xf numFmtId="7" fontId="7" fillId="4" borderId="18" xfId="27" applyNumberFormat="1" applyFont="1" applyFill="1" applyBorder="1"/>
    <xf numFmtId="168" fontId="7" fillId="4" borderId="23" xfId="27" applyNumberFormat="1" applyFont="1" applyFill="1" applyBorder="1"/>
    <xf numFmtId="175" fontId="6" fillId="4" borderId="37" xfId="30" applyNumberFormat="1" applyFont="1" applyFill="1" applyBorder="1"/>
    <xf numFmtId="7" fontId="6" fillId="4" borderId="18" xfId="27" applyNumberFormat="1" applyFont="1" applyFill="1" applyBorder="1"/>
    <xf numFmtId="168" fontId="6" fillId="4" borderId="0" xfId="27" applyNumberFormat="1" applyFont="1" applyFill="1"/>
    <xf numFmtId="175" fontId="7" fillId="4" borderId="32" xfId="30" applyNumberFormat="1" applyFont="1" applyFill="1" applyBorder="1"/>
    <xf numFmtId="7" fontId="7" fillId="4" borderId="0" xfId="27" applyNumberFormat="1" applyFont="1" applyFill="1"/>
    <xf numFmtId="168" fontId="7" fillId="4" borderId="33" xfId="27" applyNumberFormat="1" applyFont="1" applyFill="1" applyBorder="1"/>
    <xf numFmtId="175" fontId="6" fillId="4" borderId="18" xfId="30" applyNumberFormat="1" applyFont="1" applyFill="1" applyBorder="1"/>
    <xf numFmtId="168" fontId="6" fillId="4" borderId="18" xfId="27" applyNumberFormat="1" applyFont="1" applyFill="1" applyBorder="1"/>
    <xf numFmtId="168" fontId="7" fillId="4" borderId="39" xfId="27" applyNumberFormat="1" applyFont="1" applyFill="1" applyBorder="1"/>
    <xf numFmtId="168" fontId="7" fillId="4" borderId="0" xfId="27" applyNumberFormat="1" applyFont="1" applyFill="1"/>
    <xf numFmtId="0" fontId="6" fillId="4" borderId="37" xfId="27" applyFont="1" applyFill="1" applyBorder="1" applyAlignment="1">
      <alignment horizontal="center"/>
    </xf>
    <xf numFmtId="0" fontId="6" fillId="4" borderId="4" xfId="27" applyFont="1" applyFill="1" applyBorder="1" applyAlignment="1">
      <alignment horizontal="right"/>
    </xf>
    <xf numFmtId="0" fontId="6" fillId="4" borderId="9" xfId="27" applyFont="1" applyFill="1" applyBorder="1" applyAlignment="1">
      <alignment horizontal="center"/>
    </xf>
    <xf numFmtId="0" fontId="7" fillId="4" borderId="10" xfId="27" applyFont="1" applyFill="1" applyBorder="1" applyAlignment="1">
      <alignment horizontal="center"/>
    </xf>
    <xf numFmtId="0" fontId="6" fillId="4" borderId="10" xfId="27" applyFont="1" applyFill="1" applyBorder="1" applyAlignment="1">
      <alignment horizontal="center"/>
    </xf>
    <xf numFmtId="0" fontId="6" fillId="4" borderId="32" xfId="27" applyFont="1" applyFill="1" applyBorder="1" applyAlignment="1">
      <alignment horizontal="center"/>
    </xf>
    <xf numFmtId="0" fontId="7" fillId="4" borderId="0" xfId="27" applyFont="1" applyFill="1" applyAlignment="1">
      <alignment horizontal="center" wrapText="1"/>
    </xf>
    <xf numFmtId="14" fontId="7" fillId="4" borderId="32" xfId="27" applyNumberFormat="1" applyFont="1" applyFill="1" applyBorder="1" applyAlignment="1">
      <alignment horizontal="center"/>
    </xf>
    <xf numFmtId="14" fontId="7" fillId="4" borderId="0" xfId="27" applyNumberFormat="1" applyFont="1" applyFill="1" applyAlignment="1">
      <alignment horizontal="center"/>
    </xf>
    <xf numFmtId="14" fontId="7" fillId="4" borderId="4" xfId="27" applyNumberFormat="1" applyFont="1" applyFill="1" applyBorder="1" applyAlignment="1">
      <alignment horizontal="center"/>
    </xf>
    <xf numFmtId="7" fontId="6" fillId="4" borderId="0" xfId="27" applyNumberFormat="1" applyFont="1" applyFill="1" applyAlignment="1">
      <alignment horizontal="center"/>
    </xf>
    <xf numFmtId="0" fontId="7" fillId="0" borderId="0" xfId="31" applyFont="1"/>
    <xf numFmtId="0" fontId="7" fillId="0" borderId="0" xfId="31" applyFont="1" applyAlignment="1">
      <alignment horizontal="center"/>
    </xf>
    <xf numFmtId="37" fontId="7" fillId="0" borderId="0" xfId="31" applyNumberFormat="1" applyFont="1" applyAlignment="1">
      <alignment horizontal="center"/>
    </xf>
    <xf numFmtId="37" fontId="7" fillId="0" borderId="0" xfId="31" applyNumberFormat="1" applyFont="1"/>
    <xf numFmtId="5" fontId="7" fillId="0" borderId="0" xfId="31" applyNumberFormat="1" applyFont="1" applyAlignment="1">
      <alignment horizontal="center"/>
    </xf>
    <xf numFmtId="5" fontId="7" fillId="0" borderId="0" xfId="31" applyNumberFormat="1" applyFont="1"/>
    <xf numFmtId="5" fontId="7" fillId="0" borderId="0" xfId="31" applyNumberFormat="1" applyFont="1" applyAlignment="1">
      <alignment horizontal="right"/>
    </xf>
    <xf numFmtId="37" fontId="16" fillId="0" borderId="0" xfId="31" applyNumberFormat="1" applyFont="1"/>
    <xf numFmtId="0" fontId="6" fillId="0" borderId="0" xfId="31" applyFont="1"/>
    <xf numFmtId="168" fontId="7" fillId="0" borderId="0" xfId="31" applyNumberFormat="1" applyFont="1" applyAlignment="1">
      <alignment horizontal="center"/>
    </xf>
    <xf numFmtId="168" fontId="7" fillId="0" borderId="0" xfId="31" applyNumberFormat="1" applyFont="1"/>
    <xf numFmtId="168" fontId="7" fillId="0" borderId="0" xfId="31" applyNumberFormat="1" applyFont="1" applyAlignment="1">
      <alignment horizontal="right"/>
    </xf>
    <xf numFmtId="37" fontId="7" fillId="0" borderId="0" xfId="31" applyNumberFormat="1" applyFont="1" applyAlignment="1">
      <alignment horizontal="right"/>
    </xf>
    <xf numFmtId="37" fontId="7" fillId="9" borderId="9" xfId="31" applyNumberFormat="1" applyFont="1" applyFill="1" applyBorder="1"/>
    <xf numFmtId="37" fontId="7" fillId="9" borderId="10" xfId="31" applyNumberFormat="1" applyFont="1" applyFill="1" applyBorder="1"/>
    <xf numFmtId="0" fontId="7" fillId="9" borderId="10" xfId="31" applyFont="1" applyFill="1" applyBorder="1"/>
    <xf numFmtId="0" fontId="7" fillId="9" borderId="0" xfId="31" applyFont="1" applyFill="1"/>
    <xf numFmtId="37" fontId="7" fillId="9" borderId="37" xfId="31" applyNumberFormat="1" applyFont="1" applyFill="1" applyBorder="1"/>
    <xf numFmtId="0" fontId="7" fillId="9" borderId="18" xfId="31" applyFont="1" applyFill="1" applyBorder="1"/>
    <xf numFmtId="37" fontId="7" fillId="9" borderId="32" xfId="31" applyNumberFormat="1" applyFont="1" applyFill="1" applyBorder="1"/>
    <xf numFmtId="37" fontId="7" fillId="9" borderId="0" xfId="31" applyNumberFormat="1" applyFont="1" applyFill="1"/>
    <xf numFmtId="0" fontId="31" fillId="9" borderId="0" xfId="31" applyFont="1" applyFill="1"/>
    <xf numFmtId="0" fontId="7" fillId="0" borderId="9" xfId="31" applyFont="1" applyBorder="1"/>
    <xf numFmtId="0" fontId="7" fillId="0" borderId="10" xfId="31" applyFont="1" applyBorder="1"/>
    <xf numFmtId="0" fontId="7" fillId="0" borderId="32" xfId="31" applyFont="1" applyBorder="1"/>
    <xf numFmtId="184" fontId="3" fillId="0" borderId="0" xfId="31" applyNumberFormat="1" applyFont="1"/>
    <xf numFmtId="37" fontId="3" fillId="0" borderId="0" xfId="31" applyNumberFormat="1" applyFont="1" applyAlignment="1">
      <alignment horizontal="center"/>
    </xf>
    <xf numFmtId="184" fontId="7" fillId="0" borderId="0" xfId="31" applyNumberFormat="1" applyFont="1"/>
    <xf numFmtId="0" fontId="7" fillId="4" borderId="44" xfId="31" applyFont="1" applyFill="1" applyBorder="1"/>
    <xf numFmtId="0" fontId="6" fillId="4" borderId="44" xfId="31" applyFont="1" applyFill="1" applyBorder="1"/>
    <xf numFmtId="0" fontId="7" fillId="4" borderId="0" xfId="31" applyFont="1" applyFill="1" applyAlignment="1">
      <alignment horizontal="center"/>
    </xf>
    <xf numFmtId="0" fontId="7" fillId="4" borderId="0" xfId="31" applyFont="1" applyFill="1"/>
    <xf numFmtId="0" fontId="6" fillId="4" borderId="0" xfId="31" applyFont="1" applyFill="1"/>
    <xf numFmtId="179" fontId="7" fillId="0" borderId="0" xfId="31" applyNumberFormat="1" applyFont="1" applyAlignment="1">
      <alignment horizontal="center"/>
    </xf>
    <xf numFmtId="0" fontId="7" fillId="4" borderId="32" xfId="31" applyFont="1" applyFill="1" applyBorder="1"/>
    <xf numFmtId="0" fontId="7" fillId="4" borderId="19" xfId="31" applyFont="1" applyFill="1" applyBorder="1"/>
    <xf numFmtId="3" fontId="1" fillId="0" borderId="0" xfId="32" applyNumberFormat="1"/>
    <xf numFmtId="3" fontId="1" fillId="0" borderId="0" xfId="33" applyNumberFormat="1"/>
    <xf numFmtId="3" fontId="7" fillId="0" borderId="0" xfId="31" applyNumberFormat="1" applyFont="1"/>
    <xf numFmtId="0" fontId="7" fillId="8" borderId="0" xfId="31" applyFont="1" applyFill="1" applyAlignment="1">
      <alignment horizontal="center"/>
    </xf>
    <xf numFmtId="0" fontId="12" fillId="4" borderId="0" xfId="31" applyFont="1" applyFill="1"/>
    <xf numFmtId="180" fontId="30" fillId="0" borderId="0" xfId="31" applyNumberFormat="1" applyFont="1" applyAlignment="1">
      <alignment horizontal="center"/>
    </xf>
    <xf numFmtId="37" fontId="6" fillId="0" borderId="0" xfId="31" applyNumberFormat="1" applyFont="1" applyAlignment="1">
      <alignment horizontal="center"/>
    </xf>
    <xf numFmtId="0" fontId="7" fillId="4" borderId="30" xfId="31" applyFont="1" applyFill="1" applyBorder="1"/>
    <xf numFmtId="0" fontId="7" fillId="4" borderId="7" xfId="31" applyFont="1" applyFill="1" applyBorder="1"/>
    <xf numFmtId="0" fontId="6" fillId="4" borderId="29" xfId="31" applyFont="1" applyFill="1" applyBorder="1"/>
    <xf numFmtId="43" fontId="7" fillId="0" borderId="0" xfId="31" applyNumberFormat="1" applyFont="1"/>
    <xf numFmtId="179" fontId="7" fillId="0" borderId="0" xfId="31" applyNumberFormat="1" applyFont="1"/>
    <xf numFmtId="182" fontId="7" fillId="0" borderId="0" xfId="31" applyNumberFormat="1" applyFont="1"/>
    <xf numFmtId="7" fontId="7" fillId="0" borderId="0" xfId="31" applyNumberFormat="1" applyFont="1"/>
    <xf numFmtId="37" fontId="7" fillId="0" borderId="32" xfId="31" applyNumberFormat="1" applyFont="1" applyBorder="1"/>
    <xf numFmtId="180" fontId="7" fillId="0" borderId="0" xfId="31" applyNumberFormat="1" applyFont="1" applyAlignment="1">
      <alignment horizontal="center"/>
    </xf>
    <xf numFmtId="5" fontId="7" fillId="0" borderId="32" xfId="31" applyNumberFormat="1" applyFont="1" applyBorder="1"/>
    <xf numFmtId="0" fontId="6" fillId="0" borderId="0" xfId="31" applyFont="1" applyAlignment="1">
      <alignment horizontal="center"/>
    </xf>
    <xf numFmtId="0" fontId="7" fillId="0" borderId="32" xfId="31" applyFont="1" applyBorder="1" applyAlignment="1">
      <alignment horizontal="center"/>
    </xf>
    <xf numFmtId="0" fontId="7" fillId="0" borderId="37" xfId="31" applyFont="1" applyBorder="1" applyAlignment="1">
      <alignment horizontal="center"/>
    </xf>
    <xf numFmtId="0" fontId="7" fillId="0" borderId="18" xfId="31" applyFont="1" applyBorder="1" applyAlignment="1">
      <alignment horizontal="center"/>
    </xf>
    <xf numFmtId="0" fontId="16" fillId="0" borderId="0" xfId="31" quotePrefix="1" applyFont="1" applyAlignment="1">
      <alignment horizontal="center"/>
    </xf>
    <xf numFmtId="0" fontId="7" fillId="0" borderId="4" xfId="31" quotePrefix="1" applyFont="1" applyBorder="1" applyAlignment="1">
      <alignment horizontal="center"/>
    </xf>
    <xf numFmtId="0" fontId="7" fillId="0" borderId="0" xfId="31" quotePrefix="1" applyFont="1" applyAlignment="1">
      <alignment horizontal="center"/>
    </xf>
    <xf numFmtId="0" fontId="7" fillId="0" borderId="30" xfId="31" applyFont="1" applyBorder="1"/>
    <xf numFmtId="0" fontId="7" fillId="0" borderId="7" xfId="31" applyFont="1" applyBorder="1"/>
    <xf numFmtId="0" fontId="6" fillId="0" borderId="29" xfId="31" applyFont="1" applyBorder="1"/>
    <xf numFmtId="0" fontId="7" fillId="0" borderId="0" xfId="31" quotePrefix="1" applyFont="1"/>
    <xf numFmtId="44" fontId="7" fillId="0" borderId="0" xfId="31" applyNumberFormat="1" applyFont="1"/>
    <xf numFmtId="37" fontId="6" fillId="0" borderId="0" xfId="31" applyNumberFormat="1" applyFont="1"/>
    <xf numFmtId="179" fontId="6" fillId="0" borderId="0" xfId="31" applyNumberFormat="1" applyFont="1" applyAlignment="1">
      <alignment horizontal="center"/>
    </xf>
    <xf numFmtId="189" fontId="7" fillId="4" borderId="0" xfId="31" applyNumberFormat="1" applyFont="1" applyFill="1"/>
    <xf numFmtId="5" fontId="7" fillId="4" borderId="0" xfId="31" applyNumberFormat="1" applyFont="1" applyFill="1"/>
    <xf numFmtId="5" fontId="7" fillId="4" borderId="18" xfId="31" applyNumberFormat="1" applyFont="1" applyFill="1" applyBorder="1"/>
    <xf numFmtId="168" fontId="7" fillId="4" borderId="0" xfId="31" applyNumberFormat="1" applyFont="1" applyFill="1"/>
    <xf numFmtId="188" fontId="7" fillId="4" borderId="0" xfId="31" applyNumberFormat="1" applyFont="1" applyFill="1"/>
    <xf numFmtId="10" fontId="7" fillId="4" borderId="0" xfId="31" applyNumberFormat="1" applyFont="1" applyFill="1"/>
    <xf numFmtId="37" fontId="7" fillId="4" borderId="0" xfId="31" applyNumberFormat="1" applyFont="1" applyFill="1"/>
    <xf numFmtId="0" fontId="31" fillId="4" borderId="0" xfId="31" applyFont="1" applyFill="1" applyAlignment="1">
      <alignment horizontal="center"/>
    </xf>
    <xf numFmtId="7" fontId="7" fillId="4" borderId="0" xfId="31" applyNumberFormat="1" applyFont="1" applyFill="1"/>
    <xf numFmtId="0" fontId="7" fillId="4" borderId="0" xfId="31" quotePrefix="1" applyFont="1" applyFill="1" applyAlignment="1">
      <alignment horizontal="center"/>
    </xf>
    <xf numFmtId="0" fontId="7" fillId="4" borderId="0" xfId="31" quotePrefix="1" applyFont="1" applyFill="1"/>
    <xf numFmtId="192" fontId="7" fillId="4" borderId="0" xfId="31" applyNumberFormat="1" applyFont="1" applyFill="1" applyAlignment="1">
      <alignment horizontal="center"/>
    </xf>
    <xf numFmtId="190" fontId="7" fillId="4" borderId="0" xfId="31" applyNumberFormat="1" applyFont="1" applyFill="1" applyAlignment="1">
      <alignment horizontal="center"/>
    </xf>
    <xf numFmtId="191" fontId="7" fillId="4" borderId="0" xfId="31" applyNumberFormat="1" applyFont="1" applyFill="1"/>
    <xf numFmtId="190" fontId="7" fillId="4" borderId="0" xfId="31" applyNumberFormat="1" applyFont="1" applyFill="1"/>
    <xf numFmtId="0" fontId="7" fillId="4" borderId="0" xfId="31" applyFont="1" applyFill="1" applyAlignment="1">
      <alignment horizontal="right"/>
    </xf>
    <xf numFmtId="0" fontId="7" fillId="4" borderId="18" xfId="31" applyFont="1" applyFill="1" applyBorder="1" applyAlignment="1">
      <alignment horizontal="center"/>
    </xf>
    <xf numFmtId="165" fontId="7" fillId="4" borderId="0" xfId="31" applyNumberFormat="1" applyFont="1" applyFill="1" applyAlignment="1">
      <alignment horizontal="center"/>
    </xf>
    <xf numFmtId="7" fontId="7" fillId="0" borderId="0" xfId="27" applyNumberFormat="1" applyFont="1"/>
    <xf numFmtId="0" fontId="7" fillId="3" borderId="0" xfId="27" applyFont="1" applyFill="1"/>
    <xf numFmtId="173" fontId="7" fillId="0" borderId="0" xfId="28" applyNumberFormat="1" applyFont="1" applyBorder="1"/>
    <xf numFmtId="43" fontId="7" fillId="0" borderId="0" xfId="28" applyFont="1" applyBorder="1"/>
    <xf numFmtId="174" fontId="7" fillId="0" borderId="0" xfId="28" applyNumberFormat="1" applyFont="1" applyBorder="1"/>
    <xf numFmtId="0" fontId="36" fillId="0" borderId="0" xfId="27" applyFont="1"/>
    <xf numFmtId="0" fontId="4" fillId="0" borderId="0" xfId="27" applyFont="1"/>
    <xf numFmtId="39" fontId="7" fillId="0" borderId="0" xfId="27" applyNumberFormat="1" applyFont="1"/>
    <xf numFmtId="0" fontId="4" fillId="0" borderId="0" xfId="27" applyFont="1" applyAlignment="1">
      <alignment horizontal="center"/>
    </xf>
    <xf numFmtId="175" fontId="7" fillId="0" borderId="0" xfId="27" applyNumberFormat="1" applyFont="1"/>
    <xf numFmtId="10" fontId="7" fillId="0" borderId="0" xfId="30" applyNumberFormat="1" applyFont="1" applyFill="1"/>
    <xf numFmtId="7" fontId="7" fillId="3" borderId="0" xfId="27" applyNumberFormat="1" applyFont="1" applyFill="1"/>
    <xf numFmtId="0" fontId="6" fillId="0" borderId="0" xfId="27" applyFont="1" applyAlignment="1">
      <alignment horizontal="left"/>
    </xf>
    <xf numFmtId="0" fontId="6" fillId="0" borderId="0" xfId="27" applyFont="1" applyAlignment="1">
      <alignment horizontal="centerContinuous"/>
    </xf>
    <xf numFmtId="7" fontId="6" fillId="0" borderId="0" xfId="27" applyNumberFormat="1" applyFont="1" applyAlignment="1">
      <alignment horizontal="centerContinuous"/>
    </xf>
    <xf numFmtId="7" fontId="6" fillId="0" borderId="0" xfId="27" applyNumberFormat="1" applyFont="1" applyAlignment="1">
      <alignment horizontal="center"/>
    </xf>
    <xf numFmtId="7" fontId="6" fillId="3" borderId="0" xfId="27" applyNumberFormat="1" applyFont="1" applyFill="1" applyAlignment="1">
      <alignment horizontal="center"/>
    </xf>
    <xf numFmtId="7" fontId="6" fillId="0" borderId="0" xfId="29" applyNumberFormat="1" applyFont="1" applyFill="1" applyBorder="1" applyAlignment="1">
      <alignment horizontal="center"/>
    </xf>
    <xf numFmtId="14" fontId="7" fillId="0" borderId="0" xfId="27" applyNumberFormat="1" applyFont="1" applyAlignment="1">
      <alignment horizontal="center"/>
    </xf>
    <xf numFmtId="14" fontId="7" fillId="0" borderId="4" xfId="27" applyNumberFormat="1" applyFont="1" applyBorder="1" applyAlignment="1">
      <alignment horizontal="center"/>
    </xf>
    <xf numFmtId="14" fontId="7" fillId="3" borderId="0" xfId="27" applyNumberFormat="1" applyFont="1" applyFill="1" applyAlignment="1">
      <alignment horizontal="center"/>
    </xf>
    <xf numFmtId="14" fontId="7" fillId="3" borderId="4" xfId="27" applyNumberFormat="1" applyFont="1" applyFill="1" applyBorder="1" applyAlignment="1">
      <alignment horizontal="center"/>
    </xf>
    <xf numFmtId="0" fontId="7" fillId="0" borderId="4" xfId="27" applyFont="1" applyBorder="1" applyAlignment="1">
      <alignment horizontal="center"/>
    </xf>
    <xf numFmtId="176" fontId="7" fillId="0" borderId="0" xfId="27" applyNumberFormat="1" applyFont="1"/>
    <xf numFmtId="0" fontId="7" fillId="0" borderId="31" xfId="27" applyFont="1" applyBorder="1" applyAlignment="1">
      <alignment horizontal="center"/>
    </xf>
    <xf numFmtId="14" fontId="7" fillId="0" borderId="32" xfId="27" applyNumberFormat="1" applyFont="1" applyBorder="1" applyAlignment="1">
      <alignment horizontal="center"/>
    </xf>
    <xf numFmtId="14" fontId="7" fillId="3" borderId="32" xfId="27" applyNumberFormat="1" applyFont="1" applyFill="1" applyBorder="1" applyAlignment="1">
      <alignment horizontal="center"/>
    </xf>
    <xf numFmtId="14" fontId="7" fillId="0" borderId="33" xfId="27" applyNumberFormat="1" applyFont="1" applyBorder="1" applyAlignment="1">
      <alignment horizontal="center"/>
    </xf>
    <xf numFmtId="0" fontId="6" fillId="0" borderId="32" xfId="27" applyFont="1" applyBorder="1" applyAlignment="1">
      <alignment horizontal="center"/>
    </xf>
    <xf numFmtId="37" fontId="7" fillId="0" borderId="32" xfId="27" applyNumberFormat="1" applyFont="1" applyBorder="1"/>
    <xf numFmtId="0" fontId="7" fillId="3" borderId="0" xfId="27" applyFont="1" applyFill="1" applyAlignment="1">
      <alignment horizontal="center"/>
    </xf>
    <xf numFmtId="0" fontId="6" fillId="3" borderId="32" xfId="27" applyFont="1" applyFill="1" applyBorder="1" applyAlignment="1">
      <alignment horizontal="center"/>
    </xf>
    <xf numFmtId="37" fontId="7" fillId="0" borderId="0" xfId="27" applyNumberFormat="1" applyFont="1" applyAlignment="1">
      <alignment horizontal="center"/>
    </xf>
    <xf numFmtId="0" fontId="6" fillId="0" borderId="33" xfId="27" applyFont="1" applyBorder="1" applyAlignment="1">
      <alignment horizontal="center"/>
    </xf>
    <xf numFmtId="0" fontId="6" fillId="0" borderId="9" xfId="27" applyFont="1" applyBorder="1" applyAlignment="1">
      <alignment horizontal="center"/>
    </xf>
    <xf numFmtId="0" fontId="6" fillId="0" borderId="10" xfId="27" applyFont="1" applyBorder="1" applyAlignment="1">
      <alignment horizontal="center"/>
    </xf>
    <xf numFmtId="0" fontId="6" fillId="3" borderId="10" xfId="27" applyFont="1" applyFill="1" applyBorder="1" applyAlignment="1">
      <alignment horizontal="center"/>
    </xf>
    <xf numFmtId="0" fontId="7" fillId="3" borderId="10" xfId="27" applyFont="1" applyFill="1" applyBorder="1" applyAlignment="1">
      <alignment horizontal="center"/>
    </xf>
    <xf numFmtId="0" fontId="6" fillId="3" borderId="9" xfId="27" applyFont="1" applyFill="1" applyBorder="1" applyAlignment="1">
      <alignment horizontal="center"/>
    </xf>
    <xf numFmtId="0" fontId="6" fillId="0" borderId="34" xfId="27" applyFont="1" applyBorder="1" applyAlignment="1">
      <alignment horizontal="center"/>
    </xf>
    <xf numFmtId="173" fontId="6" fillId="0" borderId="0" xfId="28" applyNumberFormat="1" applyFont="1" applyBorder="1" applyAlignment="1">
      <alignment horizontal="right"/>
    </xf>
    <xf numFmtId="43" fontId="6" fillId="0" borderId="0" xfId="28" applyFont="1" applyBorder="1" applyAlignment="1">
      <alignment horizontal="right"/>
    </xf>
    <xf numFmtId="174" fontId="6" fillId="0" borderId="0" xfId="28" applyNumberFormat="1" applyFont="1" applyBorder="1" applyAlignment="1">
      <alignment horizontal="right"/>
    </xf>
    <xf numFmtId="0" fontId="6" fillId="0" borderId="4" xfId="27" applyFont="1" applyBorder="1" applyAlignment="1">
      <alignment horizontal="center"/>
    </xf>
    <xf numFmtId="0" fontId="6" fillId="0" borderId="4" xfId="27" applyFont="1" applyBorder="1" applyAlignment="1">
      <alignment horizontal="right"/>
    </xf>
    <xf numFmtId="0" fontId="6" fillId="3" borderId="0" xfId="27" applyFont="1" applyFill="1" applyAlignment="1">
      <alignment horizontal="center"/>
    </xf>
    <xf numFmtId="0" fontId="6" fillId="3" borderId="4" xfId="27" applyFont="1" applyFill="1" applyBorder="1" applyAlignment="1">
      <alignment horizontal="right"/>
    </xf>
    <xf numFmtId="0" fontId="6" fillId="0" borderId="35" xfId="27" applyFont="1" applyBorder="1" applyAlignment="1">
      <alignment horizontal="center"/>
    </xf>
    <xf numFmtId="0" fontId="6" fillId="0" borderId="32" xfId="27" applyFont="1" applyBorder="1" applyAlignment="1">
      <alignment horizontal="right"/>
    </xf>
    <xf numFmtId="173" fontId="6" fillId="16" borderId="36" xfId="28" applyNumberFormat="1" applyFont="1" applyFill="1" applyBorder="1" applyAlignment="1">
      <alignment horizontal="right"/>
    </xf>
    <xf numFmtId="43" fontId="6" fillId="16" borderId="36" xfId="28" applyFont="1" applyFill="1" applyBorder="1" applyAlignment="1">
      <alignment horizontal="center"/>
    </xf>
    <xf numFmtId="174" fontId="6" fillId="16" borderId="36" xfId="28" applyNumberFormat="1" applyFont="1" applyFill="1" applyBorder="1" applyAlignment="1">
      <alignment horizontal="right"/>
    </xf>
    <xf numFmtId="174" fontId="6" fillId="16" borderId="36" xfId="28" applyNumberFormat="1" applyFont="1" applyFill="1" applyBorder="1" applyAlignment="1">
      <alignment horizontal="center"/>
    </xf>
    <xf numFmtId="0" fontId="6" fillId="0" borderId="37" xfId="27" applyFont="1" applyBorder="1" applyAlignment="1">
      <alignment horizontal="center"/>
    </xf>
    <xf numFmtId="0" fontId="6" fillId="3" borderId="18" xfId="27" applyFont="1" applyFill="1" applyBorder="1" applyAlignment="1">
      <alignment horizontal="center"/>
    </xf>
    <xf numFmtId="0" fontId="6" fillId="3" borderId="37" xfId="27" applyFont="1" applyFill="1" applyBorder="1" applyAlignment="1">
      <alignment horizontal="center"/>
    </xf>
    <xf numFmtId="0" fontId="6" fillId="0" borderId="38" xfId="27" applyFont="1" applyBorder="1" applyAlignment="1">
      <alignment horizontal="center"/>
    </xf>
    <xf numFmtId="169" fontId="7" fillId="0" borderId="18" xfId="27" applyNumberFormat="1" applyFont="1" applyBorder="1" applyAlignment="1">
      <alignment horizontal="center"/>
    </xf>
    <xf numFmtId="7" fontId="7" fillId="0" borderId="18" xfId="27" applyNumberFormat="1" applyFont="1" applyBorder="1"/>
    <xf numFmtId="175" fontId="7" fillId="0" borderId="37" xfId="30" applyNumberFormat="1" applyFont="1" applyFill="1" applyBorder="1"/>
    <xf numFmtId="168" fontId="7" fillId="3" borderId="18" xfId="27" applyNumberFormat="1" applyFont="1" applyFill="1" applyBorder="1"/>
    <xf numFmtId="7" fontId="7" fillId="3" borderId="18" xfId="27" applyNumberFormat="1" applyFont="1" applyFill="1" applyBorder="1"/>
    <xf numFmtId="175" fontId="7" fillId="3" borderId="37" xfId="30" applyNumberFormat="1" applyFont="1" applyFill="1" applyBorder="1"/>
    <xf numFmtId="175" fontId="7" fillId="0" borderId="37" xfId="30" applyNumberFormat="1" applyFont="1" applyBorder="1"/>
    <xf numFmtId="7" fontId="7" fillId="0" borderId="0" xfId="28" applyNumberFormat="1" applyFont="1" applyBorder="1"/>
    <xf numFmtId="39" fontId="7" fillId="0" borderId="18" xfId="27" applyNumberFormat="1" applyFont="1" applyBorder="1"/>
    <xf numFmtId="175" fontId="7" fillId="0" borderId="38" xfId="30" applyNumberFormat="1" applyFont="1" applyBorder="1"/>
    <xf numFmtId="168" fontId="7" fillId="0" borderId="36" xfId="27" applyNumberFormat="1" applyFont="1" applyBorder="1"/>
    <xf numFmtId="44" fontId="7" fillId="0" borderId="36" xfId="29" applyFont="1" applyBorder="1"/>
    <xf numFmtId="7" fontId="7" fillId="0" borderId="36" xfId="29" applyNumberFormat="1" applyFont="1" applyBorder="1"/>
    <xf numFmtId="175" fontId="7" fillId="0" borderId="38" xfId="30" applyNumberFormat="1" applyFont="1" applyFill="1" applyBorder="1"/>
    <xf numFmtId="7" fontId="7" fillId="0" borderId="36" xfId="29" applyNumberFormat="1" applyFont="1" applyFill="1" applyBorder="1"/>
    <xf numFmtId="44" fontId="7" fillId="0" borderId="36" xfId="29" applyFont="1" applyFill="1" applyBorder="1"/>
    <xf numFmtId="175" fontId="7" fillId="0" borderId="32" xfId="30" applyNumberFormat="1" applyFont="1" applyFill="1" applyBorder="1"/>
    <xf numFmtId="168" fontId="7" fillId="3" borderId="0" xfId="27" applyNumberFormat="1" applyFont="1" applyFill="1"/>
    <xf numFmtId="175" fontId="7" fillId="3" borderId="32" xfId="30" applyNumberFormat="1" applyFont="1" applyFill="1" applyBorder="1"/>
    <xf numFmtId="175" fontId="7" fillId="0" borderId="32" xfId="30" applyNumberFormat="1" applyFont="1" applyBorder="1"/>
    <xf numFmtId="169" fontId="7" fillId="0" borderId="32" xfId="27" applyNumberFormat="1" applyFont="1" applyBorder="1"/>
    <xf numFmtId="169" fontId="7" fillId="0" borderId="33" xfId="27" applyNumberFormat="1" applyFont="1" applyBorder="1"/>
    <xf numFmtId="167" fontId="7" fillId="0" borderId="0" xfId="27" applyNumberFormat="1" applyFont="1"/>
    <xf numFmtId="171" fontId="6" fillId="0" borderId="18" xfId="27" applyNumberFormat="1" applyFont="1" applyBorder="1" applyAlignment="1">
      <alignment horizontal="center"/>
    </xf>
    <xf numFmtId="37" fontId="6" fillId="0" borderId="18" xfId="27" applyNumberFormat="1" applyFont="1" applyBorder="1"/>
    <xf numFmtId="37" fontId="6" fillId="0" borderId="18" xfId="27" applyNumberFormat="1" applyFont="1" applyBorder="1" applyAlignment="1">
      <alignment horizontal="center"/>
    </xf>
    <xf numFmtId="167" fontId="6" fillId="0" borderId="18" xfId="27" applyNumberFormat="1" applyFont="1" applyBorder="1"/>
    <xf numFmtId="7" fontId="6" fillId="0" borderId="18" xfId="27" applyNumberFormat="1" applyFont="1" applyBorder="1"/>
    <xf numFmtId="168" fontId="6" fillId="0" borderId="18" xfId="27" applyNumberFormat="1" applyFont="1" applyBorder="1"/>
    <xf numFmtId="175" fontId="6" fillId="0" borderId="37" xfId="30" applyNumberFormat="1" applyFont="1" applyFill="1" applyBorder="1"/>
    <xf numFmtId="168" fontId="6" fillId="3" borderId="18" xfId="27" applyNumberFormat="1" applyFont="1" applyFill="1" applyBorder="1"/>
    <xf numFmtId="7" fontId="6" fillId="3" borderId="18" xfId="27" applyNumberFormat="1" applyFont="1" applyFill="1" applyBorder="1"/>
    <xf numFmtId="175" fontId="6" fillId="3" borderId="37" xfId="30" applyNumberFormat="1" applyFont="1" applyFill="1" applyBorder="1"/>
    <xf numFmtId="169" fontId="6" fillId="0" borderId="18" xfId="27" applyNumberFormat="1" applyFont="1" applyBorder="1"/>
    <xf numFmtId="39" fontId="6" fillId="0" borderId="18" xfId="27" applyNumberFormat="1" applyFont="1" applyBorder="1"/>
    <xf numFmtId="175" fontId="6" fillId="0" borderId="38" xfId="30" applyNumberFormat="1" applyFont="1" applyBorder="1"/>
    <xf numFmtId="175" fontId="6" fillId="0" borderId="32" xfId="30" applyNumberFormat="1" applyFont="1" applyBorder="1"/>
    <xf numFmtId="175" fontId="6" fillId="0" borderId="33" xfId="30" applyNumberFormat="1" applyFont="1" applyBorder="1"/>
    <xf numFmtId="167" fontId="6" fillId="0" borderId="0" xfId="27" applyNumberFormat="1" applyFont="1"/>
    <xf numFmtId="7" fontId="6" fillId="0" borderId="0" xfId="27" applyNumberFormat="1" applyFont="1"/>
    <xf numFmtId="168" fontId="7" fillId="0" borderId="20" xfId="27" applyNumberFormat="1" applyFont="1" applyBorder="1"/>
    <xf numFmtId="7" fontId="7" fillId="0" borderId="20" xfId="29" applyNumberFormat="1" applyFont="1" applyBorder="1"/>
    <xf numFmtId="7" fontId="7" fillId="0" borderId="20" xfId="29" applyNumberFormat="1" applyFont="1" applyFill="1" applyBorder="1"/>
    <xf numFmtId="44" fontId="7" fillId="0" borderId="20" xfId="29" applyFont="1" applyBorder="1"/>
    <xf numFmtId="175" fontId="6" fillId="0" borderId="37" xfId="30" applyNumberFormat="1" applyFont="1" applyBorder="1"/>
    <xf numFmtId="0" fontId="7" fillId="0" borderId="18" xfId="27" applyFont="1" applyBorder="1"/>
    <xf numFmtId="43" fontId="7" fillId="0" borderId="0" xfId="28" applyFont="1" applyFill="1" applyBorder="1"/>
    <xf numFmtId="174" fontId="7" fillId="0" borderId="0" xfId="28" applyNumberFormat="1" applyFont="1" applyFill="1" applyBorder="1"/>
    <xf numFmtId="175" fontId="6" fillId="0" borderId="38" xfId="30" applyNumberFormat="1" applyFont="1" applyFill="1" applyBorder="1"/>
    <xf numFmtId="175" fontId="6" fillId="0" borderId="32" xfId="30" applyNumberFormat="1" applyFont="1" applyFill="1" applyBorder="1"/>
    <xf numFmtId="168" fontId="6" fillId="0" borderId="0" xfId="27" applyNumberFormat="1" applyFont="1"/>
    <xf numFmtId="168" fontId="6" fillId="3" borderId="0" xfId="27" applyNumberFormat="1" applyFont="1" applyFill="1"/>
    <xf numFmtId="169" fontId="7" fillId="0" borderId="23" xfId="27" applyNumberFormat="1" applyFont="1" applyBorder="1" applyAlignment="1">
      <alignment horizontal="center"/>
    </xf>
    <xf numFmtId="167" fontId="7" fillId="0" borderId="23" xfId="27" applyNumberFormat="1" applyFont="1" applyBorder="1"/>
    <xf numFmtId="7" fontId="7" fillId="0" borderId="23" xfId="27" applyNumberFormat="1" applyFont="1" applyBorder="1"/>
    <xf numFmtId="168" fontId="7" fillId="0" borderId="23" xfId="27" applyNumberFormat="1" applyFont="1" applyBorder="1"/>
    <xf numFmtId="175" fontId="7" fillId="0" borderId="40" xfId="30" applyNumberFormat="1" applyFont="1" applyFill="1" applyBorder="1"/>
    <xf numFmtId="168" fontId="7" fillId="3" borderId="23" xfId="27" applyNumberFormat="1" applyFont="1" applyFill="1" applyBorder="1"/>
    <xf numFmtId="175" fontId="7" fillId="0" borderId="40" xfId="30" applyNumberFormat="1" applyFont="1" applyBorder="1"/>
    <xf numFmtId="175" fontId="7" fillId="0" borderId="37" xfId="30" applyNumberFormat="1" applyFont="1" applyBorder="1" applyAlignment="1">
      <alignment horizontal="center"/>
    </xf>
    <xf numFmtId="175" fontId="7" fillId="0" borderId="38" xfId="30" applyNumberFormat="1" applyFont="1" applyBorder="1" applyAlignment="1">
      <alignment horizontal="center"/>
    </xf>
    <xf numFmtId="167" fontId="7" fillId="0" borderId="18" xfId="27" applyNumberFormat="1" applyFont="1" applyBorder="1"/>
    <xf numFmtId="39" fontId="7" fillId="0" borderId="9" xfId="27" applyNumberFormat="1" applyFont="1" applyBorder="1"/>
    <xf numFmtId="39" fontId="7" fillId="0" borderId="23" xfId="27" applyNumberFormat="1" applyFont="1" applyBorder="1"/>
    <xf numFmtId="39" fontId="7" fillId="3" borderId="23" xfId="27" applyNumberFormat="1" applyFont="1" applyFill="1" applyBorder="1"/>
    <xf numFmtId="39" fontId="7" fillId="3" borderId="18" xfId="27" applyNumberFormat="1" applyFont="1" applyFill="1" applyBorder="1"/>
    <xf numFmtId="39" fontId="7" fillId="3" borderId="9" xfId="27" applyNumberFormat="1" applyFont="1" applyFill="1" applyBorder="1"/>
    <xf numFmtId="175" fontId="6" fillId="0" borderId="9" xfId="30" applyNumberFormat="1" applyFont="1" applyFill="1" applyBorder="1"/>
    <xf numFmtId="175" fontId="7" fillId="0" borderId="9" xfId="30" applyNumberFormat="1" applyFont="1" applyBorder="1" applyAlignment="1">
      <alignment horizontal="center"/>
    </xf>
    <xf numFmtId="175" fontId="7" fillId="0" borderId="34" xfId="30" applyNumberFormat="1" applyFont="1" applyBorder="1" applyAlignment="1">
      <alignment horizontal="center"/>
    </xf>
    <xf numFmtId="39" fontId="7" fillId="3" borderId="0" xfId="27" applyNumberFormat="1" applyFont="1" applyFill="1"/>
    <xf numFmtId="175" fontId="6" fillId="0" borderId="0" xfId="30" applyNumberFormat="1" applyFont="1" applyBorder="1"/>
    <xf numFmtId="0" fontId="7" fillId="0" borderId="29" xfId="27" applyFont="1" applyBorder="1"/>
    <xf numFmtId="0" fontId="7" fillId="2" borderId="7" xfId="27" applyFont="1" applyFill="1" applyBorder="1" applyAlignment="1">
      <alignment horizontal="center"/>
    </xf>
    <xf numFmtId="175" fontId="7" fillId="3" borderId="0" xfId="27" applyNumberFormat="1" applyFont="1" applyFill="1"/>
    <xf numFmtId="37" fontId="7" fillId="0" borderId="34" xfId="27" applyNumberFormat="1" applyFont="1" applyBorder="1"/>
    <xf numFmtId="37" fontId="7" fillId="0" borderId="10" xfId="27" applyNumberFormat="1" applyFont="1" applyBorder="1"/>
    <xf numFmtId="0" fontId="7" fillId="3" borderId="7" xfId="27" applyFont="1" applyFill="1" applyBorder="1" applyAlignment="1">
      <alignment horizontal="center"/>
    </xf>
    <xf numFmtId="37" fontId="7" fillId="0" borderId="29" xfId="27" applyNumberFormat="1" applyFont="1" applyBorder="1"/>
    <xf numFmtId="0" fontId="3" fillId="4" borderId="0" xfId="27" applyFont="1" applyFill="1"/>
    <xf numFmtId="0" fontId="16" fillId="2" borderId="7" xfId="27" applyFont="1" applyFill="1" applyBorder="1" applyAlignment="1">
      <alignment horizontal="center"/>
    </xf>
    <xf numFmtId="0" fontId="16" fillId="5" borderId="7" xfId="27" applyFont="1" applyFill="1" applyBorder="1" applyAlignment="1">
      <alignment horizontal="center"/>
    </xf>
    <xf numFmtId="0" fontId="16" fillId="2" borderId="10" xfId="27" applyFont="1" applyFill="1" applyBorder="1" applyAlignment="1">
      <alignment horizontal="center"/>
    </xf>
    <xf numFmtId="167" fontId="30" fillId="0" borderId="18" xfId="27" applyNumberFormat="1" applyFont="1" applyBorder="1"/>
    <xf numFmtId="39" fontId="30" fillId="0" borderId="18" xfId="27" applyNumberFormat="1" applyFont="1" applyBorder="1"/>
    <xf numFmtId="175" fontId="3" fillId="0" borderId="36" xfId="30" applyNumberFormat="1" applyFont="1" applyBorder="1"/>
    <xf numFmtId="175" fontId="3" fillId="0" borderId="20" xfId="30" applyNumberFormat="1" applyFont="1" applyBorder="1"/>
    <xf numFmtId="175" fontId="3" fillId="0" borderId="36" xfId="30" applyNumberFormat="1" applyFont="1" applyFill="1" applyBorder="1"/>
    <xf numFmtId="0" fontId="36" fillId="15" borderId="23" xfId="27" applyFont="1" applyFill="1" applyBorder="1" applyAlignment="1">
      <alignment horizontal="centerContinuous"/>
    </xf>
    <xf numFmtId="7" fontId="37" fillId="4" borderId="0" xfId="27" applyNumberFormat="1" applyFont="1" applyFill="1"/>
    <xf numFmtId="0" fontId="6" fillId="10" borderId="0" xfId="27" applyFont="1" applyFill="1" applyAlignment="1">
      <alignment horizontal="center" wrapText="1"/>
    </xf>
    <xf numFmtId="0" fontId="6" fillId="10" borderId="10" xfId="27" applyFont="1" applyFill="1" applyBorder="1" applyAlignment="1">
      <alignment horizontal="center" wrapText="1"/>
    </xf>
    <xf numFmtId="0" fontId="7" fillId="11" borderId="0" xfId="27" applyFont="1" applyFill="1" applyAlignment="1">
      <alignment horizontal="center" wrapText="1"/>
    </xf>
    <xf numFmtId="37" fontId="10" fillId="0" borderId="1" xfId="27" applyNumberFormat="1" applyFont="1" applyBorder="1" applyAlignment="1">
      <alignment horizontal="center"/>
    </xf>
    <xf numFmtId="37" fontId="10" fillId="0" borderId="2" xfId="27" applyNumberFormat="1" applyFont="1" applyBorder="1" applyAlignment="1">
      <alignment horizontal="center"/>
    </xf>
    <xf numFmtId="37" fontId="10" fillId="0" borderId="3" xfId="27" applyNumberFormat="1" applyFont="1" applyBorder="1" applyAlignment="1">
      <alignment horizontal="center"/>
    </xf>
    <xf numFmtId="0" fontId="6" fillId="0" borderId="18" xfId="27" applyFont="1" applyBorder="1" applyAlignment="1">
      <alignment horizontal="center"/>
    </xf>
    <xf numFmtId="0" fontId="6" fillId="0" borderId="0" xfId="27" applyFont="1" applyAlignment="1">
      <alignment wrapText="1"/>
    </xf>
    <xf numFmtId="0" fontId="7" fillId="0" borderId="0" xfId="27" applyFont="1" applyAlignment="1">
      <alignment wrapText="1"/>
    </xf>
    <xf numFmtId="37" fontId="6" fillId="0" borderId="0" xfId="27" applyNumberFormat="1" applyFont="1" applyAlignment="1">
      <alignment horizontal="left" wrapText="1"/>
    </xf>
    <xf numFmtId="0" fontId="6" fillId="0" borderId="0" xfId="27" applyFont="1" applyAlignment="1">
      <alignment horizontal="left" wrapText="1"/>
    </xf>
  </cellXfs>
  <cellStyles count="34">
    <cellStyle name="Comma" xfId="1" builtinId="3"/>
    <cellStyle name="Comma 10 2" xfId="12" xr:uid="{717AE19C-6875-4ADA-9BE1-55B3C3B835FE}"/>
    <cellStyle name="Comma 11" xfId="16" xr:uid="{94500F31-666A-433A-A0D8-CE5A5149A609}"/>
    <cellStyle name="Comma 2" xfId="24" xr:uid="{2BD25D85-E61D-4280-BFD6-428999969C87}"/>
    <cellStyle name="Comma 2 2" xfId="17" xr:uid="{9C34D806-0336-4085-BE8F-E72B1F62C2AD}"/>
    <cellStyle name="Comma 3" xfId="13" xr:uid="{EFA843E3-1E47-415A-B545-93150CDCF7B3}"/>
    <cellStyle name="Comma 4" xfId="28" xr:uid="{711C6E21-D329-4CBF-8A7F-55FAB4B68163}"/>
    <cellStyle name="Currency" xfId="2" builtinId="4"/>
    <cellStyle name="Currency 2" xfId="23" xr:uid="{7ABB6E8A-5C8A-4F12-A5EA-C31FA68E790A}"/>
    <cellStyle name="Currency 3" xfId="29" xr:uid="{353D42FC-733A-4789-9F9B-00F7547961FF}"/>
    <cellStyle name="Normal" xfId="0" builtinId="0"/>
    <cellStyle name="Normal 2" xfId="4" xr:uid="{3983B5E4-797F-4227-AF07-DF34B846169A}"/>
    <cellStyle name="Normal 3" xfId="7" xr:uid="{96669EA5-FE69-4FE1-9AAD-F35452E1CA3E}"/>
    <cellStyle name="Normal 32" xfId="25" xr:uid="{6F413D47-FBE0-4F96-A5B2-16963B2BE2FA}"/>
    <cellStyle name="Normal 32 2" xfId="33" xr:uid="{39BFD46D-E760-40E8-9115-7CFC3FD235F7}"/>
    <cellStyle name="Normal 33" xfId="26" xr:uid="{044232B6-B504-4722-8750-D1FBE9D0CF50}"/>
    <cellStyle name="Normal 33 2" xfId="32" xr:uid="{C554E699-13FB-4BAE-92CA-82B16A351EC3}"/>
    <cellStyle name="Normal 4" xfId="20" xr:uid="{16E476D8-AD03-4546-AC13-20CA1E4552AA}"/>
    <cellStyle name="Normal 5" xfId="27" xr:uid="{A9A88B9A-C83A-4D74-9709-84AD2C0AF844}"/>
    <cellStyle name="Normal 6" xfId="31" xr:uid="{DCDE9554-4C29-4185-A02D-347717E4C08D}"/>
    <cellStyle name="Normal_186302" xfId="19" xr:uid="{93BA6C02-7728-4517-9624-BB1DB6837426}"/>
    <cellStyle name="Normal_2007-08 Flowing dispatch" xfId="22" xr:uid="{A33E28C6-2F8A-4E2F-8107-CCEAD8D062B1}"/>
    <cellStyle name="Normal_4qtr e-workpapers Gas Cost Deferral section pgs1-6" xfId="10" xr:uid="{901FF57B-793E-4162-A058-D10F1700BC2E}"/>
    <cellStyle name="Normal_4th quarter corrections with staff expanded" xfId="9" xr:uid="{80D57850-5A82-4A28-B901-C87CA001A26A}"/>
    <cellStyle name="Normal_4th quarter corrections with staff expanded 2" xfId="15" xr:uid="{7C0A3F68-516E-4B0D-ADC9-F9A5611D9D60}"/>
    <cellStyle name="Normal_4th quarter corrections with staff expanded 2 3" xfId="11" xr:uid="{AB5CD67C-DED0-4B8C-A802-9501F362751C}"/>
    <cellStyle name="Normal_4th quarter corrections with staff expanded 3" xfId="18" xr:uid="{BD7EFA3D-F886-4530-82D4-9E2DB2DF6B17}"/>
    <cellStyle name="Normal_Deferred Accounts Summary 02qtr06" xfId="5" xr:uid="{3A5D3A44-FFF9-46BC-8900-0B149F15BF2C}"/>
    <cellStyle name="Normal_oregon technical incr for August 2002 filing" xfId="6" xr:uid="{8839EC47-AA4A-49D9-A845-7560D2CA1D2E}"/>
    <cellStyle name="Normal_oregon technical incr for August 2002 filing 2" xfId="8" xr:uid="{07FC92A1-EA89-4438-87B1-46871385BF60}"/>
    <cellStyle name="Percent" xfId="3" builtinId="5"/>
    <cellStyle name="Percent 2" xfId="21" xr:uid="{BEC3D3EA-73A3-45BF-B0A3-B051EE3715E2}"/>
    <cellStyle name="Percent 3" xfId="14" xr:uid="{7B63E8D8-8A5E-47C6-9A61-363AE3C31501}"/>
    <cellStyle name="Percent 4" xfId="30" xr:uid="{AE17A537-66FB-486B-8FFA-9EB55147F635}"/>
  </cellStyles>
  <dxfs count="32">
    <dxf>
      <font>
        <color auto="1"/>
      </font>
      <fill>
        <patternFill>
          <bgColor rgb="FF00B050"/>
        </patternFill>
      </fill>
    </dxf>
    <dxf>
      <fill>
        <patternFill>
          <f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f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f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f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f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36.xml"/><Relationship Id="rId55" Type="http://schemas.openxmlformats.org/officeDocument/2006/relationships/externalLink" Target="externalLinks/externalLink41.xml"/><Relationship Id="rId63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5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39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2.xml"/><Relationship Id="rId19" Type="http://schemas.openxmlformats.org/officeDocument/2006/relationships/externalLink" Target="externalLinks/externalLink5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7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59" Type="http://schemas.openxmlformats.org/officeDocument/2006/relationships/calcChain" Target="calcChain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Relationship Id="rId54" Type="http://schemas.openxmlformats.org/officeDocument/2006/relationships/externalLink" Target="externalLinks/externalLink40.xml"/><Relationship Id="rId6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38.xml"/><Relationship Id="rId6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910590</xdr:colOff>
      <xdr:row>0</xdr:row>
      <xdr:rowOff>179070</xdr:rowOff>
    </xdr:from>
    <xdr:to>
      <xdr:col>52</xdr:col>
      <xdr:colOff>1283970</xdr:colOff>
      <xdr:row>5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09F496-3B5B-4721-8650-4B0B0DF6AE6C}"/>
            </a:ext>
          </a:extLst>
        </xdr:cNvPr>
        <xdr:cNvSpPr txBox="1"/>
      </xdr:nvSpPr>
      <xdr:spPr>
        <a:xfrm>
          <a:off x="30711140" y="166370"/>
          <a:ext cx="589280" cy="74485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FF00"/>
              </a:solidFill>
            </a:rPr>
            <a:t>Mp:</a:t>
          </a:r>
          <a:r>
            <a:rPr lang="en-US" sz="1100" baseline="0">
              <a:solidFill>
                <a:srgbClr val="FFFF00"/>
              </a:solidFill>
            </a:rPr>
            <a:t> </a:t>
          </a:r>
          <a:r>
            <a:rPr lang="en-US" sz="1100">
              <a:solidFill>
                <a:srgbClr val="FFFF00"/>
              </a:solidFill>
            </a:rPr>
            <a:t>What goes here?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695325</xdr:colOff>
      <xdr:row>0</xdr:row>
      <xdr:rowOff>104774</xdr:rowOff>
    </xdr:from>
    <xdr:to>
      <xdr:col>22</xdr:col>
      <xdr:colOff>381000</xdr:colOff>
      <xdr:row>4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D5CD913-6B3E-4192-AA13-3A1F0D303AEC}"/>
            </a:ext>
          </a:extLst>
        </xdr:cNvPr>
        <xdr:cNvSpPr txBox="1"/>
      </xdr:nvSpPr>
      <xdr:spPr>
        <a:xfrm>
          <a:off x="12398375" y="104774"/>
          <a:ext cx="974725" cy="6985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Volumes and Increment are pasted as values from the CCA filing file, based on June</a:t>
          </a:r>
          <a:r>
            <a:rPr lang="en-US" sz="1100" baseline="0"/>
            <a:t> 30th Volumes, rate incorporates removing LI 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K%20Attachment%204-C%20-%20Rates%20(rev4)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Refile\NWN%202025-26%20PGA%20WA%20Rate%20Development%20September%20Refile%20with%20OLD%20UPCs.xlsx" TargetMode="External"/><Relationship Id="rId1" Type="http://schemas.openxmlformats.org/officeDocument/2006/relationships/externalLinkPath" Target="/Regulatory_Affairs/PGA%20-%20WASHINGTON/2025/Rate%20Development/Refile/NWN%202025-26%20PGA%20WA%20Rate%20Development%20September%20Refile%20with%20OLD%20UPCs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Lewis\NWN%202025-26%20PGA%20WA%20Rate%20Development%20September%20Filing%20Exhibit%20A.xlsx" TargetMode="External"/><Relationship Id="rId1" Type="http://schemas.openxmlformats.org/officeDocument/2006/relationships/externalLinkPath" Target="/Regulatory_Affairs/Lewis/NWN%202025-26%20PGA%20WA%20Rate%20Development%20September%20Filing%20Exhibit%20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s.nwnatural.com/Users/LeslieM/Documents/Datafile/Adient/RFS%20Documents/11-510-EN_Attachment%205.1%20(Charges)_2020-12-0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GLMonthlyFiles/2007-09/Balance%20Sheet%20-%20Sept%2020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ocuments\excel\2002%20Budget\Payroll%20Increases-Exempt-Mar%200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September\NWN%202025-26%20PGA%20Gas%20Cost%20Development_September%20Filing_WA.xlsx" TargetMode="External"/><Relationship Id="rId1" Type="http://schemas.openxmlformats.org/officeDocument/2006/relationships/externalLinkPath" Target="/Regulatory_Affairs/PGA%20-%20WASHINGTON/2025/September/NWN%202025-26%20PGA%20Gas%20Cost%20Development_September%20Filing_W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s.nwnatural.com/Users/BBG/Documents/TGG/Customers/Northwest%20Natural/Projects/Horizon%201/SOWs/Updated%20ImplementationPlanTaskSheet-10-2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nwnatural.com/Documents%20and%20Settings/jzb/Local%20Settings/Temporary%20Internet%20Files/OLKB8/Oregon%20accounts%2010-16-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partments.nwnatural.com/Bank%20Recons/2009/03.2009/Bank%2051%20Recon%20030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Regulatory_Affairs\Regulatory%20Accounting\Deferred%20Accounts\OPUC%20Qtrly%20files\2012\Q3%202012\Deferred%20Accounts%20Summary%2003QTR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JV'S/DEC_JV9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Financial%20Planning%20and%20Analysis\Forecast%20-%20Board\201009%20Forecast\FCST%20Amortizations%2006-24-10%20for%20LS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Regulatory_Affairs\2004Oregon%20PGA\flowingdispatch_og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Startup" Target="excel/Payroll%20Overhead/proll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Planning%20and%20Analysis\Margin\2008\Margin%20Analysis%2020080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partments.nwnatural.com/Documents%20and%20Settings/kba/Local%20Settings/Temporary%20Internet%20Files/OLKB8/PTO%20accrual%20rat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Corp_Taxation\My_Documents\1120_98\101plant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nwnatural.com/Documents%20and%20Settings/jac/Local%20Settings/Temporary%20Internet%20Files/OLK12/SEC%20Balance%20Sheet%20-%20Final%20Year%202004%20(022105_lsd)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2004%20PGA\2004%20Oregon\ot2004al%20%20sept14%20versio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fd\Local%20Settings\Temporary%20Internet%20Files\OLK176\Margin%20Analysis%20Report%20Form%20200803%20(3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data\Documents%20and%20Settings\blv\Desktop\in%20progress\2006PurLo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%20Shwd%20BC%20Buildout%20Execution%20Budget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Forecast\2007%20Budget\proposed%20temps%202006-2007%20masterforecast%20update%20w19103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Financial%20Planning%20and%20Analysis\Forecast%20-%20Board\201005%20Forecast\Margin\FCST%20Amortizations%2003-23-10%20for%20LSD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Current%20Rates\2_Washington\NWN%202024-25%20PGA%20WA%20Rate%20Development_CCA+BDP%20Filing_Compliance%20Filing.xlsx" TargetMode="External"/><Relationship Id="rId1" Type="http://schemas.openxmlformats.org/officeDocument/2006/relationships/externalLinkPath" Target="/Regulatory_Affairs/Current%20Rates/2_Washington/NWN%202024-25%20PGA%20WA%20Rate%20Development_CCA+BDP%20Filing_Compliance%20Filing.xlsx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Decarbonization\CCA\Jan%201,%202025%20Filing\CCA%20Cost%20Recovery%20Mechanism%20-%20January%201%202025%20Filing.xlsx" TargetMode="External"/><Relationship Id="rId1" Type="http://schemas.openxmlformats.org/officeDocument/2006/relationships/externalLinkPath" Target="file:///\\gasco.com\share\GROUPS\Regulatory_Affairs\Current%20Rates\2_Washington\CCA%20Cost%20Recovery%20Mechanism%20-%20January%201%202025%20Filing.xlsx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Support\Proposed_Temps_2025-2026_Washington_updated_thru_08.31.2025.xlsx" TargetMode="External"/><Relationship Id="rId1" Type="http://schemas.openxmlformats.org/officeDocument/2006/relationships/externalLinkPath" Target="/Regulatory_Affairs/PGA%20-%20WASHINGTON/2025/Rate%20Development/Support/Proposed_Temps_2025-2026_Washington_updated_thru_08.31.2025.xlsx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NWN%202025-26%20PGA%20WA%20Rate%20Development_CCA+BDP%20Filing_Compliance%20Filing.xlsx" TargetMode="External"/><Relationship Id="rId1" Type="http://schemas.openxmlformats.org/officeDocument/2006/relationships/externalLinkPath" Target="/Regulatory_Affairs/PGA%20-%20WASHINGTON/2025/Rate%20Development/NWN%202025-26%20PGA%20WA%20Rate%20Development_CCA+BDP%20Filing_Compliance%20Filing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nwnatural.com/sites/gasreg/PUCandUTCAccounting/JE_29/JE_29_2019_11_Amortization_NOV_2019_OLD_RATES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Gas%20Accounting\1%20-%20SHAREPOINT\PUC%20and%20UTC%20Accounting\JE%2029\JE_29_2022_05_Amortization_NEW_RATES.xlsx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Gas%20Accounting\1%20-%20SHAREPOINT\PUC%20and%20UTC%20Accounting\JE%2029\JE_29_2023_07_Amortization_NEW_RATES.xlsx" TargetMode="External"/><Relationship Id="rId1" Type="http://schemas.openxmlformats.org/officeDocument/2006/relationships/externalLinkPath" Target="file:///\\gasco.com\share\Gas%20Accounting\1%20-%20SHAREPOINT\PUC%20and%20UTC%20Accounting\JE%2029\JE_29_2023_07_Amortization_NEW_RATES.xlsx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asco.com\share\GROUPS\Regulatory_Affairs\PGA%20-%20OREGON\2025\4_September\Gas%20Cost%20Development\NWN%202025-2026%20PGA%20Gas%20Cost%20Development_September%20Filing_OR_Highly%20Confidential.xlsx" TargetMode="External"/><Relationship Id="rId1" Type="http://schemas.openxmlformats.org/officeDocument/2006/relationships/externalLinkPath" Target="file:///\\gasco.com\share\GROUPS\Regulatory_Affairs\PGA%20-%20OREGON\2025\4_September\Gas%20Cost%20Development\NWN%202025-2026%20PGA%20Gas%20Cost%20Development_September%20Filing_OR_Highly%20Confidenti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/5.%20Plant%20Accounting/Journal%20Entries/M2P/2022/04-2022/Possible%20Adjustments%2004-2022%20H1%20Financial%20Worksheet.xlsx" TargetMode="External"/></Relationships>
</file>

<file path=xl/externalLinks/_rels/externalLink4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NWN%202025-26%20PGA%20Summary%20Effects%20September%20filing_WA.xlsx" TargetMode="External"/><Relationship Id="rId1" Type="http://schemas.openxmlformats.org/officeDocument/2006/relationships/externalLinkPath" Target="/Regulatory_Affairs/PGA%20-%20WASHINGTON/2025/Rate%20Development/NWN%202025-26%20PGA%20Summary%20Effects%20September%20filing_WA.xlsx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asco.com\share\GROUPS\Regulatory_Affairs\PGA%20-%20WASHINGTON\2024\2_Rate%20Development\NWN%202024-25%20PGA%20Summary%20Effects%20September%20filing_WA.xlsx" TargetMode="External"/><Relationship Id="rId1" Type="http://schemas.openxmlformats.org/officeDocument/2006/relationships/externalLinkPath" Target="file:///\\gasco.com\share\GROUPS\Regulatory_Affairs\PGA%20-%20WASHINGTON\2024\2_Rate%20Development\NWN%202024-25%20PGA%20Summary%20Effects%20September%20filing_W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nwnatural.com/Regulatory_Affairs/PGA%20-%20OREGON/2011/August%20Filings/Temps%20&amp;%20Perms/Proposed%20Temps%20Oregon%202011-12%20PGA%20August%20filin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m.tpi.net/Documents%20and%20Settings/belpedioj/Local%20Settings/Temporary%20Internet%20Files/Content.Outlook/ZV9XMAGK/Infra%20Sample%20Invoice%20vF3%20(5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2p\Desktop\FINAL_ACN_RFS%20004D%20Attachment%20Form%20of%20Invoice%20(Revised)_2021_12_31_M7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lbemarle%20-%20Attachment%204-A%20Provider%20Pricing%20Forms%2001_25_17%20v1.0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NWN%202025-26%20PGA%20WA%20Rate%20Development%20September%20Filing.xlsx" TargetMode="External"/><Relationship Id="rId1" Type="http://schemas.openxmlformats.org/officeDocument/2006/relationships/externalLinkPath" Target="/Regulatory_Affairs/PGA%20-%20WASHINGTON/2025/Rate%20Development/NWN%202025-26%20PGA%20WA%20Rate%20Development%20September%20Fil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Comp(No Cont)"/>
      <sheetName val="OTC 10 Case"/>
      <sheetName val="Rev Oct25"/>
      <sheetName val="GM Pricing (Local Curr)"/>
      <sheetName val="Assumptions"/>
      <sheetName val="Summary"/>
      <sheetName val="Summary (Avg)"/>
      <sheetName val="Jan06Cost"/>
      <sheetName val="Unit Cost"/>
      <sheetName val="GM Pricing"/>
      <sheetName val="Legacy Station"/>
      <sheetName val="IPT Station"/>
      <sheetName val="PhoneSet"/>
      <sheetName val="Legacy VM"/>
      <sheetName val="IPT VM"/>
      <sheetName val="UM"/>
      <sheetName val="Phone Set"/>
      <sheetName val="T&amp;M-Project"/>
      <sheetName val="StationVolume"/>
      <sheetName val="StationVolume (Basic)"/>
      <sheetName val="StationVolume (Std)"/>
      <sheetName val="StationVolume (Prem)"/>
      <sheetName val="VMVolume"/>
      <sheetName val="VMVolume (Std)"/>
      <sheetName val="VMVolume (Prem)"/>
      <sheetName val="Supply Annual Recurr"/>
      <sheetName val="UMVolume"/>
      <sheetName val="T&amp;M-Project Backup"/>
      <sheetName val="FX Rate"/>
      <sheetName val="Country List"/>
      <sheetName val="UnitComp(No_Cont)"/>
      <sheetName val="OTC_10_Case"/>
      <sheetName val="Rev_Oct25"/>
      <sheetName val="GM_Pricing_(Local_Curr)"/>
      <sheetName val="Summary_(Avg)"/>
      <sheetName val="Unit_Cost"/>
      <sheetName val="GM_Pricing"/>
      <sheetName val="Legacy_Station"/>
      <sheetName val="IPT_Station"/>
      <sheetName val="Legacy_VM"/>
      <sheetName val="IPT_VM"/>
      <sheetName val="Phone_Set"/>
      <sheetName val="StationVolume_(Basic)"/>
      <sheetName val="StationVolume_(Std)"/>
      <sheetName val="StationVolume_(Prem)"/>
      <sheetName val="VMVolume_(Std)"/>
      <sheetName val="VMVolume_(Prem)"/>
      <sheetName val="Supply_Annual_Recurr"/>
      <sheetName val="T&amp;M-Project_Backup"/>
      <sheetName val="FX_Rate"/>
      <sheetName val="Country_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&amp; Documentation"/>
      <sheetName val="Inputs"/>
      <sheetName val="Washington volumes"/>
      <sheetName val="Allocation = % of margin"/>
      <sheetName val="Allocation equal ¢ per therm"/>
      <sheetName val="Allocation = % of revenue"/>
      <sheetName val="Rates in detail"/>
      <sheetName val="Temporaries"/>
      <sheetName val="Avg Bill by RS"/>
      <sheetName val="Permanents"/>
      <sheetName val="Rates in summary"/>
      <sheetName val="Margin Model"/>
      <sheetName val="Amortization"/>
      <sheetName val="F Goldenrod"/>
      <sheetName val="F Goldenrod+Rate Case"/>
      <sheetName val="Cover"/>
      <sheetName val="WA Index"/>
      <sheetName val="Statement of Rat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Annual WACOG History"/>
      <sheetName val="Winter WACOG History"/>
      <sheetName val="RS 1 BR History"/>
      <sheetName val="RS 2 BR History"/>
      <sheetName val="RS 3 BR History"/>
      <sheetName val="RS 19 BR History"/>
      <sheetName val="RS 27 BR History"/>
      <sheetName val="RS 41 Firm BR History"/>
      <sheetName val="RS 41 Intp BR History"/>
      <sheetName val="RS 42 FS BR History"/>
      <sheetName val="RS42 IS BR History"/>
      <sheetName val="RS 41T BR History"/>
      <sheetName val="RS 42T BR History"/>
      <sheetName val="RS 43 FT BR History"/>
      <sheetName val="RS 43 IT BR History "/>
      <sheetName val="RS 1 PR History"/>
      <sheetName val="RS 2 PR History"/>
      <sheetName val="RS 3 PR History"/>
      <sheetName val="RS 21 BR History"/>
      <sheetName val="RS 54 BR History"/>
      <sheetName val="wacog purch history 1988-2007"/>
      <sheetName val="Chgs in Rates by RS 1995-2004"/>
      <sheetName val="RS 3T BR History"/>
    </sheetNames>
    <sheetDataSet>
      <sheetData sheetId="0"/>
      <sheetData sheetId="1">
        <row r="30">
          <cell r="B30">
            <v>4.3568999999999997E-2</v>
          </cell>
        </row>
        <row r="71">
          <cell r="B71">
            <v>45658</v>
          </cell>
        </row>
      </sheetData>
      <sheetData sheetId="2">
        <row r="1">
          <cell r="A1" t="str">
            <v>NW Natural</v>
          </cell>
        </row>
        <row r="2">
          <cell r="A2" t="str">
            <v>Rates &amp; Regulatory Affairs</v>
          </cell>
        </row>
        <row r="3">
          <cell r="A3" t="str">
            <v>2025-2026 PGA Filing - Washington: September Filing</v>
          </cell>
        </row>
        <row r="13">
          <cell r="J13">
            <v>179824.1</v>
          </cell>
        </row>
        <row r="14">
          <cell r="J14">
            <v>18807.400000000001</v>
          </cell>
        </row>
        <row r="15">
          <cell r="J15">
            <v>59991191.600000001</v>
          </cell>
        </row>
        <row r="16">
          <cell r="J16">
            <v>21359578.800000001</v>
          </cell>
        </row>
        <row r="17">
          <cell r="J17">
            <v>192102.2</v>
          </cell>
        </row>
        <row r="18">
          <cell r="J18">
            <v>34823.1</v>
          </cell>
        </row>
        <row r="19">
          <cell r="J19">
            <v>1665389.3</v>
          </cell>
        </row>
        <row r="20">
          <cell r="J20">
            <v>2698480.8</v>
          </cell>
        </row>
        <row r="21">
          <cell r="J21">
            <v>331379.44452066539</v>
          </cell>
        </row>
        <row r="22">
          <cell r="J22">
            <v>593486.75547933462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123242.73967014518</v>
          </cell>
        </row>
        <row r="28">
          <cell r="J28">
            <v>284875.42061605473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820212.7</v>
          </cell>
        </row>
        <row r="32">
          <cell r="J32">
            <v>926222.5</v>
          </cell>
        </row>
        <row r="33">
          <cell r="J33">
            <v>323675.40000000002</v>
          </cell>
        </row>
        <row r="34">
          <cell r="J34">
            <v>84982.8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887029.75709862076</v>
          </cell>
        </row>
        <row r="38">
          <cell r="J38">
            <v>668287.37243846827</v>
          </cell>
        </row>
        <row r="39">
          <cell r="J39">
            <v>109047.67533172015</v>
          </cell>
        </row>
        <row r="40">
          <cell r="J40">
            <v>24232.772003191028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122543.87639893022</v>
          </cell>
        </row>
        <row r="44">
          <cell r="J44">
            <v>245087.75279786045</v>
          </cell>
        </row>
        <row r="45">
          <cell r="J45">
            <v>245087.75279786045</v>
          </cell>
        </row>
        <row r="46">
          <cell r="J46">
            <v>403343.97837634891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933451.95163091726</v>
          </cell>
        </row>
        <row r="50">
          <cell r="J50">
            <v>1354331.8549391942</v>
          </cell>
        </row>
        <row r="51">
          <cell r="J51">
            <v>1182764.9803330612</v>
          </cell>
        </row>
        <row r="52">
          <cell r="J52">
            <v>2743941.1371104051</v>
          </cell>
        </row>
        <row r="53">
          <cell r="J53">
            <v>1030133.9063092957</v>
          </cell>
        </row>
        <row r="54">
          <cell r="J54">
            <v>0</v>
          </cell>
        </row>
        <row r="55">
          <cell r="J55">
            <v>237823.79371068976</v>
          </cell>
        </row>
        <row r="56">
          <cell r="J56">
            <v>449890.27963003801</v>
          </cell>
        </row>
        <row r="57">
          <cell r="J57">
            <v>201896.54594079489</v>
          </cell>
        </row>
        <row r="58">
          <cell r="J58">
            <v>59595.669906477466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171532.62817612645</v>
          </cell>
        </row>
        <row r="62">
          <cell r="J62">
            <v>27036.058789873507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952237.06746634038</v>
          </cell>
        </row>
        <row r="74">
          <cell r="J74">
            <v>1827774.6796347289</v>
          </cell>
        </row>
        <row r="75">
          <cell r="J75">
            <v>1364375.8495009863</v>
          </cell>
        </row>
        <row r="76">
          <cell r="J76">
            <v>4116253.0789308902</v>
          </cell>
        </row>
        <row r="77">
          <cell r="J77">
            <v>1831129.0067156893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</sheetData>
      <sheetData sheetId="3">
        <row r="7">
          <cell r="AJ7" t="str">
            <v xml:space="preserve">Residental Bill Discount Program </v>
          </cell>
        </row>
      </sheetData>
      <sheetData sheetId="4">
        <row r="13">
          <cell r="W13">
            <v>0.24073</v>
          </cell>
        </row>
      </sheetData>
      <sheetData sheetId="5"/>
      <sheetData sheetId="6">
        <row r="13">
          <cell r="D13">
            <v>1.6683000000000003</v>
          </cell>
        </row>
        <row r="14">
          <cell r="D14">
            <v>1.672639999999999</v>
          </cell>
        </row>
        <row r="15">
          <cell r="D15">
            <v>1.3152700000000002</v>
          </cell>
        </row>
        <row r="16">
          <cell r="D16">
            <v>1.2785399999999996</v>
          </cell>
        </row>
        <row r="17">
          <cell r="D17">
            <v>1.2303099999999996</v>
          </cell>
        </row>
        <row r="18">
          <cell r="D18">
            <v>1.11591</v>
          </cell>
        </row>
        <row r="19">
          <cell r="D19">
            <v>1.0394899999999998</v>
          </cell>
        </row>
        <row r="20">
          <cell r="D20">
            <v>0.98116000000000014</v>
          </cell>
        </row>
        <row r="21">
          <cell r="D21">
            <v>0.94622000000000028</v>
          </cell>
        </row>
        <row r="22">
          <cell r="D22">
            <v>0.89908999999999961</v>
          </cell>
        </row>
        <row r="23">
          <cell r="D23">
            <v>0.96427000000000007</v>
          </cell>
        </row>
        <row r="24">
          <cell r="D24">
            <v>0.91047000000000022</v>
          </cell>
        </row>
        <row r="25">
          <cell r="D25">
            <v>0.90245000000000009</v>
          </cell>
        </row>
        <row r="26">
          <cell r="D26">
            <v>0.8560899999999998</v>
          </cell>
        </row>
        <row r="27">
          <cell r="D27">
            <v>0.64044000000000001</v>
          </cell>
        </row>
        <row r="28">
          <cell r="D28">
            <v>0.5930200000000001</v>
          </cell>
        </row>
        <row r="29">
          <cell r="D29">
            <v>0.62856000000000001</v>
          </cell>
        </row>
        <row r="30">
          <cell r="D30">
            <v>0.58256000000000019</v>
          </cell>
        </row>
        <row r="31">
          <cell r="D31">
            <v>0.79625999999999986</v>
          </cell>
        </row>
        <row r="32">
          <cell r="D32">
            <v>0.77026999999999957</v>
          </cell>
        </row>
        <row r="33">
          <cell r="D33">
            <v>0.71862999999999988</v>
          </cell>
        </row>
        <row r="34">
          <cell r="D34">
            <v>0.68461000000000016</v>
          </cell>
        </row>
        <row r="35">
          <cell r="D35">
            <v>0.63927</v>
          </cell>
        </row>
        <row r="36">
          <cell r="D36">
            <v>0.58259000000000005</v>
          </cell>
        </row>
        <row r="37">
          <cell r="D37">
            <v>0.73169000000000006</v>
          </cell>
        </row>
        <row r="38">
          <cell r="D38">
            <v>0.71257999999999988</v>
          </cell>
        </row>
        <row r="39">
          <cell r="D39">
            <v>0.67456999999999967</v>
          </cell>
        </row>
        <row r="40">
          <cell r="D40">
            <v>0.64957000000000009</v>
          </cell>
        </row>
        <row r="41">
          <cell r="D41">
            <v>0.61626000000000036</v>
          </cell>
        </row>
        <row r="42">
          <cell r="D42">
            <v>0.57454999999999989</v>
          </cell>
        </row>
        <row r="43">
          <cell r="D43">
            <v>0.40332000000000001</v>
          </cell>
        </row>
        <row r="44">
          <cell r="D44">
            <v>0.38640000000000002</v>
          </cell>
        </row>
        <row r="45">
          <cell r="D45">
            <v>0.35268999999999995</v>
          </cell>
        </row>
        <row r="46">
          <cell r="D46">
            <v>0.33054000000000006</v>
          </cell>
        </row>
        <row r="47">
          <cell r="D47">
            <v>0.30097000000000007</v>
          </cell>
        </row>
        <row r="48">
          <cell r="D48">
            <v>0.26403000000000004</v>
          </cell>
        </row>
        <row r="49">
          <cell r="D49">
            <v>0.40095999999999998</v>
          </cell>
        </row>
        <row r="50">
          <cell r="D50">
            <v>0.38426999999999989</v>
          </cell>
        </row>
        <row r="51">
          <cell r="D51">
            <v>0.35105000000000003</v>
          </cell>
        </row>
        <row r="52">
          <cell r="D52">
            <v>0.32922000000000012</v>
          </cell>
        </row>
        <row r="53">
          <cell r="D53">
            <v>0.30008999999999997</v>
          </cell>
        </row>
        <row r="54">
          <cell r="D54">
            <v>0.26369000000000009</v>
          </cell>
        </row>
        <row r="55">
          <cell r="D55">
            <v>0.71133000000000013</v>
          </cell>
        </row>
        <row r="56">
          <cell r="D56">
            <v>0.69042999999999966</v>
          </cell>
        </row>
        <row r="57">
          <cell r="D57">
            <v>0.64878000000000013</v>
          </cell>
        </row>
        <row r="58">
          <cell r="D58">
            <v>0.62140999999999991</v>
          </cell>
        </row>
        <row r="59">
          <cell r="D59">
            <v>0.58492999999999984</v>
          </cell>
        </row>
        <row r="60">
          <cell r="D60">
            <v>0.53925000000000001</v>
          </cell>
        </row>
        <row r="61">
          <cell r="D61">
            <v>0.69063999999999992</v>
          </cell>
        </row>
        <row r="62">
          <cell r="D62">
            <v>0.67198999999999998</v>
          </cell>
        </row>
        <row r="63">
          <cell r="D63">
            <v>0.63488999999999995</v>
          </cell>
        </row>
        <row r="64">
          <cell r="D64">
            <v>0.61047999999999969</v>
          </cell>
        </row>
        <row r="65">
          <cell r="D65">
            <v>0.57791000000000003</v>
          </cell>
        </row>
        <row r="66">
          <cell r="D66">
            <v>0.53723999999999983</v>
          </cell>
        </row>
        <row r="67">
          <cell r="D67">
            <v>0.39076</v>
          </cell>
        </row>
        <row r="68">
          <cell r="D68">
            <v>0.37516000000000005</v>
          </cell>
        </row>
        <row r="69">
          <cell r="D69">
            <v>0.34404999999999997</v>
          </cell>
        </row>
        <row r="70">
          <cell r="D70">
            <v>0.3236</v>
          </cell>
        </row>
        <row r="71">
          <cell r="D71">
            <v>0.29632999999999998</v>
          </cell>
        </row>
        <row r="72">
          <cell r="D72">
            <v>0.26221000000000005</v>
          </cell>
        </row>
        <row r="73">
          <cell r="D73">
            <v>0.39346999999999999</v>
          </cell>
        </row>
        <row r="74">
          <cell r="D74">
            <v>0.37758000000000003</v>
          </cell>
        </row>
        <row r="75">
          <cell r="D75">
            <v>0.34592000000000001</v>
          </cell>
        </row>
        <row r="76">
          <cell r="D76">
            <v>0.32511000000000001</v>
          </cell>
        </row>
        <row r="77">
          <cell r="D77">
            <v>0.29735999999999996</v>
          </cell>
        </row>
        <row r="78">
          <cell r="D78">
            <v>0.26266000000000006</v>
          </cell>
        </row>
        <row r="79">
          <cell r="D79">
            <v>0.24684999999999996</v>
          </cell>
        </row>
        <row r="80">
          <cell r="D80">
            <v>0.24684999999999996</v>
          </cell>
        </row>
      </sheetData>
      <sheetData sheetId="7">
        <row r="13">
          <cell r="J13">
            <v>-4.5029999999999987E-2</v>
          </cell>
          <cell r="K13">
            <v>0.14388999999999999</v>
          </cell>
          <cell r="L13">
            <v>-1.7799999999999999E-3</v>
          </cell>
          <cell r="M13">
            <v>0</v>
          </cell>
          <cell r="N13">
            <v>2.0049999999999998E-2</v>
          </cell>
          <cell r="O13">
            <v>3.2299999999999998E-3</v>
          </cell>
          <cell r="P13">
            <v>-2.3000000000000001E-4</v>
          </cell>
          <cell r="Q13">
            <v>0</v>
          </cell>
          <cell r="R13">
            <v>1.8579999999999999E-2</v>
          </cell>
          <cell r="S13">
            <v>0</v>
          </cell>
          <cell r="T13">
            <v>3.0000000000000001E-5</v>
          </cell>
          <cell r="U13">
            <v>3.7949999999999998E-2</v>
          </cell>
          <cell r="V13">
            <v>0.24073</v>
          </cell>
          <cell r="AW13">
            <v>0</v>
          </cell>
          <cell r="AX13">
            <v>0.11046</v>
          </cell>
          <cell r="AY13">
            <v>2.0070000000000001E-2</v>
          </cell>
          <cell r="AZ13">
            <v>1.396E-2</v>
          </cell>
          <cell r="BB13">
            <v>-1.1100000000000001E-3</v>
          </cell>
          <cell r="BC13">
            <v>0</v>
          </cell>
          <cell r="BD13">
            <v>4.2000000000000002E-4</v>
          </cell>
          <cell r="BE13">
            <v>3.7949999999999998E-2</v>
          </cell>
          <cell r="BF13">
            <v>0.24073</v>
          </cell>
        </row>
        <row r="14">
          <cell r="J14">
            <v>-4.5029999999999987E-2</v>
          </cell>
          <cell r="K14">
            <v>9.6509999999999999E-2</v>
          </cell>
          <cell r="L14">
            <v>-1.17E-3</v>
          </cell>
          <cell r="M14">
            <v>0</v>
          </cell>
          <cell r="N14">
            <v>1.345E-2</v>
          </cell>
          <cell r="O14">
            <v>2.1800000000000001E-3</v>
          </cell>
          <cell r="P14">
            <v>-1.6000000000000001E-4</v>
          </cell>
          <cell r="Q14">
            <v>0</v>
          </cell>
          <cell r="R14">
            <v>1.244E-2</v>
          </cell>
          <cell r="S14">
            <v>0</v>
          </cell>
          <cell r="T14">
            <v>0</v>
          </cell>
          <cell r="U14">
            <v>3.2939999999999997E-2</v>
          </cell>
          <cell r="V14">
            <v>0.24073</v>
          </cell>
          <cell r="AW14">
            <v>0</v>
          </cell>
          <cell r="AX14">
            <v>9.5829999999999999E-2</v>
          </cell>
          <cell r="AY14">
            <v>1.7399999999999999E-2</v>
          </cell>
          <cell r="AZ14">
            <v>1.2109999999999999E-2</v>
          </cell>
          <cell r="BB14">
            <v>-9.6000000000000002E-4</v>
          </cell>
          <cell r="BC14">
            <v>0</v>
          </cell>
          <cell r="BD14">
            <v>3.8000000000000002E-4</v>
          </cell>
          <cell r="BE14">
            <v>3.2939999999999997E-2</v>
          </cell>
          <cell r="BF14">
            <v>0.24073</v>
          </cell>
        </row>
        <row r="15">
          <cell r="J15">
            <v>-4.5029999999999987E-2</v>
          </cell>
          <cell r="K15">
            <v>6.6089999999999996E-2</v>
          </cell>
          <cell r="L15">
            <v>-8.1999999999999998E-4</v>
          </cell>
          <cell r="M15">
            <v>0</v>
          </cell>
          <cell r="N15">
            <v>9.2099999999999994E-3</v>
          </cell>
          <cell r="O15">
            <v>1.48E-3</v>
          </cell>
          <cell r="P15">
            <v>-1.1E-4</v>
          </cell>
          <cell r="Q15">
            <v>3.2000000000000003E-4</v>
          </cell>
          <cell r="R15">
            <v>8.5299999999999994E-3</v>
          </cell>
          <cell r="S15">
            <v>0</v>
          </cell>
          <cell r="T15">
            <v>2.0000000000000002E-5</v>
          </cell>
          <cell r="U15">
            <v>2.188E-2</v>
          </cell>
          <cell r="V15">
            <v>0.24073</v>
          </cell>
          <cell r="AW15">
            <v>3.6000000000000002E-4</v>
          </cell>
          <cell r="AX15">
            <v>6.368E-2</v>
          </cell>
          <cell r="AY15">
            <v>1.157E-2</v>
          </cell>
          <cell r="AZ15">
            <v>8.0499999999999999E-3</v>
          </cell>
          <cell r="BB15">
            <v>-6.4000000000000005E-4</v>
          </cell>
          <cell r="BC15">
            <v>0</v>
          </cell>
          <cell r="BD15">
            <v>3.1E-4</v>
          </cell>
          <cell r="BE15">
            <v>2.188E-2</v>
          </cell>
          <cell r="BF15">
            <v>0.24073</v>
          </cell>
        </row>
        <row r="16">
          <cell r="J16">
            <v>-4.5029999999999987E-2</v>
          </cell>
          <cell r="K16">
            <v>5.8250000000000003E-2</v>
          </cell>
          <cell r="L16">
            <v>-7.2000000000000005E-4</v>
          </cell>
          <cell r="M16">
            <v>0</v>
          </cell>
          <cell r="N16">
            <v>8.1200000000000005E-3</v>
          </cell>
          <cell r="O16">
            <v>1.31E-3</v>
          </cell>
          <cell r="P16">
            <v>-1E-4</v>
          </cell>
          <cell r="Q16">
            <v>0</v>
          </cell>
          <cell r="R16">
            <v>7.5199999999999998E-3</v>
          </cell>
          <cell r="S16">
            <v>0</v>
          </cell>
          <cell r="T16">
            <v>2.0000000000000002E-5</v>
          </cell>
          <cell r="U16">
            <v>1.9439999999999999E-2</v>
          </cell>
          <cell r="V16">
            <v>0.24073</v>
          </cell>
          <cell r="AW16">
            <v>0</v>
          </cell>
          <cell r="AX16">
            <v>5.6590000000000001E-2</v>
          </cell>
          <cell r="AY16">
            <v>1.0279999999999999E-2</v>
          </cell>
          <cell r="AZ16">
            <v>7.1500000000000001E-3</v>
          </cell>
          <cell r="BB16">
            <v>-5.6999999999999998E-4</v>
          </cell>
          <cell r="BC16">
            <v>0</v>
          </cell>
          <cell r="BD16">
            <v>2.9E-4</v>
          </cell>
          <cell r="BE16">
            <v>1.9439999999999999E-2</v>
          </cell>
          <cell r="BF16">
            <v>0.24073</v>
          </cell>
        </row>
        <row r="17">
          <cell r="J17">
            <v>-4.5029999999999987E-2</v>
          </cell>
          <cell r="K17">
            <v>0</v>
          </cell>
          <cell r="L17">
            <v>0</v>
          </cell>
          <cell r="M17">
            <v>0</v>
          </cell>
          <cell r="N17">
            <v>7.5100000000000002E-3</v>
          </cell>
          <cell r="O17">
            <v>1.2099999999999999E-3</v>
          </cell>
          <cell r="P17">
            <v>-9.0000000000000006E-5</v>
          </cell>
          <cell r="Q17">
            <v>0</v>
          </cell>
          <cell r="R17">
            <v>6.9499999999999996E-3</v>
          </cell>
          <cell r="S17">
            <v>3.5E-4</v>
          </cell>
          <cell r="T17">
            <v>2.0000000000000002E-5</v>
          </cell>
          <cell r="U17">
            <v>1.7850000000000001E-2</v>
          </cell>
          <cell r="V17">
            <v>0.24073</v>
          </cell>
          <cell r="AW17">
            <v>0</v>
          </cell>
          <cell r="AX17">
            <v>0</v>
          </cell>
          <cell r="AY17">
            <v>9.4400000000000005E-3</v>
          </cell>
          <cell r="AZ17">
            <v>6.5599999999999999E-3</v>
          </cell>
          <cell r="BB17">
            <v>-5.1999999999999995E-4</v>
          </cell>
          <cell r="BC17">
            <v>1.0300000000000001E-3</v>
          </cell>
          <cell r="BD17">
            <v>2.4000000000000001E-4</v>
          </cell>
          <cell r="BE17">
            <v>1.7850000000000001E-2</v>
          </cell>
          <cell r="BF17">
            <v>0.24073</v>
          </cell>
        </row>
        <row r="18">
          <cell r="J18">
            <v>-4.5029999999999987E-2</v>
          </cell>
          <cell r="K18">
            <v>0.14729</v>
          </cell>
          <cell r="L18">
            <v>-1.8400000000000001E-3</v>
          </cell>
          <cell r="M18">
            <v>0</v>
          </cell>
          <cell r="N18">
            <v>2.053E-2</v>
          </cell>
          <cell r="O18">
            <v>3.3E-3</v>
          </cell>
          <cell r="P18">
            <v>-2.3000000000000001E-4</v>
          </cell>
          <cell r="Q18">
            <v>0</v>
          </cell>
          <cell r="R18">
            <v>1.9009999999999999E-2</v>
          </cell>
          <cell r="S18">
            <v>0</v>
          </cell>
          <cell r="T18">
            <v>3.0000000000000001E-5</v>
          </cell>
          <cell r="U18">
            <v>3.1620000000000002E-2</v>
          </cell>
          <cell r="V18">
            <v>0.24073</v>
          </cell>
          <cell r="AW18">
            <v>0</v>
          </cell>
          <cell r="AX18">
            <v>9.2050000000000007E-2</v>
          </cell>
          <cell r="AY18">
            <v>1.6719999999999999E-2</v>
          </cell>
          <cell r="AZ18">
            <v>1.163E-2</v>
          </cell>
          <cell r="BB18">
            <v>-9.3000000000000005E-4</v>
          </cell>
          <cell r="BC18">
            <v>0</v>
          </cell>
          <cell r="BD18">
            <v>4.2999999999999999E-4</v>
          </cell>
          <cell r="BE18">
            <v>3.1620000000000002E-2</v>
          </cell>
          <cell r="BF18">
            <v>0.24073</v>
          </cell>
        </row>
        <row r="19">
          <cell r="J19">
            <v>-4.5029999999999987E-2</v>
          </cell>
          <cell r="K19">
            <v>4.6289999999999998E-2</v>
          </cell>
          <cell r="L19">
            <v>-5.6999999999999998E-4</v>
          </cell>
          <cell r="M19">
            <v>0</v>
          </cell>
          <cell r="N19">
            <v>6.45E-3</v>
          </cell>
          <cell r="O19">
            <v>1.0399999999999999E-3</v>
          </cell>
          <cell r="P19">
            <v>-8.0000000000000007E-5</v>
          </cell>
          <cell r="Q19">
            <v>0</v>
          </cell>
          <cell r="R19">
            <v>5.9800000000000001E-3</v>
          </cell>
          <cell r="S19">
            <v>0</v>
          </cell>
          <cell r="T19">
            <v>1.0000000000000001E-5</v>
          </cell>
          <cell r="U19">
            <v>1.5630000000000002E-2</v>
          </cell>
          <cell r="V19">
            <v>0.24073</v>
          </cell>
          <cell r="AW19">
            <v>0</v>
          </cell>
          <cell r="AX19">
            <v>4.5500000000000006E-2</v>
          </cell>
          <cell r="AY19">
            <v>8.2699999999999996E-3</v>
          </cell>
          <cell r="AZ19">
            <v>5.7499999999999999E-3</v>
          </cell>
          <cell r="BB19">
            <v>-4.6000000000000001E-4</v>
          </cell>
          <cell r="BC19">
            <v>0</v>
          </cell>
          <cell r="BD19">
            <v>2.3000000000000001E-4</v>
          </cell>
          <cell r="BE19">
            <v>1.5630000000000002E-2</v>
          </cell>
          <cell r="BF19">
            <v>0.24073</v>
          </cell>
        </row>
        <row r="20">
          <cell r="J20">
            <v>-4.5029999999999987E-2</v>
          </cell>
          <cell r="K20">
            <v>4.079E-2</v>
          </cell>
          <cell r="L20">
            <v>-5.1000000000000004E-4</v>
          </cell>
          <cell r="M20">
            <v>0</v>
          </cell>
          <cell r="N20">
            <v>5.6800000000000002E-3</v>
          </cell>
          <cell r="O20">
            <v>9.2000000000000003E-4</v>
          </cell>
          <cell r="P20">
            <v>-6.9999999999999994E-5</v>
          </cell>
          <cell r="Q20">
            <v>0</v>
          </cell>
          <cell r="R20">
            <v>5.2700000000000004E-3</v>
          </cell>
          <cell r="S20">
            <v>0</v>
          </cell>
          <cell r="T20">
            <v>1.0000000000000001E-5</v>
          </cell>
          <cell r="U20">
            <v>1.3769999999999999E-2</v>
          </cell>
          <cell r="V20">
            <v>0.24073</v>
          </cell>
          <cell r="AW20">
            <v>0</v>
          </cell>
          <cell r="AX20">
            <v>4.0090000000000001E-2</v>
          </cell>
          <cell r="AY20">
            <v>7.2899999999999996E-3</v>
          </cell>
          <cell r="AZ20">
            <v>5.0699999999999999E-3</v>
          </cell>
          <cell r="BB20">
            <v>-4.0000000000000002E-4</v>
          </cell>
          <cell r="BC20">
            <v>0</v>
          </cell>
          <cell r="BD20">
            <v>2.2000000000000001E-4</v>
          </cell>
          <cell r="BE20">
            <v>1.3769999999999999E-2</v>
          </cell>
          <cell r="BF20">
            <v>0.24073</v>
          </cell>
        </row>
        <row r="21">
          <cell r="J21">
            <v>-4.5029999999999987E-2</v>
          </cell>
          <cell r="K21">
            <v>0</v>
          </cell>
          <cell r="L21">
            <v>0</v>
          </cell>
          <cell r="M21">
            <v>0</v>
          </cell>
          <cell r="N21">
            <v>5.8500000000000002E-3</v>
          </cell>
          <cell r="O21">
            <v>9.3999999999999997E-4</v>
          </cell>
          <cell r="P21">
            <v>-6.9999999999999994E-5</v>
          </cell>
          <cell r="Q21">
            <v>0</v>
          </cell>
          <cell r="R21">
            <v>5.4200000000000003E-3</v>
          </cell>
          <cell r="S21">
            <v>3.5E-4</v>
          </cell>
          <cell r="T21">
            <v>1.0000000000000001E-5</v>
          </cell>
          <cell r="U21">
            <v>1.34E-2</v>
          </cell>
          <cell r="V21">
            <v>0.24073</v>
          </cell>
          <cell r="AW21">
            <v>0</v>
          </cell>
          <cell r="AX21">
            <v>0</v>
          </cell>
          <cell r="AY21">
            <v>7.0800000000000004E-3</v>
          </cell>
          <cell r="AZ21">
            <v>4.9300000000000004E-3</v>
          </cell>
          <cell r="BB21">
            <v>-3.8999999999999999E-4</v>
          </cell>
          <cell r="BC21">
            <v>1.0300000000000001E-3</v>
          </cell>
          <cell r="BD21">
            <v>2.1000000000000001E-4</v>
          </cell>
          <cell r="BE21">
            <v>1.34E-2</v>
          </cell>
          <cell r="BF21">
            <v>0.24073</v>
          </cell>
        </row>
        <row r="22">
          <cell r="J22">
            <v>-4.5029999999999987E-2</v>
          </cell>
          <cell r="K22">
            <v>0</v>
          </cell>
          <cell r="L22">
            <v>0</v>
          </cell>
          <cell r="M22">
            <v>0</v>
          </cell>
          <cell r="N22">
            <v>5.1500000000000001E-3</v>
          </cell>
          <cell r="O22">
            <v>8.3000000000000001E-4</v>
          </cell>
          <cell r="P22">
            <v>-6.0000000000000002E-5</v>
          </cell>
          <cell r="Q22">
            <v>0</v>
          </cell>
          <cell r="R22">
            <v>4.7800000000000004E-3</v>
          </cell>
          <cell r="S22">
            <v>3.5E-4</v>
          </cell>
          <cell r="T22">
            <v>1.0000000000000001E-5</v>
          </cell>
          <cell r="U22">
            <v>1.1809999999999999E-2</v>
          </cell>
          <cell r="V22">
            <v>0.24073</v>
          </cell>
          <cell r="AW22">
            <v>0</v>
          </cell>
          <cell r="AX22">
            <v>0</v>
          </cell>
          <cell r="AY22">
            <v>6.2399999999999999E-3</v>
          </cell>
          <cell r="AZ22">
            <v>4.3400000000000001E-3</v>
          </cell>
          <cell r="BB22">
            <v>-3.4000000000000002E-4</v>
          </cell>
          <cell r="BC22">
            <v>1.0300000000000001E-3</v>
          </cell>
          <cell r="BD22">
            <v>2.1000000000000001E-4</v>
          </cell>
          <cell r="BE22">
            <v>1.1809999999999999E-2</v>
          </cell>
          <cell r="BF22">
            <v>0.24073</v>
          </cell>
        </row>
        <row r="23">
          <cell r="J23">
            <v>-1.2729999999999991E-2</v>
          </cell>
          <cell r="K23">
            <v>4.233E-2</v>
          </cell>
          <cell r="L23">
            <v>-5.1999999999999995E-4</v>
          </cell>
          <cell r="M23">
            <v>0</v>
          </cell>
          <cell r="N23">
            <v>6.0000000000000001E-3</v>
          </cell>
          <cell r="O23">
            <v>9.7000000000000005E-4</v>
          </cell>
          <cell r="P23">
            <v>-6.9999999999999994E-5</v>
          </cell>
          <cell r="Q23">
            <v>0</v>
          </cell>
          <cell r="R23">
            <v>5.7800000000000004E-3</v>
          </cell>
          <cell r="S23">
            <v>0</v>
          </cell>
          <cell r="T23">
            <v>0</v>
          </cell>
          <cell r="U23">
            <v>1.4829999999999999E-2</v>
          </cell>
          <cell r="V23">
            <v>0.24073</v>
          </cell>
          <cell r="AW23">
            <v>0</v>
          </cell>
          <cell r="AX23">
            <v>4.0620000000000003E-2</v>
          </cell>
          <cell r="AY23">
            <v>7.5199999999999998E-3</v>
          </cell>
          <cell r="AZ23">
            <v>5.4599999999999996E-3</v>
          </cell>
          <cell r="BB23">
            <v>-4.2999999999999999E-4</v>
          </cell>
          <cell r="BC23">
            <v>0</v>
          </cell>
          <cell r="BD23">
            <v>0</v>
          </cell>
          <cell r="BE23">
            <v>1.4829999999999999E-2</v>
          </cell>
          <cell r="BF23">
            <v>0.24073</v>
          </cell>
        </row>
        <row r="24">
          <cell r="J24">
            <v>-1.2729999999999991E-2</v>
          </cell>
          <cell r="K24">
            <v>3.7289999999999997E-2</v>
          </cell>
          <cell r="L24">
            <v>-4.6000000000000001E-4</v>
          </cell>
          <cell r="M24">
            <v>0</v>
          </cell>
          <cell r="N24">
            <v>5.28E-3</v>
          </cell>
          <cell r="O24">
            <v>8.4999999999999995E-4</v>
          </cell>
          <cell r="P24">
            <v>-6.0000000000000002E-5</v>
          </cell>
          <cell r="Q24">
            <v>0</v>
          </cell>
          <cell r="R24">
            <v>5.0899999999999999E-3</v>
          </cell>
          <cell r="S24">
            <v>0</v>
          </cell>
          <cell r="T24">
            <v>0</v>
          </cell>
          <cell r="U24">
            <v>1.307E-2</v>
          </cell>
          <cell r="V24">
            <v>0.24073</v>
          </cell>
          <cell r="AW24">
            <v>0</v>
          </cell>
          <cell r="AX24">
            <v>3.5799999999999998E-2</v>
          </cell>
          <cell r="AY24">
            <v>6.6300000000000005E-3</v>
          </cell>
          <cell r="AZ24">
            <v>4.81E-3</v>
          </cell>
          <cell r="BB24">
            <v>-3.8000000000000002E-4</v>
          </cell>
          <cell r="BC24">
            <v>0</v>
          </cell>
          <cell r="BD24">
            <v>0</v>
          </cell>
          <cell r="BE24">
            <v>1.307E-2</v>
          </cell>
          <cell r="BF24">
            <v>0.24073</v>
          </cell>
        </row>
        <row r="25">
          <cell r="J25">
            <v>-1.2729999999999991E-2</v>
          </cell>
          <cell r="K25">
            <v>0</v>
          </cell>
          <cell r="L25">
            <v>0</v>
          </cell>
          <cell r="M25">
            <v>0</v>
          </cell>
          <cell r="N25">
            <v>5.6699999999999997E-3</v>
          </cell>
          <cell r="O25">
            <v>9.1E-4</v>
          </cell>
          <cell r="P25">
            <v>-6.9999999999999994E-5</v>
          </cell>
          <cell r="Q25">
            <v>0</v>
          </cell>
          <cell r="R25">
            <v>5.47E-3</v>
          </cell>
          <cell r="S25">
            <v>3.5E-4</v>
          </cell>
          <cell r="T25">
            <v>0</v>
          </cell>
          <cell r="U25">
            <v>1.4030000000000001E-2</v>
          </cell>
          <cell r="V25">
            <v>0.24073</v>
          </cell>
          <cell r="AW25">
            <v>0</v>
          </cell>
          <cell r="AX25">
            <v>0</v>
          </cell>
          <cell r="AY25">
            <v>7.1199999999999996E-3</v>
          </cell>
          <cell r="AZ25">
            <v>5.1599999999999997E-3</v>
          </cell>
          <cell r="BB25">
            <v>-4.0999999999999999E-4</v>
          </cell>
          <cell r="BC25">
            <v>1.0300000000000001E-3</v>
          </cell>
          <cell r="BD25">
            <v>0</v>
          </cell>
          <cell r="BE25">
            <v>1.4030000000000001E-2</v>
          </cell>
          <cell r="BF25">
            <v>0.24073</v>
          </cell>
        </row>
        <row r="26">
          <cell r="J26">
            <v>-1.2729999999999991E-2</v>
          </cell>
          <cell r="K26">
            <v>0</v>
          </cell>
          <cell r="L26">
            <v>0</v>
          </cell>
          <cell r="M26">
            <v>0</v>
          </cell>
          <cell r="N26">
            <v>5.0000000000000001E-3</v>
          </cell>
          <cell r="O26">
            <v>8.0999999999999996E-4</v>
          </cell>
          <cell r="P26">
            <v>-6.0000000000000002E-5</v>
          </cell>
          <cell r="Q26">
            <v>0</v>
          </cell>
          <cell r="R26">
            <v>4.8199999999999996E-3</v>
          </cell>
          <cell r="S26">
            <v>3.5E-4</v>
          </cell>
          <cell r="T26">
            <v>0</v>
          </cell>
          <cell r="U26">
            <v>1.2359999999999999E-2</v>
          </cell>
          <cell r="V26">
            <v>0.24073</v>
          </cell>
          <cell r="AW26">
            <v>0</v>
          </cell>
          <cell r="AX26">
            <v>0</v>
          </cell>
          <cell r="AY26">
            <v>6.2700000000000004E-3</v>
          </cell>
          <cell r="AZ26">
            <v>4.5500000000000002E-3</v>
          </cell>
          <cell r="BB26">
            <v>-3.6000000000000002E-4</v>
          </cell>
          <cell r="BC26">
            <v>1.0300000000000001E-3</v>
          </cell>
          <cell r="BD26">
            <v>0</v>
          </cell>
          <cell r="BE26">
            <v>1.2359999999999999E-2</v>
          </cell>
          <cell r="BF26">
            <v>0.24073</v>
          </cell>
        </row>
        <row r="27"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-8.0000000000000007E-5</v>
          </cell>
          <cell r="Q27">
            <v>0</v>
          </cell>
          <cell r="R27">
            <v>6.1599999999999997E-3</v>
          </cell>
          <cell r="S27">
            <v>3.5E-4</v>
          </cell>
          <cell r="T27">
            <v>1.0000000000000001E-5</v>
          </cell>
          <cell r="U27">
            <v>1.5440000000000001E-2</v>
          </cell>
          <cell r="V27">
            <v>0.24073</v>
          </cell>
          <cell r="AW27">
            <v>0</v>
          </cell>
          <cell r="AX27">
            <v>0</v>
          </cell>
          <cell r="AY27">
            <v>0</v>
          </cell>
          <cell r="AZ27">
            <v>5.6899999999999997E-3</v>
          </cell>
          <cell r="BB27">
            <v>-4.4999999999999999E-4</v>
          </cell>
          <cell r="BC27">
            <v>1.0300000000000001E-3</v>
          </cell>
          <cell r="BD27">
            <v>1.4999999999999999E-4</v>
          </cell>
          <cell r="BE27">
            <v>1.5440000000000001E-2</v>
          </cell>
          <cell r="BF27">
            <v>0.24073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-6.9999999999999994E-5</v>
          </cell>
          <cell r="Q28">
            <v>0</v>
          </cell>
          <cell r="R28">
            <v>5.4299999999999999E-3</v>
          </cell>
          <cell r="S28">
            <v>3.5E-4</v>
          </cell>
          <cell r="T28">
            <v>1.0000000000000001E-5</v>
          </cell>
          <cell r="U28">
            <v>1.3599999999999999E-2</v>
          </cell>
          <cell r="V28">
            <v>0.24073</v>
          </cell>
          <cell r="AW28">
            <v>0</v>
          </cell>
          <cell r="AX28">
            <v>0</v>
          </cell>
          <cell r="AY28">
            <v>0</v>
          </cell>
          <cell r="AZ28">
            <v>5.0099999999999997E-3</v>
          </cell>
          <cell r="BB28">
            <v>-4.0000000000000002E-4</v>
          </cell>
          <cell r="BC28">
            <v>1.0300000000000001E-3</v>
          </cell>
          <cell r="BD28">
            <v>1.3999999999999999E-4</v>
          </cell>
          <cell r="BE28">
            <v>1.3599999999999999E-2</v>
          </cell>
          <cell r="BF28">
            <v>0.24073</v>
          </cell>
        </row>
        <row r="29"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-6.9999999999999994E-5</v>
          </cell>
          <cell r="Q29">
            <v>0</v>
          </cell>
          <cell r="R29">
            <v>5.5300000000000002E-3</v>
          </cell>
          <cell r="S29">
            <v>3.5E-4</v>
          </cell>
          <cell r="T29">
            <v>0</v>
          </cell>
          <cell r="U29">
            <v>1.418E-2</v>
          </cell>
          <cell r="V29">
            <v>0.24073</v>
          </cell>
          <cell r="AW29">
            <v>0</v>
          </cell>
          <cell r="AX29">
            <v>0</v>
          </cell>
          <cell r="AY29">
            <v>0</v>
          </cell>
          <cell r="AZ29">
            <v>5.2199999999999998E-3</v>
          </cell>
          <cell r="BB29">
            <v>-4.0999999999999999E-4</v>
          </cell>
          <cell r="BC29">
            <v>1.0300000000000001E-3</v>
          </cell>
          <cell r="BD29">
            <v>0</v>
          </cell>
          <cell r="BE29">
            <v>1.418E-2</v>
          </cell>
          <cell r="BF29">
            <v>0.24073</v>
          </cell>
        </row>
        <row r="30"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-6.0000000000000002E-5</v>
          </cell>
          <cell r="Q30">
            <v>0</v>
          </cell>
          <cell r="R30">
            <v>4.8700000000000002E-3</v>
          </cell>
          <cell r="S30">
            <v>3.5E-4</v>
          </cell>
          <cell r="T30">
            <v>0</v>
          </cell>
          <cell r="U30">
            <v>1.2500000000000001E-2</v>
          </cell>
          <cell r="V30">
            <v>0.24073</v>
          </cell>
          <cell r="AW30">
            <v>0</v>
          </cell>
          <cell r="AX30">
            <v>0</v>
          </cell>
          <cell r="AY30">
            <v>0</v>
          </cell>
          <cell r="AZ30">
            <v>4.5999999999999999E-3</v>
          </cell>
          <cell r="BB30">
            <v>-3.6000000000000002E-4</v>
          </cell>
          <cell r="BC30">
            <v>1.0300000000000001E-3</v>
          </cell>
          <cell r="BD30">
            <v>0</v>
          </cell>
          <cell r="BE30">
            <v>1.2500000000000001E-2</v>
          </cell>
          <cell r="BF30">
            <v>0.24073</v>
          </cell>
        </row>
        <row r="31">
          <cell r="J31">
            <v>-4.5029999999999987E-2</v>
          </cell>
          <cell r="K31">
            <v>2.5569999999999999E-2</v>
          </cell>
          <cell r="L31">
            <v>-3.2000000000000003E-4</v>
          </cell>
          <cell r="M31">
            <v>0</v>
          </cell>
          <cell r="N31">
            <v>3.5599999999999998E-3</v>
          </cell>
          <cell r="O31">
            <v>5.6999999999999998E-4</v>
          </cell>
          <cell r="P31">
            <v>-4.0000000000000003E-5</v>
          </cell>
          <cell r="Q31">
            <v>0</v>
          </cell>
          <cell r="R31">
            <v>3.3999999999999998E-3</v>
          </cell>
          <cell r="S31">
            <v>0</v>
          </cell>
          <cell r="T31">
            <v>1.0000000000000001E-5</v>
          </cell>
          <cell r="U31">
            <v>8.6899999999999998E-3</v>
          </cell>
          <cell r="V31">
            <v>0.24073</v>
          </cell>
          <cell r="AW31">
            <v>0</v>
          </cell>
          <cell r="AX31">
            <v>2.529E-2</v>
          </cell>
          <cell r="AY31">
            <v>4.5899999999999995E-3</v>
          </cell>
          <cell r="AZ31">
            <v>3.2000000000000002E-3</v>
          </cell>
          <cell r="BB31">
            <v>-2.5000000000000001E-4</v>
          </cell>
          <cell r="BC31">
            <v>0</v>
          </cell>
          <cell r="BD31">
            <v>1.4999999999999999E-4</v>
          </cell>
          <cell r="BE31">
            <v>8.6899999999999998E-3</v>
          </cell>
          <cell r="BF31">
            <v>0.24073</v>
          </cell>
        </row>
        <row r="32">
          <cell r="J32">
            <v>-4.5029999999999987E-2</v>
          </cell>
          <cell r="K32">
            <v>2.2880000000000001E-2</v>
          </cell>
          <cell r="L32">
            <v>-2.7999999999999998E-4</v>
          </cell>
          <cell r="M32">
            <v>0</v>
          </cell>
          <cell r="N32">
            <v>3.1900000000000001E-3</v>
          </cell>
          <cell r="O32">
            <v>5.1000000000000004E-4</v>
          </cell>
          <cell r="P32">
            <v>-4.0000000000000003E-5</v>
          </cell>
          <cell r="Q32">
            <v>0</v>
          </cell>
          <cell r="R32">
            <v>3.0400000000000002E-3</v>
          </cell>
          <cell r="S32">
            <v>0</v>
          </cell>
          <cell r="T32">
            <v>1.0000000000000001E-5</v>
          </cell>
          <cell r="U32">
            <v>7.7799999999999996E-3</v>
          </cell>
          <cell r="V32">
            <v>0.24073</v>
          </cell>
          <cell r="AW32">
            <v>0</v>
          </cell>
          <cell r="AX32">
            <v>2.264E-2</v>
          </cell>
          <cell r="AY32">
            <v>4.1099999999999999E-3</v>
          </cell>
          <cell r="AZ32">
            <v>2.8600000000000001E-3</v>
          </cell>
          <cell r="BB32">
            <v>-2.3000000000000001E-4</v>
          </cell>
          <cell r="BC32">
            <v>0</v>
          </cell>
          <cell r="BD32">
            <v>1.3999999999999999E-4</v>
          </cell>
          <cell r="BE32">
            <v>7.7799999999999996E-3</v>
          </cell>
          <cell r="BF32">
            <v>0.24073</v>
          </cell>
        </row>
        <row r="33">
          <cell r="J33">
            <v>-4.5029999999999987E-2</v>
          </cell>
          <cell r="K33">
            <v>1.755E-2</v>
          </cell>
          <cell r="L33">
            <v>-2.2000000000000001E-4</v>
          </cell>
          <cell r="M33">
            <v>0</v>
          </cell>
          <cell r="N33">
            <v>2.4499999999999999E-3</v>
          </cell>
          <cell r="O33">
            <v>3.8999999999999999E-4</v>
          </cell>
          <cell r="P33">
            <v>-3.0000000000000001E-5</v>
          </cell>
          <cell r="Q33">
            <v>0</v>
          </cell>
          <cell r="R33">
            <v>2.33E-3</v>
          </cell>
          <cell r="S33">
            <v>0</v>
          </cell>
          <cell r="T33">
            <v>1.0000000000000001E-5</v>
          </cell>
          <cell r="U33">
            <v>5.9699999999999996E-3</v>
          </cell>
          <cell r="V33">
            <v>0.24073</v>
          </cell>
          <cell r="AW33">
            <v>0</v>
          </cell>
          <cell r="AX33">
            <v>1.7359999999999997E-2</v>
          </cell>
          <cell r="AY33">
            <v>3.15E-3</v>
          </cell>
          <cell r="AZ33">
            <v>2.1900000000000001E-3</v>
          </cell>
          <cell r="BB33">
            <v>-1.7000000000000001E-4</v>
          </cell>
          <cell r="BC33">
            <v>0</v>
          </cell>
          <cell r="BD33">
            <v>1.3999999999999999E-4</v>
          </cell>
          <cell r="BE33">
            <v>5.9699999999999996E-3</v>
          </cell>
          <cell r="BF33">
            <v>0.24073</v>
          </cell>
        </row>
        <row r="34">
          <cell r="J34">
            <v>-4.5029999999999987E-2</v>
          </cell>
          <cell r="K34">
            <v>1.404E-2</v>
          </cell>
          <cell r="L34">
            <v>-1.7000000000000001E-4</v>
          </cell>
          <cell r="M34">
            <v>0</v>
          </cell>
          <cell r="N34">
            <v>1.9599999999999999E-3</v>
          </cell>
          <cell r="O34">
            <v>3.2000000000000003E-4</v>
          </cell>
          <cell r="P34">
            <v>-2.0000000000000002E-5</v>
          </cell>
          <cell r="Q34">
            <v>0</v>
          </cell>
          <cell r="R34">
            <v>1.8699999999999999E-3</v>
          </cell>
          <cell r="S34">
            <v>0</v>
          </cell>
          <cell r="T34">
            <v>1.0000000000000001E-5</v>
          </cell>
          <cell r="U34">
            <v>4.7699999999999999E-3</v>
          </cell>
          <cell r="V34">
            <v>0.24073</v>
          </cell>
          <cell r="AW34">
            <v>0</v>
          </cell>
          <cell r="AX34">
            <v>1.3890000000000001E-2</v>
          </cell>
          <cell r="AY34">
            <v>2.5300000000000001E-3</v>
          </cell>
          <cell r="AZ34">
            <v>1.7600000000000001E-3</v>
          </cell>
          <cell r="BB34">
            <v>-1.3999999999999999E-4</v>
          </cell>
          <cell r="BC34">
            <v>0</v>
          </cell>
          <cell r="BD34">
            <v>1.2999999999999999E-4</v>
          </cell>
          <cell r="BE34">
            <v>4.7699999999999999E-3</v>
          </cell>
          <cell r="BF34">
            <v>0.24073</v>
          </cell>
        </row>
        <row r="35">
          <cell r="J35">
            <v>-4.5029999999999987E-2</v>
          </cell>
          <cell r="K35">
            <v>9.3600000000000003E-3</v>
          </cell>
          <cell r="L35">
            <v>-1.2E-4</v>
          </cell>
          <cell r="M35">
            <v>0</v>
          </cell>
          <cell r="N35">
            <v>1.2999999999999999E-3</v>
          </cell>
          <cell r="O35">
            <v>2.1000000000000001E-4</v>
          </cell>
          <cell r="P35">
            <v>-2.0000000000000002E-5</v>
          </cell>
          <cell r="Q35">
            <v>0</v>
          </cell>
          <cell r="R35">
            <v>1.24E-3</v>
          </cell>
          <cell r="S35">
            <v>0</v>
          </cell>
          <cell r="T35">
            <v>1.0000000000000001E-5</v>
          </cell>
          <cell r="U35">
            <v>3.1800000000000001E-3</v>
          </cell>
          <cell r="V35">
            <v>0.24073</v>
          </cell>
          <cell r="AW35">
            <v>0</v>
          </cell>
          <cell r="AX35">
            <v>9.2599999999999991E-3</v>
          </cell>
          <cell r="AY35">
            <v>1.6800000000000001E-3</v>
          </cell>
          <cell r="AZ35">
            <v>1.17E-3</v>
          </cell>
          <cell r="BB35">
            <v>-9.0000000000000006E-5</v>
          </cell>
          <cell r="BC35">
            <v>0</v>
          </cell>
          <cell r="BD35">
            <v>1.2999999999999999E-4</v>
          </cell>
          <cell r="BE35">
            <v>3.1800000000000001E-3</v>
          </cell>
          <cell r="BF35">
            <v>0.24073</v>
          </cell>
        </row>
        <row r="36">
          <cell r="J36">
            <v>-4.5029999999999987E-2</v>
          </cell>
          <cell r="K36">
            <v>3.5100000000000001E-3</v>
          </cell>
          <cell r="L36">
            <v>-4.0000000000000003E-5</v>
          </cell>
          <cell r="M36">
            <v>0</v>
          </cell>
          <cell r="N36">
            <v>4.8999999999999998E-4</v>
          </cell>
          <cell r="O36">
            <v>8.0000000000000007E-5</v>
          </cell>
          <cell r="P36">
            <v>-1.0000000000000001E-5</v>
          </cell>
          <cell r="Q36">
            <v>0</v>
          </cell>
          <cell r="R36">
            <v>4.6999999999999999E-4</v>
          </cell>
          <cell r="S36">
            <v>0</v>
          </cell>
          <cell r="T36">
            <v>1.0000000000000001E-5</v>
          </cell>
          <cell r="U36">
            <v>1.1900000000000001E-3</v>
          </cell>
          <cell r="V36">
            <v>0.24073</v>
          </cell>
          <cell r="AW36">
            <v>0</v>
          </cell>
          <cell r="AX36">
            <v>3.47E-3</v>
          </cell>
          <cell r="AY36">
            <v>6.2999999999999992E-4</v>
          </cell>
          <cell r="AZ36">
            <v>4.4000000000000002E-4</v>
          </cell>
          <cell r="BB36">
            <v>-3.0000000000000001E-5</v>
          </cell>
          <cell r="BC36">
            <v>0</v>
          </cell>
          <cell r="BD36">
            <v>1.2E-4</v>
          </cell>
          <cell r="BE36">
            <v>1.1900000000000001E-3</v>
          </cell>
          <cell r="BF36">
            <v>0.24073</v>
          </cell>
        </row>
        <row r="37">
          <cell r="J37">
            <v>-4.5029999999999987E-2</v>
          </cell>
          <cell r="K37">
            <v>0</v>
          </cell>
          <cell r="L37">
            <v>0</v>
          </cell>
          <cell r="M37">
            <v>0</v>
          </cell>
          <cell r="N37">
            <v>3.7499999999999999E-3</v>
          </cell>
          <cell r="O37">
            <v>5.9999999999999995E-4</v>
          </cell>
          <cell r="P37">
            <v>-4.0000000000000003E-5</v>
          </cell>
          <cell r="Q37">
            <v>0</v>
          </cell>
          <cell r="R37">
            <v>3.47E-3</v>
          </cell>
          <cell r="S37">
            <v>3.5E-4</v>
          </cell>
          <cell r="T37">
            <v>0</v>
          </cell>
          <cell r="U37">
            <v>8.43E-3</v>
          </cell>
          <cell r="V37">
            <v>0.24073</v>
          </cell>
          <cell r="AW37">
            <v>0</v>
          </cell>
          <cell r="AX37">
            <v>0</v>
          </cell>
          <cell r="AY37">
            <v>4.45E-3</v>
          </cell>
          <cell r="AZ37">
            <v>3.0999999999999999E-3</v>
          </cell>
          <cell r="BB37">
            <v>-2.5000000000000001E-4</v>
          </cell>
          <cell r="BC37">
            <v>1.0300000000000001E-3</v>
          </cell>
          <cell r="BD37">
            <v>3.0000000000000001E-5</v>
          </cell>
          <cell r="BE37">
            <v>8.43E-3</v>
          </cell>
          <cell r="BF37">
            <v>0.24073</v>
          </cell>
        </row>
        <row r="38">
          <cell r="J38">
            <v>-4.5029999999999987E-2</v>
          </cell>
          <cell r="K38">
            <v>0</v>
          </cell>
          <cell r="L38">
            <v>0</v>
          </cell>
          <cell r="M38">
            <v>0</v>
          </cell>
          <cell r="N38">
            <v>3.3600000000000001E-3</v>
          </cell>
          <cell r="O38">
            <v>5.4000000000000001E-4</v>
          </cell>
          <cell r="P38">
            <v>-4.0000000000000003E-5</v>
          </cell>
          <cell r="Q38">
            <v>0</v>
          </cell>
          <cell r="R38">
            <v>3.1099999999999999E-3</v>
          </cell>
          <cell r="S38">
            <v>3.5E-4</v>
          </cell>
          <cell r="T38">
            <v>0</v>
          </cell>
          <cell r="U38">
            <v>7.5399999999999998E-3</v>
          </cell>
          <cell r="V38">
            <v>0.24073</v>
          </cell>
          <cell r="AW38">
            <v>0</v>
          </cell>
          <cell r="AX38">
            <v>0</v>
          </cell>
          <cell r="AY38">
            <v>3.9900000000000005E-3</v>
          </cell>
          <cell r="AZ38">
            <v>2.7699999999999999E-3</v>
          </cell>
          <cell r="BB38">
            <v>-2.2000000000000001E-4</v>
          </cell>
          <cell r="BC38">
            <v>1.0300000000000001E-3</v>
          </cell>
          <cell r="BD38">
            <v>3.0000000000000001E-5</v>
          </cell>
          <cell r="BE38">
            <v>7.5399999999999998E-3</v>
          </cell>
          <cell r="BF38">
            <v>0.24073</v>
          </cell>
        </row>
        <row r="39">
          <cell r="J39">
            <v>-4.5029999999999987E-2</v>
          </cell>
          <cell r="K39">
            <v>0</v>
          </cell>
          <cell r="L39">
            <v>0</v>
          </cell>
          <cell r="M39">
            <v>0</v>
          </cell>
          <cell r="N39">
            <v>2.5699999999999998E-3</v>
          </cell>
          <cell r="O39">
            <v>4.0999999999999999E-4</v>
          </cell>
          <cell r="P39">
            <v>-3.0000000000000001E-5</v>
          </cell>
          <cell r="Q39">
            <v>0</v>
          </cell>
          <cell r="R39">
            <v>2.3800000000000002E-3</v>
          </cell>
          <cell r="S39">
            <v>3.5E-4</v>
          </cell>
          <cell r="T39">
            <v>0</v>
          </cell>
          <cell r="U39">
            <v>5.7800000000000004E-3</v>
          </cell>
          <cell r="V39">
            <v>0.24073</v>
          </cell>
          <cell r="AW39">
            <v>0</v>
          </cell>
          <cell r="AX39">
            <v>0</v>
          </cell>
          <cell r="AY39">
            <v>3.0600000000000002E-3</v>
          </cell>
          <cell r="AZ39">
            <v>2.1299999999999999E-3</v>
          </cell>
          <cell r="BB39">
            <v>-1.7000000000000001E-4</v>
          </cell>
          <cell r="BC39">
            <v>1.0300000000000001E-3</v>
          </cell>
          <cell r="BD39">
            <v>3.0000000000000001E-5</v>
          </cell>
          <cell r="BE39">
            <v>5.7800000000000004E-3</v>
          </cell>
          <cell r="BF39">
            <v>0.24073</v>
          </cell>
        </row>
        <row r="40">
          <cell r="J40">
            <v>-4.5029999999999987E-2</v>
          </cell>
          <cell r="K40">
            <v>0</v>
          </cell>
          <cell r="L40">
            <v>0</v>
          </cell>
          <cell r="M40">
            <v>0</v>
          </cell>
          <cell r="N40">
            <v>2.0600000000000002E-3</v>
          </cell>
          <cell r="O40">
            <v>3.3E-4</v>
          </cell>
          <cell r="P40">
            <v>-2.0000000000000002E-5</v>
          </cell>
          <cell r="Q40">
            <v>0</v>
          </cell>
          <cell r="R40">
            <v>1.91E-3</v>
          </cell>
          <cell r="S40">
            <v>3.5E-4</v>
          </cell>
          <cell r="T40">
            <v>0</v>
          </cell>
          <cell r="U40">
            <v>4.6299999999999996E-3</v>
          </cell>
          <cell r="V40">
            <v>0.24073</v>
          </cell>
          <cell r="AW40">
            <v>0</v>
          </cell>
          <cell r="AX40">
            <v>0</v>
          </cell>
          <cell r="AY40">
            <v>2.4499999999999999E-3</v>
          </cell>
          <cell r="AZ40">
            <v>1.6999999999999999E-3</v>
          </cell>
          <cell r="BB40">
            <v>-1.3999999999999999E-4</v>
          </cell>
          <cell r="BC40">
            <v>1.0300000000000001E-3</v>
          </cell>
          <cell r="BD40">
            <v>3.0000000000000001E-5</v>
          </cell>
          <cell r="BE40">
            <v>4.6299999999999996E-3</v>
          </cell>
          <cell r="BF40">
            <v>0.24073</v>
          </cell>
        </row>
        <row r="41">
          <cell r="J41">
            <v>-4.5029999999999987E-2</v>
          </cell>
          <cell r="K41">
            <v>0</v>
          </cell>
          <cell r="L41">
            <v>0</v>
          </cell>
          <cell r="M41">
            <v>0</v>
          </cell>
          <cell r="N41">
            <v>1.3699999999999999E-3</v>
          </cell>
          <cell r="O41">
            <v>2.2000000000000001E-4</v>
          </cell>
          <cell r="P41">
            <v>-2.0000000000000002E-5</v>
          </cell>
          <cell r="Q41">
            <v>0</v>
          </cell>
          <cell r="R41">
            <v>1.2700000000000001E-3</v>
          </cell>
          <cell r="S41">
            <v>3.5E-4</v>
          </cell>
          <cell r="T41">
            <v>0</v>
          </cell>
          <cell r="U41">
            <v>3.0899999999999999E-3</v>
          </cell>
          <cell r="V41">
            <v>0.24073</v>
          </cell>
          <cell r="AW41">
            <v>0</v>
          </cell>
          <cell r="AX41">
            <v>0</v>
          </cell>
          <cell r="AY41">
            <v>1.6300000000000002E-3</v>
          </cell>
          <cell r="AZ41">
            <v>1.14E-3</v>
          </cell>
          <cell r="BB41">
            <v>-9.0000000000000006E-5</v>
          </cell>
          <cell r="BC41">
            <v>1.0300000000000001E-3</v>
          </cell>
          <cell r="BD41">
            <v>3.0000000000000001E-5</v>
          </cell>
          <cell r="BE41">
            <v>3.0899999999999999E-3</v>
          </cell>
          <cell r="BF41">
            <v>0.24073</v>
          </cell>
        </row>
        <row r="42">
          <cell r="J42">
            <v>-4.5029999999999987E-2</v>
          </cell>
          <cell r="K42">
            <v>0</v>
          </cell>
          <cell r="L42">
            <v>0</v>
          </cell>
          <cell r="M42">
            <v>0</v>
          </cell>
          <cell r="N42">
            <v>5.1000000000000004E-4</v>
          </cell>
          <cell r="O42">
            <v>8.0000000000000007E-5</v>
          </cell>
          <cell r="P42">
            <v>-1.0000000000000001E-5</v>
          </cell>
          <cell r="Q42">
            <v>0</v>
          </cell>
          <cell r="R42">
            <v>4.8000000000000001E-4</v>
          </cell>
          <cell r="S42">
            <v>3.5E-4</v>
          </cell>
          <cell r="T42">
            <v>0</v>
          </cell>
          <cell r="U42">
            <v>1.16E-3</v>
          </cell>
          <cell r="V42">
            <v>0.24073</v>
          </cell>
          <cell r="AW42">
            <v>0</v>
          </cell>
          <cell r="AX42">
            <v>0</v>
          </cell>
          <cell r="AY42">
            <v>6.0999999999999997E-4</v>
          </cell>
          <cell r="AZ42">
            <v>4.2999999999999999E-4</v>
          </cell>
          <cell r="BB42">
            <v>-3.0000000000000001E-5</v>
          </cell>
          <cell r="BC42">
            <v>1.0300000000000001E-3</v>
          </cell>
          <cell r="BD42">
            <v>3.0000000000000001E-5</v>
          </cell>
          <cell r="BE42">
            <v>1.16E-3</v>
          </cell>
          <cell r="BF42">
            <v>0.24073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-3.0000000000000001E-5</v>
          </cell>
          <cell r="Q43">
            <v>0</v>
          </cell>
          <cell r="R43">
            <v>2.1900000000000001E-3</v>
          </cell>
          <cell r="S43">
            <v>3.5E-4</v>
          </cell>
          <cell r="T43">
            <v>2.0000000000000002E-5</v>
          </cell>
          <cell r="U43">
            <v>5.2399999999999999E-3</v>
          </cell>
          <cell r="V43">
            <v>0.24073</v>
          </cell>
          <cell r="AW43">
            <v>0</v>
          </cell>
          <cell r="AX43">
            <v>0</v>
          </cell>
          <cell r="AY43">
            <v>0</v>
          </cell>
          <cell r="AZ43">
            <v>1.9300000000000001E-3</v>
          </cell>
          <cell r="BB43">
            <v>-1.4999999999999999E-4</v>
          </cell>
          <cell r="BC43">
            <v>1.0300000000000001E-3</v>
          </cell>
          <cell r="BD43">
            <v>1.2E-4</v>
          </cell>
          <cell r="BE43">
            <v>5.2399999999999999E-3</v>
          </cell>
          <cell r="BF43">
            <v>0.24073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-2.0000000000000002E-5</v>
          </cell>
          <cell r="Q44">
            <v>0</v>
          </cell>
          <cell r="R44">
            <v>1.9599999999999999E-3</v>
          </cell>
          <cell r="S44">
            <v>3.5E-4</v>
          </cell>
          <cell r="T44">
            <v>2.0000000000000002E-5</v>
          </cell>
          <cell r="U44">
            <v>4.6899999999999997E-3</v>
          </cell>
          <cell r="V44">
            <v>0.24073</v>
          </cell>
          <cell r="AW44">
            <v>0</v>
          </cell>
          <cell r="AX44">
            <v>0</v>
          </cell>
          <cell r="AY44">
            <v>0</v>
          </cell>
          <cell r="AZ44">
            <v>1.73E-3</v>
          </cell>
          <cell r="BB44">
            <v>-1.3999999999999999E-4</v>
          </cell>
          <cell r="BC44">
            <v>1.0300000000000001E-3</v>
          </cell>
          <cell r="BD44">
            <v>1.2E-4</v>
          </cell>
          <cell r="BE44">
            <v>4.6899999999999997E-3</v>
          </cell>
          <cell r="BF44">
            <v>0.24073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-2.0000000000000002E-5</v>
          </cell>
          <cell r="Q45">
            <v>0</v>
          </cell>
          <cell r="R45">
            <v>1.5E-3</v>
          </cell>
          <cell r="S45">
            <v>3.5E-4</v>
          </cell>
          <cell r="T45">
            <v>2.0000000000000002E-5</v>
          </cell>
          <cell r="U45">
            <v>3.5999999999999999E-3</v>
          </cell>
          <cell r="V45">
            <v>0.24073</v>
          </cell>
          <cell r="AW45">
            <v>0</v>
          </cell>
          <cell r="AX45">
            <v>0</v>
          </cell>
          <cell r="AY45">
            <v>0</v>
          </cell>
          <cell r="AZ45">
            <v>1.33E-3</v>
          </cell>
          <cell r="BB45">
            <v>-1.1E-4</v>
          </cell>
          <cell r="BC45">
            <v>1.0300000000000001E-3</v>
          </cell>
          <cell r="BD45">
            <v>1.1E-4</v>
          </cell>
          <cell r="BE45">
            <v>3.5999999999999999E-3</v>
          </cell>
          <cell r="BF45">
            <v>0.24073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-2.0000000000000002E-5</v>
          </cell>
          <cell r="Q46">
            <v>0</v>
          </cell>
          <cell r="R46">
            <v>1.1999999999999999E-3</v>
          </cell>
          <cell r="S46">
            <v>3.5E-4</v>
          </cell>
          <cell r="T46">
            <v>1.0000000000000001E-5</v>
          </cell>
          <cell r="U46">
            <v>2.8800000000000002E-3</v>
          </cell>
          <cell r="V46">
            <v>0.24073</v>
          </cell>
          <cell r="AW46">
            <v>0</v>
          </cell>
          <cell r="AX46">
            <v>0</v>
          </cell>
          <cell r="AY46">
            <v>0</v>
          </cell>
          <cell r="AZ46">
            <v>1.06E-3</v>
          </cell>
          <cell r="BB46">
            <v>-8.0000000000000007E-5</v>
          </cell>
          <cell r="BC46">
            <v>1.0300000000000001E-3</v>
          </cell>
          <cell r="BD46">
            <v>1.1E-4</v>
          </cell>
          <cell r="BE46">
            <v>2.8800000000000002E-3</v>
          </cell>
          <cell r="BF46">
            <v>0.24073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-1.0000000000000001E-5</v>
          </cell>
          <cell r="Q47">
            <v>0</v>
          </cell>
          <cell r="R47">
            <v>8.0000000000000004E-4</v>
          </cell>
          <cell r="S47">
            <v>3.5E-4</v>
          </cell>
          <cell r="T47">
            <v>1.0000000000000001E-5</v>
          </cell>
          <cell r="U47">
            <v>1.92E-3</v>
          </cell>
          <cell r="V47">
            <v>0.24073</v>
          </cell>
          <cell r="AW47">
            <v>0</v>
          </cell>
          <cell r="AX47">
            <v>0</v>
          </cell>
          <cell r="AY47">
            <v>0</v>
          </cell>
          <cell r="AZ47">
            <v>7.1000000000000002E-4</v>
          </cell>
          <cell r="BB47">
            <v>-6.0000000000000002E-5</v>
          </cell>
          <cell r="BC47">
            <v>1.0300000000000001E-3</v>
          </cell>
          <cell r="BD47">
            <v>1E-4</v>
          </cell>
          <cell r="BE47">
            <v>1.92E-3</v>
          </cell>
          <cell r="BF47">
            <v>0.24073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2.9999999999999997E-4</v>
          </cell>
          <cell r="S48">
            <v>3.5E-4</v>
          </cell>
          <cell r="T48">
            <v>1.0000000000000001E-5</v>
          </cell>
          <cell r="U48">
            <v>7.2000000000000005E-4</v>
          </cell>
          <cell r="V48">
            <v>0.24073</v>
          </cell>
          <cell r="AW48">
            <v>0</v>
          </cell>
          <cell r="AX48">
            <v>0</v>
          </cell>
          <cell r="AY48">
            <v>0</v>
          </cell>
          <cell r="AZ48">
            <v>2.7E-4</v>
          </cell>
          <cell r="BB48">
            <v>-2.0000000000000002E-5</v>
          </cell>
          <cell r="BC48">
            <v>1.0300000000000001E-3</v>
          </cell>
          <cell r="BD48">
            <v>1E-4</v>
          </cell>
          <cell r="BE48">
            <v>7.2000000000000005E-4</v>
          </cell>
          <cell r="BF48">
            <v>0.24073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-3.0000000000000001E-5</v>
          </cell>
          <cell r="Q49">
            <v>0</v>
          </cell>
          <cell r="R49">
            <v>2.31E-3</v>
          </cell>
          <cell r="S49">
            <v>3.5E-4</v>
          </cell>
          <cell r="T49">
            <v>1.0000000000000001E-5</v>
          </cell>
          <cell r="U49">
            <v>5.5900000000000004E-3</v>
          </cell>
          <cell r="V49">
            <v>0.24073</v>
          </cell>
          <cell r="AW49">
            <v>0</v>
          </cell>
          <cell r="AX49">
            <v>0</v>
          </cell>
          <cell r="AY49">
            <v>0</v>
          </cell>
          <cell r="AZ49">
            <v>2.0600000000000002E-3</v>
          </cell>
          <cell r="BB49">
            <v>-1.6000000000000001E-4</v>
          </cell>
          <cell r="BC49">
            <v>1.0300000000000001E-3</v>
          </cell>
          <cell r="BD49">
            <v>1E-4</v>
          </cell>
          <cell r="BE49">
            <v>5.5900000000000004E-3</v>
          </cell>
          <cell r="BF49">
            <v>0.24073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-3.0000000000000001E-5</v>
          </cell>
          <cell r="Q50">
            <v>0</v>
          </cell>
          <cell r="R50">
            <v>2.0699999999999998E-3</v>
          </cell>
          <cell r="S50">
            <v>3.5E-4</v>
          </cell>
          <cell r="T50">
            <v>1.0000000000000001E-5</v>
          </cell>
          <cell r="U50">
            <v>5.0099999999999997E-3</v>
          </cell>
          <cell r="V50">
            <v>0.24073</v>
          </cell>
          <cell r="AW50">
            <v>0</v>
          </cell>
          <cell r="AX50">
            <v>0</v>
          </cell>
          <cell r="AY50">
            <v>0</v>
          </cell>
          <cell r="AZ50">
            <v>1.8400000000000001E-3</v>
          </cell>
          <cell r="BB50">
            <v>-1.4999999999999999E-4</v>
          </cell>
          <cell r="BC50">
            <v>1.0300000000000001E-3</v>
          </cell>
          <cell r="BD50">
            <v>1E-4</v>
          </cell>
          <cell r="BE50">
            <v>5.0099999999999997E-3</v>
          </cell>
          <cell r="BF50">
            <v>0.24073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-2.0000000000000002E-5</v>
          </cell>
          <cell r="Q51">
            <v>0</v>
          </cell>
          <cell r="R51">
            <v>1.5900000000000001E-3</v>
          </cell>
          <cell r="S51">
            <v>3.5E-4</v>
          </cell>
          <cell r="T51">
            <v>1.0000000000000001E-5</v>
          </cell>
          <cell r="U51">
            <v>3.8400000000000001E-3</v>
          </cell>
          <cell r="V51">
            <v>0.24073</v>
          </cell>
          <cell r="AW51">
            <v>0</v>
          </cell>
          <cell r="AX51">
            <v>0</v>
          </cell>
          <cell r="AY51">
            <v>0</v>
          </cell>
          <cell r="AZ51">
            <v>1.41E-3</v>
          </cell>
          <cell r="BB51">
            <v>-1.1E-4</v>
          </cell>
          <cell r="BC51">
            <v>1.0300000000000001E-3</v>
          </cell>
          <cell r="BD51">
            <v>9.0000000000000006E-5</v>
          </cell>
          <cell r="BE51">
            <v>3.8400000000000001E-3</v>
          </cell>
          <cell r="BF51">
            <v>0.24073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-2.0000000000000002E-5</v>
          </cell>
          <cell r="Q52">
            <v>0</v>
          </cell>
          <cell r="R52">
            <v>1.2700000000000001E-3</v>
          </cell>
          <cell r="S52">
            <v>3.5E-4</v>
          </cell>
          <cell r="T52">
            <v>1.0000000000000001E-5</v>
          </cell>
          <cell r="U52">
            <v>3.0699999999999998E-3</v>
          </cell>
          <cell r="V52">
            <v>0.24073</v>
          </cell>
          <cell r="AW52">
            <v>0</v>
          </cell>
          <cell r="AX52">
            <v>0</v>
          </cell>
          <cell r="AY52">
            <v>0</v>
          </cell>
          <cell r="AZ52">
            <v>1.1299999999999999E-3</v>
          </cell>
          <cell r="BB52">
            <v>-9.0000000000000006E-5</v>
          </cell>
          <cell r="BC52">
            <v>1.0300000000000001E-3</v>
          </cell>
          <cell r="BD52">
            <v>9.0000000000000006E-5</v>
          </cell>
          <cell r="BE52">
            <v>3.0699999999999998E-3</v>
          </cell>
          <cell r="BF52">
            <v>0.24073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-1.0000000000000001E-5</v>
          </cell>
          <cell r="Q53">
            <v>0</v>
          </cell>
          <cell r="R53">
            <v>8.4999999999999995E-4</v>
          </cell>
          <cell r="S53">
            <v>3.5E-4</v>
          </cell>
          <cell r="T53">
            <v>1.0000000000000001E-5</v>
          </cell>
          <cell r="U53">
            <v>2.0500000000000002E-3</v>
          </cell>
          <cell r="V53">
            <v>0.24073</v>
          </cell>
          <cell r="AW53">
            <v>0</v>
          </cell>
          <cell r="AX53">
            <v>0</v>
          </cell>
          <cell r="AY53">
            <v>0</v>
          </cell>
          <cell r="AZ53">
            <v>7.5000000000000002E-4</v>
          </cell>
          <cell r="BB53">
            <v>-6.0000000000000002E-5</v>
          </cell>
          <cell r="BC53">
            <v>1.0300000000000001E-3</v>
          </cell>
          <cell r="BD53">
            <v>9.0000000000000006E-5</v>
          </cell>
          <cell r="BE53">
            <v>2.0500000000000002E-3</v>
          </cell>
          <cell r="BF53">
            <v>0.24073</v>
          </cell>
        </row>
        <row r="54"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3.2000000000000003E-4</v>
          </cell>
          <cell r="S54">
            <v>3.5E-4</v>
          </cell>
          <cell r="T54">
            <v>1.0000000000000001E-5</v>
          </cell>
          <cell r="U54">
            <v>7.6999999999999996E-4</v>
          </cell>
          <cell r="V54">
            <v>0.24073</v>
          </cell>
          <cell r="AW54">
            <v>0</v>
          </cell>
          <cell r="AX54">
            <v>0</v>
          </cell>
          <cell r="AY54">
            <v>0</v>
          </cell>
          <cell r="AZ54">
            <v>2.7999999999999998E-4</v>
          </cell>
          <cell r="BB54">
            <v>-2.0000000000000002E-5</v>
          </cell>
          <cell r="BC54">
            <v>1.0300000000000001E-3</v>
          </cell>
          <cell r="BD54">
            <v>8.0000000000000007E-5</v>
          </cell>
          <cell r="BE54">
            <v>7.6999999999999996E-4</v>
          </cell>
          <cell r="BF54">
            <v>0.24073</v>
          </cell>
        </row>
        <row r="55">
          <cell r="J55">
            <v>-1.2729999999999991E-2</v>
          </cell>
          <cell r="K55">
            <v>1.9529999999999999E-2</v>
          </cell>
          <cell r="L55">
            <v>-2.4000000000000001E-4</v>
          </cell>
          <cell r="M55">
            <v>0</v>
          </cell>
          <cell r="N55">
            <v>2.7200000000000002E-3</v>
          </cell>
          <cell r="O55">
            <v>4.4000000000000002E-4</v>
          </cell>
          <cell r="P55">
            <v>-3.0000000000000001E-5</v>
          </cell>
          <cell r="Q55">
            <v>0</v>
          </cell>
          <cell r="R55">
            <v>2.5200000000000001E-3</v>
          </cell>
          <cell r="S55">
            <v>0</v>
          </cell>
          <cell r="T55">
            <v>1.0000000000000001E-5</v>
          </cell>
          <cell r="U55">
            <v>6.4200000000000004E-3</v>
          </cell>
          <cell r="V55">
            <v>0.24073</v>
          </cell>
          <cell r="AW55">
            <v>0</v>
          </cell>
          <cell r="AX55">
            <v>1.8700000000000001E-2</v>
          </cell>
          <cell r="AY55">
            <v>3.4000000000000002E-3</v>
          </cell>
          <cell r="AZ55">
            <v>2.3600000000000001E-3</v>
          </cell>
          <cell r="BB55">
            <v>-1.9000000000000001E-4</v>
          </cell>
          <cell r="BC55">
            <v>0</v>
          </cell>
          <cell r="BD55">
            <v>1.8000000000000001E-4</v>
          </cell>
          <cell r="BE55">
            <v>6.4200000000000004E-3</v>
          </cell>
          <cell r="BF55">
            <v>0.24073</v>
          </cell>
        </row>
        <row r="56">
          <cell r="J56">
            <v>-1.2729999999999991E-2</v>
          </cell>
          <cell r="K56">
            <v>1.7479999999999999E-2</v>
          </cell>
          <cell r="L56">
            <v>-2.2000000000000001E-4</v>
          </cell>
          <cell r="M56">
            <v>0</v>
          </cell>
          <cell r="N56">
            <v>2.4399999999999999E-3</v>
          </cell>
          <cell r="O56">
            <v>3.8999999999999999E-4</v>
          </cell>
          <cell r="P56">
            <v>-3.0000000000000001E-5</v>
          </cell>
          <cell r="Q56">
            <v>0</v>
          </cell>
          <cell r="R56">
            <v>2.2599999999999999E-3</v>
          </cell>
          <cell r="S56">
            <v>0</v>
          </cell>
          <cell r="T56">
            <v>1.0000000000000001E-5</v>
          </cell>
          <cell r="U56">
            <v>5.7499999999999999E-3</v>
          </cell>
          <cell r="V56">
            <v>0.24073</v>
          </cell>
          <cell r="AW56">
            <v>0</v>
          </cell>
          <cell r="AX56">
            <v>1.6740000000000001E-2</v>
          </cell>
          <cell r="AY56">
            <v>3.0400000000000002E-3</v>
          </cell>
          <cell r="AZ56">
            <v>2.1199999999999999E-3</v>
          </cell>
          <cell r="BB56">
            <v>-1.7000000000000001E-4</v>
          </cell>
          <cell r="BC56">
            <v>0</v>
          </cell>
          <cell r="BD56">
            <v>1.8000000000000001E-4</v>
          </cell>
          <cell r="BE56">
            <v>5.7499999999999999E-3</v>
          </cell>
          <cell r="BF56">
            <v>0.24073</v>
          </cell>
        </row>
        <row r="57">
          <cell r="J57">
            <v>-1.2729999999999991E-2</v>
          </cell>
          <cell r="K57">
            <v>1.34E-2</v>
          </cell>
          <cell r="L57">
            <v>-1.7000000000000001E-4</v>
          </cell>
          <cell r="M57">
            <v>0</v>
          </cell>
          <cell r="N57">
            <v>1.8699999999999999E-3</v>
          </cell>
          <cell r="O57">
            <v>2.9999999999999997E-4</v>
          </cell>
          <cell r="P57">
            <v>-2.0000000000000002E-5</v>
          </cell>
          <cell r="Q57">
            <v>0</v>
          </cell>
          <cell r="R57">
            <v>1.73E-3</v>
          </cell>
          <cell r="S57">
            <v>0</v>
          </cell>
          <cell r="T57">
            <v>1.0000000000000001E-5</v>
          </cell>
          <cell r="U57">
            <v>4.4099999999999999E-3</v>
          </cell>
          <cell r="V57">
            <v>0.24073</v>
          </cell>
          <cell r="AW57">
            <v>0</v>
          </cell>
          <cell r="AX57">
            <v>1.2840000000000001E-2</v>
          </cell>
          <cell r="AY57">
            <v>2.33E-3</v>
          </cell>
          <cell r="AZ57">
            <v>1.6199999999999999E-3</v>
          </cell>
          <cell r="BB57">
            <v>-1.2999999999999999E-4</v>
          </cell>
          <cell r="BC57">
            <v>0</v>
          </cell>
          <cell r="BD57">
            <v>1.7000000000000001E-4</v>
          </cell>
          <cell r="BE57">
            <v>4.4099999999999999E-3</v>
          </cell>
          <cell r="BF57">
            <v>0.24073</v>
          </cell>
        </row>
        <row r="58">
          <cell r="J58">
            <v>-1.2729999999999991E-2</v>
          </cell>
          <cell r="K58">
            <v>1.072E-2</v>
          </cell>
          <cell r="L58">
            <v>-1.2999999999999999E-4</v>
          </cell>
          <cell r="M58">
            <v>0</v>
          </cell>
          <cell r="N58">
            <v>1.49E-3</v>
          </cell>
          <cell r="O58">
            <v>2.4000000000000001E-4</v>
          </cell>
          <cell r="P58">
            <v>-2.0000000000000002E-5</v>
          </cell>
          <cell r="Q58">
            <v>0</v>
          </cell>
          <cell r="R58">
            <v>1.3799999999999999E-3</v>
          </cell>
          <cell r="S58">
            <v>0</v>
          </cell>
          <cell r="T58">
            <v>1.0000000000000001E-5</v>
          </cell>
          <cell r="U58">
            <v>3.5300000000000002E-3</v>
          </cell>
          <cell r="V58">
            <v>0.24073</v>
          </cell>
          <cell r="AW58">
            <v>0</v>
          </cell>
          <cell r="AX58">
            <v>1.026E-2</v>
          </cell>
          <cell r="AY58">
            <v>1.8699999999999999E-3</v>
          </cell>
          <cell r="AZ58">
            <v>1.2999999999999999E-3</v>
          </cell>
          <cell r="BB58">
            <v>-1E-4</v>
          </cell>
          <cell r="BC58">
            <v>0</v>
          </cell>
          <cell r="BD58">
            <v>1.7000000000000001E-4</v>
          </cell>
          <cell r="BE58">
            <v>3.5300000000000002E-3</v>
          </cell>
          <cell r="BF58">
            <v>0.24073</v>
          </cell>
        </row>
        <row r="59">
          <cell r="J59">
            <v>-1.2729999999999991E-2</v>
          </cell>
          <cell r="K59">
            <v>7.1500000000000001E-3</v>
          </cell>
          <cell r="L59">
            <v>-9.0000000000000006E-5</v>
          </cell>
          <cell r="M59">
            <v>0</v>
          </cell>
          <cell r="N59">
            <v>1E-3</v>
          </cell>
          <cell r="O59">
            <v>1.6000000000000001E-4</v>
          </cell>
          <cell r="P59">
            <v>-1.0000000000000001E-5</v>
          </cell>
          <cell r="Q59">
            <v>0</v>
          </cell>
          <cell r="R59">
            <v>9.2000000000000003E-4</v>
          </cell>
          <cell r="S59">
            <v>0</v>
          </cell>
          <cell r="T59">
            <v>1.0000000000000001E-5</v>
          </cell>
          <cell r="U59">
            <v>2.3500000000000001E-3</v>
          </cell>
          <cell r="V59">
            <v>0.24073</v>
          </cell>
          <cell r="AW59">
            <v>0</v>
          </cell>
          <cell r="AX59">
            <v>6.8499999999999993E-3</v>
          </cell>
          <cell r="AY59">
            <v>1.25E-3</v>
          </cell>
          <cell r="AZ59">
            <v>8.7000000000000001E-4</v>
          </cell>
          <cell r="BB59">
            <v>-6.9999999999999994E-5</v>
          </cell>
          <cell r="BC59">
            <v>0</v>
          </cell>
          <cell r="BD59">
            <v>1.6000000000000001E-4</v>
          </cell>
          <cell r="BE59">
            <v>2.3500000000000001E-3</v>
          </cell>
          <cell r="BF59">
            <v>0.24073</v>
          </cell>
        </row>
        <row r="60">
          <cell r="J60">
            <v>-1.2729999999999991E-2</v>
          </cell>
          <cell r="K60">
            <v>2.6800000000000001E-3</v>
          </cell>
          <cell r="L60">
            <v>-3.0000000000000001E-5</v>
          </cell>
          <cell r="M60">
            <v>0</v>
          </cell>
          <cell r="N60">
            <v>3.6999999999999999E-4</v>
          </cell>
          <cell r="O60">
            <v>6.0000000000000002E-5</v>
          </cell>
          <cell r="P60">
            <v>0</v>
          </cell>
          <cell r="Q60">
            <v>0</v>
          </cell>
          <cell r="R60">
            <v>3.5E-4</v>
          </cell>
          <cell r="S60">
            <v>0</v>
          </cell>
          <cell r="T60">
            <v>1.0000000000000001E-5</v>
          </cell>
          <cell r="U60">
            <v>8.8000000000000003E-4</v>
          </cell>
          <cell r="V60">
            <v>0.24073</v>
          </cell>
          <cell r="AW60">
            <v>0</v>
          </cell>
          <cell r="AX60">
            <v>2.5600000000000002E-3</v>
          </cell>
          <cell r="AY60">
            <v>4.6000000000000001E-4</v>
          </cell>
          <cell r="AZ60">
            <v>3.2000000000000003E-4</v>
          </cell>
          <cell r="BB60">
            <v>-3.0000000000000001E-5</v>
          </cell>
          <cell r="BC60">
            <v>0</v>
          </cell>
          <cell r="BD60">
            <v>1.4999999999999999E-4</v>
          </cell>
          <cell r="BE60">
            <v>8.8000000000000003E-4</v>
          </cell>
          <cell r="BF60">
            <v>0.24073</v>
          </cell>
        </row>
        <row r="61">
          <cell r="J61">
            <v>-1.2729999999999991E-2</v>
          </cell>
          <cell r="K61">
            <v>0</v>
          </cell>
          <cell r="L61">
            <v>0</v>
          </cell>
          <cell r="M61">
            <v>0</v>
          </cell>
          <cell r="N61">
            <v>3.1900000000000001E-3</v>
          </cell>
          <cell r="O61">
            <v>5.1999999999999995E-4</v>
          </cell>
          <cell r="P61">
            <v>-4.0000000000000003E-5</v>
          </cell>
          <cell r="Q61">
            <v>0</v>
          </cell>
          <cell r="R61">
            <v>2.96E-3</v>
          </cell>
          <cell r="S61">
            <v>3.5E-4</v>
          </cell>
          <cell r="T61">
            <v>1.0000000000000001E-5</v>
          </cell>
          <cell r="U61">
            <v>7.6400000000000001E-3</v>
          </cell>
          <cell r="V61">
            <v>0.24073</v>
          </cell>
          <cell r="AW61">
            <v>0</v>
          </cell>
          <cell r="AX61">
            <v>0</v>
          </cell>
          <cell r="AY61">
            <v>4.0400000000000002E-3</v>
          </cell>
          <cell r="AZ61">
            <v>2.81E-3</v>
          </cell>
          <cell r="BB61">
            <v>-2.2000000000000001E-4</v>
          </cell>
          <cell r="BC61">
            <v>1.0300000000000001E-3</v>
          </cell>
          <cell r="BD61">
            <v>6.9999999999999994E-5</v>
          </cell>
          <cell r="BE61">
            <v>7.6400000000000001E-3</v>
          </cell>
          <cell r="BF61">
            <v>0.24073</v>
          </cell>
        </row>
        <row r="62">
          <cell r="J62">
            <v>-1.2729999999999991E-2</v>
          </cell>
          <cell r="K62">
            <v>0</v>
          </cell>
          <cell r="L62">
            <v>0</v>
          </cell>
          <cell r="M62">
            <v>0</v>
          </cell>
          <cell r="N62">
            <v>2.8600000000000001E-3</v>
          </cell>
          <cell r="O62">
            <v>4.6000000000000001E-4</v>
          </cell>
          <cell r="P62">
            <v>-3.0000000000000001E-5</v>
          </cell>
          <cell r="Q62">
            <v>0</v>
          </cell>
          <cell r="R62">
            <v>2.65E-3</v>
          </cell>
          <cell r="S62">
            <v>3.5E-4</v>
          </cell>
          <cell r="T62">
            <v>0</v>
          </cell>
          <cell r="U62">
            <v>6.8300000000000001E-3</v>
          </cell>
          <cell r="V62">
            <v>0.24073</v>
          </cell>
          <cell r="AW62">
            <v>0</v>
          </cell>
          <cell r="AX62">
            <v>0</v>
          </cell>
          <cell r="AY62">
            <v>3.62E-3</v>
          </cell>
          <cell r="AZ62">
            <v>2.5200000000000001E-3</v>
          </cell>
          <cell r="BB62">
            <v>-2.0000000000000001E-4</v>
          </cell>
          <cell r="BC62">
            <v>1.0300000000000001E-3</v>
          </cell>
          <cell r="BD62">
            <v>6.9999999999999994E-5</v>
          </cell>
          <cell r="BE62">
            <v>6.8300000000000001E-3</v>
          </cell>
          <cell r="BF62">
            <v>0.24073</v>
          </cell>
        </row>
        <row r="63">
          <cell r="J63">
            <v>-1.2729999999999991E-2</v>
          </cell>
          <cell r="K63">
            <v>0</v>
          </cell>
          <cell r="L63">
            <v>0</v>
          </cell>
          <cell r="M63">
            <v>0</v>
          </cell>
          <cell r="N63">
            <v>2.1900000000000001E-3</v>
          </cell>
          <cell r="O63">
            <v>3.5E-4</v>
          </cell>
          <cell r="P63">
            <v>-2.0000000000000002E-5</v>
          </cell>
          <cell r="Q63">
            <v>0</v>
          </cell>
          <cell r="R63">
            <v>2.0300000000000001E-3</v>
          </cell>
          <cell r="S63">
            <v>3.5E-4</v>
          </cell>
          <cell r="T63">
            <v>0</v>
          </cell>
          <cell r="U63">
            <v>5.2399999999999999E-3</v>
          </cell>
          <cell r="V63">
            <v>0.24073</v>
          </cell>
          <cell r="AW63">
            <v>0</v>
          </cell>
          <cell r="AX63">
            <v>0</v>
          </cell>
          <cell r="AY63">
            <v>2.7799999999999999E-3</v>
          </cell>
          <cell r="AZ63">
            <v>1.9300000000000001E-3</v>
          </cell>
          <cell r="BB63">
            <v>-1.4999999999999999E-4</v>
          </cell>
          <cell r="BC63">
            <v>1.0300000000000001E-3</v>
          </cell>
          <cell r="BD63">
            <v>6.9999999999999994E-5</v>
          </cell>
          <cell r="BE63">
            <v>5.2399999999999999E-3</v>
          </cell>
          <cell r="BF63">
            <v>0.24073</v>
          </cell>
        </row>
        <row r="64">
          <cell r="J64">
            <v>-1.2729999999999991E-2</v>
          </cell>
          <cell r="K64">
            <v>0</v>
          </cell>
          <cell r="L64">
            <v>0</v>
          </cell>
          <cell r="M64">
            <v>0</v>
          </cell>
          <cell r="N64">
            <v>1.75E-3</v>
          </cell>
          <cell r="O64">
            <v>2.7999999999999998E-4</v>
          </cell>
          <cell r="P64">
            <v>-2.0000000000000002E-5</v>
          </cell>
          <cell r="Q64">
            <v>0</v>
          </cell>
          <cell r="R64">
            <v>1.6299999999999999E-3</v>
          </cell>
          <cell r="S64">
            <v>3.5E-4</v>
          </cell>
          <cell r="T64">
            <v>0</v>
          </cell>
          <cell r="U64">
            <v>4.1900000000000001E-3</v>
          </cell>
          <cell r="V64">
            <v>0.24073</v>
          </cell>
          <cell r="AW64">
            <v>0</v>
          </cell>
          <cell r="AX64">
            <v>0</v>
          </cell>
          <cell r="AY64">
            <v>2.2199999999999998E-3</v>
          </cell>
          <cell r="AZ64">
            <v>1.5399999999999999E-3</v>
          </cell>
          <cell r="BB64">
            <v>-1.2E-4</v>
          </cell>
          <cell r="BC64">
            <v>1.0300000000000001E-3</v>
          </cell>
          <cell r="BD64">
            <v>6.9999999999999994E-5</v>
          </cell>
          <cell r="BE64">
            <v>4.1900000000000001E-3</v>
          </cell>
          <cell r="BF64">
            <v>0.24073</v>
          </cell>
        </row>
        <row r="65">
          <cell r="J65">
            <v>-1.2729999999999991E-2</v>
          </cell>
          <cell r="K65">
            <v>0</v>
          </cell>
          <cell r="L65">
            <v>0</v>
          </cell>
          <cell r="M65">
            <v>0</v>
          </cell>
          <cell r="N65">
            <v>1.17E-3</v>
          </cell>
          <cell r="O65">
            <v>1.9000000000000001E-4</v>
          </cell>
          <cell r="P65">
            <v>-1.0000000000000001E-5</v>
          </cell>
          <cell r="Q65">
            <v>0</v>
          </cell>
          <cell r="R65">
            <v>1.08E-3</v>
          </cell>
          <cell r="S65">
            <v>3.5E-4</v>
          </cell>
          <cell r="T65">
            <v>0</v>
          </cell>
          <cell r="U65">
            <v>2.7899999999999999E-3</v>
          </cell>
          <cell r="V65">
            <v>0.24073</v>
          </cell>
          <cell r="AW65">
            <v>0</v>
          </cell>
          <cell r="AX65">
            <v>0</v>
          </cell>
          <cell r="AY65">
            <v>1.47E-3</v>
          </cell>
          <cell r="AZ65">
            <v>1.0300000000000001E-3</v>
          </cell>
          <cell r="BB65">
            <v>-8.0000000000000007E-5</v>
          </cell>
          <cell r="BC65">
            <v>1.0300000000000001E-3</v>
          </cell>
          <cell r="BD65">
            <v>6.9999999999999994E-5</v>
          </cell>
          <cell r="BE65">
            <v>2.7899999999999999E-3</v>
          </cell>
          <cell r="BF65">
            <v>0.24073</v>
          </cell>
        </row>
        <row r="66">
          <cell r="J66">
            <v>-1.2729999999999991E-2</v>
          </cell>
          <cell r="K66">
            <v>0</v>
          </cell>
          <cell r="L66">
            <v>0</v>
          </cell>
          <cell r="M66">
            <v>0</v>
          </cell>
          <cell r="N66">
            <v>4.4000000000000002E-4</v>
          </cell>
          <cell r="O66">
            <v>6.9999999999999994E-5</v>
          </cell>
          <cell r="P66">
            <v>0</v>
          </cell>
          <cell r="Q66">
            <v>0</v>
          </cell>
          <cell r="R66">
            <v>4.0999999999999999E-4</v>
          </cell>
          <cell r="S66">
            <v>3.5E-4</v>
          </cell>
          <cell r="T66">
            <v>0</v>
          </cell>
          <cell r="U66">
            <v>1.0499999999999999E-3</v>
          </cell>
          <cell r="V66">
            <v>0.24073</v>
          </cell>
          <cell r="AW66">
            <v>0</v>
          </cell>
          <cell r="AX66">
            <v>0</v>
          </cell>
          <cell r="AY66">
            <v>5.5999999999999995E-4</v>
          </cell>
          <cell r="AZ66">
            <v>3.8999999999999999E-4</v>
          </cell>
          <cell r="BB66">
            <v>-3.0000000000000001E-5</v>
          </cell>
          <cell r="BC66">
            <v>1.0300000000000001E-3</v>
          </cell>
          <cell r="BD66">
            <v>6.0000000000000002E-5</v>
          </cell>
          <cell r="BE66">
            <v>1.0499999999999999E-3</v>
          </cell>
          <cell r="BF66">
            <v>0.24073</v>
          </cell>
        </row>
        <row r="67"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-3.0000000000000001E-5</v>
          </cell>
          <cell r="Q67">
            <v>0</v>
          </cell>
          <cell r="R67">
            <v>2.1299999999999999E-3</v>
          </cell>
          <cell r="S67">
            <v>3.5E-4</v>
          </cell>
          <cell r="T67">
            <v>0</v>
          </cell>
          <cell r="U67">
            <v>5.4599999999999996E-3</v>
          </cell>
          <cell r="V67">
            <v>0.24073</v>
          </cell>
          <cell r="AW67">
            <v>0</v>
          </cell>
          <cell r="AX67">
            <v>0</v>
          </cell>
          <cell r="AY67">
            <v>0</v>
          </cell>
          <cell r="AZ67">
            <v>2.0100000000000001E-3</v>
          </cell>
          <cell r="BB67">
            <v>-1.6000000000000001E-4</v>
          </cell>
          <cell r="BC67">
            <v>1.0300000000000001E-3</v>
          </cell>
          <cell r="BD67">
            <v>0</v>
          </cell>
          <cell r="BE67">
            <v>5.4599999999999996E-3</v>
          </cell>
          <cell r="BF67">
            <v>0.24073</v>
          </cell>
        </row>
        <row r="68"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-2.0000000000000002E-5</v>
          </cell>
          <cell r="Q68">
            <v>0</v>
          </cell>
          <cell r="R68">
            <v>1.91E-3</v>
          </cell>
          <cell r="S68">
            <v>3.5E-4</v>
          </cell>
          <cell r="T68">
            <v>0</v>
          </cell>
          <cell r="U68">
            <v>4.8900000000000002E-3</v>
          </cell>
          <cell r="V68">
            <v>0.24073</v>
          </cell>
          <cell r="AW68">
            <v>0</v>
          </cell>
          <cell r="AX68">
            <v>0</v>
          </cell>
          <cell r="AY68">
            <v>0</v>
          </cell>
          <cell r="AZ68">
            <v>1.8E-3</v>
          </cell>
          <cell r="BB68">
            <v>-1.3999999999999999E-4</v>
          </cell>
          <cell r="BC68">
            <v>1.0300000000000001E-3</v>
          </cell>
          <cell r="BD68">
            <v>0</v>
          </cell>
          <cell r="BE68">
            <v>4.8900000000000002E-3</v>
          </cell>
          <cell r="BF68">
            <v>0.24073</v>
          </cell>
        </row>
        <row r="69"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-2.0000000000000002E-5</v>
          </cell>
          <cell r="Q69">
            <v>0</v>
          </cell>
          <cell r="R69">
            <v>1.4599999999999999E-3</v>
          </cell>
          <cell r="S69">
            <v>3.5E-4</v>
          </cell>
          <cell r="T69">
            <v>0</v>
          </cell>
          <cell r="U69">
            <v>3.7499999999999999E-3</v>
          </cell>
          <cell r="V69">
            <v>0.24073</v>
          </cell>
          <cell r="AW69">
            <v>0</v>
          </cell>
          <cell r="AX69">
            <v>0</v>
          </cell>
          <cell r="AY69">
            <v>0</v>
          </cell>
          <cell r="AZ69">
            <v>1.3799999999999999E-3</v>
          </cell>
          <cell r="BB69">
            <v>-1.1E-4</v>
          </cell>
          <cell r="BC69">
            <v>1.0300000000000001E-3</v>
          </cell>
          <cell r="BD69">
            <v>0</v>
          </cell>
          <cell r="BE69">
            <v>3.7499999999999999E-3</v>
          </cell>
          <cell r="BF69">
            <v>0.24073</v>
          </cell>
        </row>
        <row r="70"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-1.0000000000000001E-5</v>
          </cell>
          <cell r="Q70">
            <v>0</v>
          </cell>
          <cell r="R70">
            <v>1.17E-3</v>
          </cell>
          <cell r="S70">
            <v>3.5E-4</v>
          </cell>
          <cell r="T70">
            <v>0</v>
          </cell>
          <cell r="U70">
            <v>3.0000000000000001E-3</v>
          </cell>
          <cell r="V70">
            <v>0.24073</v>
          </cell>
          <cell r="AW70">
            <v>0</v>
          </cell>
          <cell r="AX70">
            <v>0</v>
          </cell>
          <cell r="AY70">
            <v>0</v>
          </cell>
          <cell r="AZ70">
            <v>1.1100000000000001E-3</v>
          </cell>
          <cell r="BB70">
            <v>-9.0000000000000006E-5</v>
          </cell>
          <cell r="BC70">
            <v>1.0300000000000001E-3</v>
          </cell>
          <cell r="BD70">
            <v>0</v>
          </cell>
          <cell r="BE70">
            <v>3.0000000000000001E-3</v>
          </cell>
          <cell r="BF70">
            <v>0.24073</v>
          </cell>
        </row>
        <row r="71"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-1.0000000000000001E-5</v>
          </cell>
          <cell r="Q71">
            <v>0</v>
          </cell>
          <cell r="R71">
            <v>7.7999999999999999E-4</v>
          </cell>
          <cell r="S71">
            <v>3.5E-4</v>
          </cell>
          <cell r="T71">
            <v>0</v>
          </cell>
          <cell r="U71">
            <v>2E-3</v>
          </cell>
          <cell r="V71">
            <v>0.24073</v>
          </cell>
          <cell r="AW71">
            <v>0</v>
          </cell>
          <cell r="AX71">
            <v>0</v>
          </cell>
          <cell r="AY71">
            <v>0</v>
          </cell>
          <cell r="AZ71">
            <v>7.3999999999999999E-4</v>
          </cell>
          <cell r="BB71">
            <v>-6.0000000000000002E-5</v>
          </cell>
          <cell r="BC71">
            <v>1.0300000000000001E-3</v>
          </cell>
          <cell r="BD71">
            <v>0</v>
          </cell>
          <cell r="BE71">
            <v>2E-3</v>
          </cell>
          <cell r="BF71">
            <v>0.24073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2.9E-4</v>
          </cell>
          <cell r="S72">
            <v>3.5E-4</v>
          </cell>
          <cell r="T72">
            <v>0</v>
          </cell>
          <cell r="U72">
            <v>7.5000000000000002E-4</v>
          </cell>
          <cell r="V72">
            <v>0.24073</v>
          </cell>
          <cell r="AW72">
            <v>0</v>
          </cell>
          <cell r="AX72">
            <v>0</v>
          </cell>
          <cell r="AY72">
            <v>0</v>
          </cell>
          <cell r="AZ72">
            <v>2.7999999999999998E-4</v>
          </cell>
          <cell r="BB72">
            <v>-2.0000000000000002E-5</v>
          </cell>
          <cell r="BC72">
            <v>1.0300000000000001E-3</v>
          </cell>
          <cell r="BD72">
            <v>0</v>
          </cell>
          <cell r="BE72">
            <v>7.5000000000000002E-4</v>
          </cell>
          <cell r="BF72">
            <v>0.24073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-3.0000000000000001E-5</v>
          </cell>
          <cell r="Q73">
            <v>0</v>
          </cell>
          <cell r="R73">
            <v>2.1099999999999999E-3</v>
          </cell>
          <cell r="S73">
            <v>3.5E-4</v>
          </cell>
          <cell r="T73">
            <v>1.0000000000000001E-5</v>
          </cell>
          <cell r="U73">
            <v>5.4599999999999996E-3</v>
          </cell>
          <cell r="V73">
            <v>0.24073</v>
          </cell>
          <cell r="AW73">
            <v>0</v>
          </cell>
          <cell r="AX73">
            <v>0</v>
          </cell>
          <cell r="AY73">
            <v>0</v>
          </cell>
          <cell r="AZ73">
            <v>2.0100000000000001E-3</v>
          </cell>
          <cell r="BB73">
            <v>-1.6000000000000001E-4</v>
          </cell>
          <cell r="BC73">
            <v>1.0300000000000001E-3</v>
          </cell>
          <cell r="BD73">
            <v>1E-4</v>
          </cell>
          <cell r="BE73">
            <v>5.4599999999999996E-3</v>
          </cell>
          <cell r="BF73">
            <v>0.24073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-2.0000000000000002E-5</v>
          </cell>
          <cell r="Q74">
            <v>0</v>
          </cell>
          <cell r="R74">
            <v>1.89E-3</v>
          </cell>
          <cell r="S74">
            <v>3.5E-4</v>
          </cell>
          <cell r="T74">
            <v>1.0000000000000001E-5</v>
          </cell>
          <cell r="U74">
            <v>4.8900000000000002E-3</v>
          </cell>
          <cell r="V74">
            <v>0.24073</v>
          </cell>
          <cell r="AW74">
            <v>0</v>
          </cell>
          <cell r="AX74">
            <v>0</v>
          </cell>
          <cell r="AY74">
            <v>0</v>
          </cell>
          <cell r="AZ74">
            <v>1.8E-3</v>
          </cell>
          <cell r="BB74">
            <v>-1.3999999999999999E-4</v>
          </cell>
          <cell r="BC74">
            <v>1.0300000000000001E-3</v>
          </cell>
          <cell r="BD74">
            <v>1E-4</v>
          </cell>
          <cell r="BE74">
            <v>4.8900000000000002E-3</v>
          </cell>
          <cell r="BF74">
            <v>0.24073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-2.0000000000000002E-5</v>
          </cell>
          <cell r="Q75">
            <v>0</v>
          </cell>
          <cell r="R75">
            <v>1.4499999999999999E-3</v>
          </cell>
          <cell r="S75">
            <v>3.5E-4</v>
          </cell>
          <cell r="T75">
            <v>1.0000000000000001E-5</v>
          </cell>
          <cell r="U75">
            <v>3.7499999999999999E-3</v>
          </cell>
          <cell r="V75">
            <v>0.24073</v>
          </cell>
          <cell r="AW75">
            <v>0</v>
          </cell>
          <cell r="AX75">
            <v>0</v>
          </cell>
          <cell r="AY75">
            <v>0</v>
          </cell>
          <cell r="AZ75">
            <v>1.3799999999999999E-3</v>
          </cell>
          <cell r="BB75">
            <v>-1.1E-4</v>
          </cell>
          <cell r="BC75">
            <v>1.0300000000000001E-3</v>
          </cell>
          <cell r="BD75">
            <v>9.0000000000000006E-5</v>
          </cell>
          <cell r="BE75">
            <v>3.7499999999999999E-3</v>
          </cell>
          <cell r="BF75">
            <v>0.24073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-1.0000000000000001E-5</v>
          </cell>
          <cell r="Q76">
            <v>0</v>
          </cell>
          <cell r="R76">
            <v>1.16E-3</v>
          </cell>
          <cell r="S76">
            <v>3.5E-4</v>
          </cell>
          <cell r="T76">
            <v>1.0000000000000001E-5</v>
          </cell>
          <cell r="U76">
            <v>3.0000000000000001E-3</v>
          </cell>
          <cell r="V76">
            <v>0.24073</v>
          </cell>
          <cell r="AW76">
            <v>0</v>
          </cell>
          <cell r="AX76">
            <v>0</v>
          </cell>
          <cell r="AY76">
            <v>0</v>
          </cell>
          <cell r="AZ76">
            <v>1.1000000000000001E-3</v>
          </cell>
          <cell r="BB76">
            <v>-9.0000000000000006E-5</v>
          </cell>
          <cell r="BC76">
            <v>1.0300000000000001E-3</v>
          </cell>
          <cell r="BD76">
            <v>9.0000000000000006E-5</v>
          </cell>
          <cell r="BE76">
            <v>3.0000000000000001E-3</v>
          </cell>
          <cell r="BF76">
            <v>0.24073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-1.0000000000000001E-5</v>
          </cell>
          <cell r="Q77">
            <v>0</v>
          </cell>
          <cell r="R77">
            <v>7.6999999999999996E-4</v>
          </cell>
          <cell r="S77">
            <v>3.5E-4</v>
          </cell>
          <cell r="T77">
            <v>1.0000000000000001E-5</v>
          </cell>
          <cell r="U77">
            <v>2E-3</v>
          </cell>
          <cell r="V77">
            <v>0.24073</v>
          </cell>
          <cell r="AW77">
            <v>0</v>
          </cell>
          <cell r="AX77">
            <v>0</v>
          </cell>
          <cell r="AY77">
            <v>0</v>
          </cell>
          <cell r="AZ77">
            <v>7.3999999999999999E-4</v>
          </cell>
          <cell r="BB77">
            <v>-6.0000000000000002E-5</v>
          </cell>
          <cell r="BC77">
            <v>1.0300000000000001E-3</v>
          </cell>
          <cell r="BD77">
            <v>8.0000000000000007E-5</v>
          </cell>
          <cell r="BE77">
            <v>2E-3</v>
          </cell>
          <cell r="BF77">
            <v>0.24073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2.9E-4</v>
          </cell>
          <cell r="S78">
            <v>3.5E-4</v>
          </cell>
          <cell r="T78">
            <v>0</v>
          </cell>
          <cell r="U78">
            <v>7.5000000000000002E-4</v>
          </cell>
          <cell r="V78">
            <v>0.24073</v>
          </cell>
          <cell r="AW78">
            <v>0</v>
          </cell>
          <cell r="AX78">
            <v>0</v>
          </cell>
          <cell r="AY78">
            <v>0</v>
          </cell>
          <cell r="AZ78">
            <v>2.7999999999999998E-4</v>
          </cell>
          <cell r="BB78">
            <v>-2.0000000000000002E-5</v>
          </cell>
          <cell r="BC78">
            <v>1.0300000000000001E-3</v>
          </cell>
          <cell r="BD78">
            <v>8.0000000000000007E-5</v>
          </cell>
          <cell r="BE78">
            <v>7.5000000000000002E-4</v>
          </cell>
          <cell r="BF78">
            <v>0.24073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3.5E-4</v>
          </cell>
          <cell r="T79">
            <v>0</v>
          </cell>
          <cell r="U79">
            <v>1.9000000000000001E-4</v>
          </cell>
          <cell r="V79">
            <v>0.24073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B79">
            <v>-1.0000000000000001E-5</v>
          </cell>
          <cell r="BC79">
            <v>1.0300000000000001E-3</v>
          </cell>
          <cell r="BD79">
            <v>0</v>
          </cell>
          <cell r="BE79">
            <v>1.9000000000000001E-4</v>
          </cell>
          <cell r="BF79">
            <v>0.24073</v>
          </cell>
        </row>
        <row r="80"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3.5E-4</v>
          </cell>
          <cell r="T80">
            <v>0</v>
          </cell>
          <cell r="U80">
            <v>1.9000000000000001E-4</v>
          </cell>
          <cell r="V80">
            <v>0.24073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B80">
            <v>-1.0000000000000001E-5</v>
          </cell>
          <cell r="BC80">
            <v>1.0300000000000001E-3</v>
          </cell>
          <cell r="BD80">
            <v>0</v>
          </cell>
          <cell r="BE80">
            <v>1.9000000000000001E-4</v>
          </cell>
          <cell r="BF80">
            <v>0.24073</v>
          </cell>
        </row>
        <row r="81">
          <cell r="V81"/>
          <cell r="BF81">
            <v>0.49725999999999998</v>
          </cell>
        </row>
      </sheetData>
      <sheetData sheetId="8"/>
      <sheetData sheetId="9">
        <row r="13">
          <cell r="F13">
            <v>2.4000000000000001E-4</v>
          </cell>
        </row>
        <row r="14">
          <cell r="F14">
            <v>1.6000000000000001E-4</v>
          </cell>
        </row>
        <row r="15">
          <cell r="F15">
            <v>1.1E-4</v>
          </cell>
        </row>
        <row r="16">
          <cell r="F16">
            <v>1E-4</v>
          </cell>
        </row>
        <row r="17">
          <cell r="F17">
            <v>9.0000000000000006E-5</v>
          </cell>
        </row>
        <row r="18">
          <cell r="F18">
            <v>2.5999999999999998E-4</v>
          </cell>
        </row>
        <row r="19">
          <cell r="F19">
            <v>8.0000000000000007E-5</v>
          </cell>
        </row>
        <row r="20">
          <cell r="F20">
            <v>6.9999999999999994E-5</v>
          </cell>
        </row>
        <row r="21">
          <cell r="F21">
            <v>6.9999999999999994E-5</v>
          </cell>
        </row>
        <row r="22">
          <cell r="F22">
            <v>6.0000000000000002E-5</v>
          </cell>
        </row>
        <row r="23">
          <cell r="F23">
            <v>6.9999999999999994E-5</v>
          </cell>
        </row>
        <row r="24">
          <cell r="F24">
            <v>6.0000000000000002E-5</v>
          </cell>
        </row>
        <row r="25">
          <cell r="F25">
            <v>6.9999999999999994E-5</v>
          </cell>
        </row>
        <row r="26">
          <cell r="F26">
            <v>6.0000000000000002E-5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4.0000000000000003E-5</v>
          </cell>
        </row>
        <row r="32">
          <cell r="F32">
            <v>4.0000000000000003E-5</v>
          </cell>
        </row>
        <row r="33">
          <cell r="F33">
            <v>3.0000000000000001E-5</v>
          </cell>
        </row>
        <row r="34">
          <cell r="F34">
            <v>2.0000000000000002E-5</v>
          </cell>
        </row>
        <row r="35">
          <cell r="F35">
            <v>2.0000000000000002E-5</v>
          </cell>
        </row>
        <row r="36">
          <cell r="F36">
            <v>1.0000000000000001E-5</v>
          </cell>
        </row>
        <row r="37">
          <cell r="F37">
            <v>5.0000000000000002E-5</v>
          </cell>
        </row>
        <row r="38">
          <cell r="F38">
            <v>4.0000000000000003E-5</v>
          </cell>
        </row>
        <row r="39">
          <cell r="F39">
            <v>3.0000000000000001E-5</v>
          </cell>
        </row>
        <row r="40">
          <cell r="F40">
            <v>2.0000000000000002E-5</v>
          </cell>
        </row>
        <row r="41">
          <cell r="F41">
            <v>2.0000000000000002E-5</v>
          </cell>
        </row>
        <row r="42">
          <cell r="F42">
            <v>1.0000000000000001E-5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3.0000000000000001E-5</v>
          </cell>
        </row>
        <row r="56">
          <cell r="F56">
            <v>3.0000000000000001E-5</v>
          </cell>
        </row>
        <row r="57">
          <cell r="F57">
            <v>2.0000000000000002E-5</v>
          </cell>
        </row>
        <row r="58">
          <cell r="F58">
            <v>2.0000000000000002E-5</v>
          </cell>
        </row>
        <row r="59">
          <cell r="F59">
            <v>1.0000000000000001E-5</v>
          </cell>
        </row>
        <row r="60">
          <cell r="F60">
            <v>0</v>
          </cell>
        </row>
        <row r="61">
          <cell r="F61">
            <v>4.0000000000000003E-5</v>
          </cell>
        </row>
        <row r="62">
          <cell r="F62">
            <v>4.0000000000000003E-5</v>
          </cell>
        </row>
        <row r="63">
          <cell r="F63">
            <v>3.0000000000000001E-5</v>
          </cell>
        </row>
        <row r="64">
          <cell r="F64">
            <v>2.0000000000000002E-5</v>
          </cell>
        </row>
        <row r="65">
          <cell r="F65">
            <v>1.0000000000000001E-5</v>
          </cell>
        </row>
        <row r="66">
          <cell r="F66">
            <v>1.0000000000000001E-5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</sheetData>
      <sheetData sheetId="10">
        <row r="13">
          <cell r="D13">
            <v>1.6683000000000003</v>
          </cell>
          <cell r="G13">
            <v>1.6389200000000004</v>
          </cell>
          <cell r="Q13">
            <v>1.6341000000000003</v>
          </cell>
        </row>
        <row r="14">
          <cell r="D14">
            <v>1.672639999999999</v>
          </cell>
          <cell r="G14">
            <v>1.6432599999999991</v>
          </cell>
          <cell r="Q14">
            <v>1.5968799999999992</v>
          </cell>
        </row>
        <row r="15">
          <cell r="D15">
            <v>1.3152700000000002</v>
          </cell>
          <cell r="G15">
            <v>1.2858900000000002</v>
          </cell>
          <cell r="Q15">
            <v>1.2423600000000001</v>
          </cell>
        </row>
        <row r="16">
          <cell r="D16">
            <v>1.2785399999999996</v>
          </cell>
          <cell r="G16">
            <v>1.2491599999999996</v>
          </cell>
          <cell r="Q16">
            <v>1.2048899999999996</v>
          </cell>
        </row>
        <row r="17">
          <cell r="D17">
            <v>1.2303099999999996</v>
          </cell>
          <cell r="G17">
            <v>1.2009299999999996</v>
          </cell>
          <cell r="Q17">
            <v>1.1551899999999997</v>
          </cell>
        </row>
        <row r="18">
          <cell r="D18">
            <v>1.11591</v>
          </cell>
          <cell r="G18">
            <v>1.08653</v>
          </cell>
          <cell r="Q18">
            <v>1.10995</v>
          </cell>
        </row>
        <row r="19">
          <cell r="D19">
            <v>1.0394899999999998</v>
          </cell>
          <cell r="G19">
            <v>1.0131599999999998</v>
          </cell>
          <cell r="Q19">
            <v>0.96803999999999979</v>
          </cell>
        </row>
        <row r="20">
          <cell r="D20">
            <v>0.98116000000000014</v>
          </cell>
          <cell r="G20">
            <v>0.95483000000000007</v>
          </cell>
          <cell r="Q20">
            <v>0.90969000000000011</v>
          </cell>
        </row>
        <row r="21">
          <cell r="D21">
            <v>0.94622000000000028</v>
          </cell>
          <cell r="G21">
            <v>0.91989000000000032</v>
          </cell>
          <cell r="Q21">
            <v>0.87457000000000029</v>
          </cell>
        </row>
        <row r="22">
          <cell r="D22">
            <v>0.89908999999999961</v>
          </cell>
          <cell r="G22">
            <v>0.87275999999999954</v>
          </cell>
          <cell r="Q22">
            <v>0.82736999999999949</v>
          </cell>
        </row>
        <row r="23">
          <cell r="D23">
            <v>0.96427000000000007</v>
          </cell>
          <cell r="G23">
            <v>0.93794</v>
          </cell>
          <cell r="Q23">
            <v>0.92659999999999998</v>
          </cell>
        </row>
        <row r="24">
          <cell r="D24">
            <v>0.91047000000000022</v>
          </cell>
          <cell r="G24">
            <v>0.88414000000000015</v>
          </cell>
          <cell r="Q24">
            <v>0.87260000000000026</v>
          </cell>
        </row>
        <row r="25">
          <cell r="D25">
            <v>0.90245000000000009</v>
          </cell>
          <cell r="G25">
            <v>0.87612000000000001</v>
          </cell>
          <cell r="Q25">
            <v>0.86289000000000005</v>
          </cell>
        </row>
        <row r="26">
          <cell r="D26">
            <v>0.8560899999999998</v>
          </cell>
          <cell r="G26">
            <v>0.82975999999999983</v>
          </cell>
          <cell r="Q26">
            <v>0.81651999999999991</v>
          </cell>
        </row>
        <row r="27">
          <cell r="D27">
            <v>0.64044000000000001</v>
          </cell>
          <cell r="G27">
            <v>0.64044000000000001</v>
          </cell>
          <cell r="Q27">
            <v>0.64046000000000003</v>
          </cell>
        </row>
        <row r="28">
          <cell r="D28">
            <v>0.5930200000000001</v>
          </cell>
          <cell r="G28">
            <v>0.5930200000000001</v>
          </cell>
          <cell r="Q28">
            <v>0.59296000000000015</v>
          </cell>
        </row>
        <row r="29">
          <cell r="D29">
            <v>0.62856000000000001</v>
          </cell>
          <cell r="G29">
            <v>0.62856000000000001</v>
          </cell>
          <cell r="Q29">
            <v>0.62853000000000003</v>
          </cell>
        </row>
        <row r="30">
          <cell r="D30">
            <v>0.58256000000000019</v>
          </cell>
          <cell r="G30">
            <v>0.58256000000000019</v>
          </cell>
          <cell r="Q30">
            <v>0.58245000000000013</v>
          </cell>
        </row>
        <row r="31">
          <cell r="D31">
            <v>0.79625999999999986</v>
          </cell>
          <cell r="G31">
            <v>0.76992999999999978</v>
          </cell>
          <cell r="Q31">
            <v>0.72470999999999985</v>
          </cell>
        </row>
        <row r="32">
          <cell r="D32">
            <v>0.77026999999999957</v>
          </cell>
          <cell r="G32">
            <v>0.7439399999999996</v>
          </cell>
          <cell r="Q32">
            <v>0.69873999999999969</v>
          </cell>
        </row>
        <row r="33">
          <cell r="D33">
            <v>0.71862999999999988</v>
          </cell>
          <cell r="G33">
            <v>0.69229999999999992</v>
          </cell>
          <cell r="Q33">
            <v>0.64710999999999985</v>
          </cell>
        </row>
        <row r="34">
          <cell r="D34">
            <v>0.68461000000000016</v>
          </cell>
          <cell r="G34">
            <v>0.6582800000000002</v>
          </cell>
          <cell r="Q34">
            <v>0.61311000000000027</v>
          </cell>
        </row>
        <row r="35">
          <cell r="D35">
            <v>0.63927</v>
          </cell>
          <cell r="G35">
            <v>0.61294000000000004</v>
          </cell>
          <cell r="Q35">
            <v>0.56776000000000004</v>
          </cell>
        </row>
        <row r="36">
          <cell r="D36">
            <v>0.58259000000000005</v>
          </cell>
          <cell r="G36">
            <v>0.55625999999999998</v>
          </cell>
          <cell r="Q36">
            <v>0.51111999999999991</v>
          </cell>
        </row>
        <row r="37">
          <cell r="D37">
            <v>0.73169000000000006</v>
          </cell>
          <cell r="G37">
            <v>0.70535999999999999</v>
          </cell>
          <cell r="Q37">
            <v>0.66015000000000001</v>
          </cell>
        </row>
        <row r="38">
          <cell r="D38">
            <v>0.71257999999999988</v>
          </cell>
          <cell r="G38">
            <v>0.6862499999999998</v>
          </cell>
          <cell r="Q38">
            <v>0.64097999999999988</v>
          </cell>
        </row>
        <row r="39">
          <cell r="D39">
            <v>0.67456999999999967</v>
          </cell>
          <cell r="G39">
            <v>0.64823999999999971</v>
          </cell>
          <cell r="Q39">
            <v>0.60283999999999971</v>
          </cell>
        </row>
        <row r="40">
          <cell r="D40">
            <v>0.64957000000000009</v>
          </cell>
          <cell r="G40">
            <v>0.62324000000000002</v>
          </cell>
          <cell r="Q40">
            <v>0.57779000000000003</v>
          </cell>
        </row>
        <row r="41">
          <cell r="D41">
            <v>0.61626000000000036</v>
          </cell>
          <cell r="G41">
            <v>0.58993000000000029</v>
          </cell>
          <cell r="Q41">
            <v>0.54437000000000035</v>
          </cell>
        </row>
        <row r="42">
          <cell r="D42">
            <v>0.57454999999999989</v>
          </cell>
          <cell r="G42">
            <v>0.54821999999999993</v>
          </cell>
          <cell r="Q42">
            <v>0.50253999999999988</v>
          </cell>
        </row>
        <row r="43">
          <cell r="D43">
            <v>0.40332000000000001</v>
          </cell>
          <cell r="G43">
            <v>0.40332000000000001</v>
          </cell>
          <cell r="Q43">
            <v>0.40292</v>
          </cell>
        </row>
        <row r="44">
          <cell r="D44">
            <v>0.38640000000000002</v>
          </cell>
          <cell r="G44">
            <v>0.38640000000000002</v>
          </cell>
          <cell r="Q44">
            <v>0.38597000000000004</v>
          </cell>
        </row>
        <row r="45">
          <cell r="D45">
            <v>0.35268999999999995</v>
          </cell>
          <cell r="G45">
            <v>0.35268999999999995</v>
          </cell>
          <cell r="Q45">
            <v>0.35217999999999994</v>
          </cell>
        </row>
        <row r="46">
          <cell r="D46">
            <v>0.33054000000000006</v>
          </cell>
          <cell r="G46">
            <v>0.33054000000000006</v>
          </cell>
          <cell r="Q46">
            <v>0.32996000000000003</v>
          </cell>
        </row>
        <row r="47">
          <cell r="D47">
            <v>0.30097000000000007</v>
          </cell>
          <cell r="G47">
            <v>0.30097000000000007</v>
          </cell>
          <cell r="Q47">
            <v>0.30034000000000005</v>
          </cell>
        </row>
        <row r="48">
          <cell r="D48">
            <v>0.26403000000000004</v>
          </cell>
          <cell r="G48">
            <v>0.26403000000000004</v>
          </cell>
          <cell r="Q48">
            <v>0.26331000000000004</v>
          </cell>
        </row>
        <row r="49">
          <cell r="D49">
            <v>0.40095999999999998</v>
          </cell>
          <cell r="G49">
            <v>0.40095999999999998</v>
          </cell>
          <cell r="Q49">
            <v>0.40056999999999998</v>
          </cell>
        </row>
        <row r="50">
          <cell r="D50">
            <v>0.38426999999999989</v>
          </cell>
          <cell r="G50">
            <v>0.38426999999999989</v>
          </cell>
          <cell r="Q50">
            <v>0.38384999999999991</v>
          </cell>
        </row>
        <row r="51">
          <cell r="D51">
            <v>0.35105000000000003</v>
          </cell>
          <cell r="G51">
            <v>0.35105000000000003</v>
          </cell>
          <cell r="Q51">
            <v>0.35056000000000004</v>
          </cell>
        </row>
        <row r="52">
          <cell r="D52">
            <v>0.32922000000000012</v>
          </cell>
          <cell r="G52">
            <v>0.32922000000000012</v>
          </cell>
          <cell r="Q52">
            <v>0.32867000000000013</v>
          </cell>
        </row>
        <row r="53">
          <cell r="D53">
            <v>0.30008999999999997</v>
          </cell>
          <cell r="G53">
            <v>0.30008999999999997</v>
          </cell>
          <cell r="Q53">
            <v>0.29947999999999997</v>
          </cell>
        </row>
        <row r="54">
          <cell r="D54">
            <v>0.26369000000000009</v>
          </cell>
          <cell r="G54">
            <v>0.26369000000000009</v>
          </cell>
          <cell r="Q54">
            <v>0.26300000000000012</v>
          </cell>
        </row>
        <row r="55">
          <cell r="D55">
            <v>0.71133000000000013</v>
          </cell>
          <cell r="G55">
            <v>0.68500000000000005</v>
          </cell>
          <cell r="Q55">
            <v>0.67280000000000006</v>
          </cell>
        </row>
        <row r="56">
          <cell r="D56">
            <v>0.69042999999999966</v>
          </cell>
          <cell r="G56">
            <v>0.66409999999999969</v>
          </cell>
          <cell r="Q56">
            <v>0.65181999999999962</v>
          </cell>
        </row>
        <row r="57">
          <cell r="D57">
            <v>0.64878000000000013</v>
          </cell>
          <cell r="G57">
            <v>0.62245000000000017</v>
          </cell>
          <cell r="Q57">
            <v>0.61003000000000018</v>
          </cell>
        </row>
        <row r="58">
          <cell r="D58">
            <v>0.62140999999999991</v>
          </cell>
          <cell r="G58">
            <v>0.59507999999999983</v>
          </cell>
          <cell r="Q58">
            <v>0.58255999999999986</v>
          </cell>
        </row>
        <row r="59">
          <cell r="D59">
            <v>0.58492999999999984</v>
          </cell>
          <cell r="G59">
            <v>0.55859999999999976</v>
          </cell>
          <cell r="Q59">
            <v>0.54595999999999978</v>
          </cell>
        </row>
        <row r="60">
          <cell r="D60">
            <v>0.53925000000000001</v>
          </cell>
          <cell r="G60">
            <v>0.51292000000000004</v>
          </cell>
          <cell r="Q60">
            <v>0.50017</v>
          </cell>
        </row>
        <row r="61">
          <cell r="D61">
            <v>0.69063999999999992</v>
          </cell>
          <cell r="G61">
            <v>0.66430999999999996</v>
          </cell>
          <cell r="Q61">
            <v>0.65088000000000001</v>
          </cell>
        </row>
        <row r="62">
          <cell r="D62">
            <v>0.67198999999999998</v>
          </cell>
          <cell r="G62">
            <v>0.6456599999999999</v>
          </cell>
          <cell r="Q62">
            <v>0.63222</v>
          </cell>
        </row>
        <row r="63">
          <cell r="D63">
            <v>0.63488999999999995</v>
          </cell>
          <cell r="G63">
            <v>0.60855999999999999</v>
          </cell>
          <cell r="Q63">
            <v>0.59509999999999996</v>
          </cell>
        </row>
        <row r="64">
          <cell r="D64">
            <v>0.61047999999999969</v>
          </cell>
          <cell r="G64">
            <v>0.58414999999999973</v>
          </cell>
          <cell r="Q64">
            <v>0.57068999999999981</v>
          </cell>
        </row>
        <row r="65">
          <cell r="D65">
            <v>0.57791000000000003</v>
          </cell>
          <cell r="G65">
            <v>0.55157999999999996</v>
          </cell>
          <cell r="Q65">
            <v>0.53811999999999993</v>
          </cell>
        </row>
        <row r="66">
          <cell r="D66">
            <v>0.53723999999999983</v>
          </cell>
          <cell r="G66">
            <v>0.51090999999999975</v>
          </cell>
          <cell r="Q66">
            <v>0.49744999999999978</v>
          </cell>
        </row>
        <row r="67">
          <cell r="D67">
            <v>0.39076</v>
          </cell>
          <cell r="G67">
            <v>0.39076</v>
          </cell>
          <cell r="Q67">
            <v>0.39032999999999995</v>
          </cell>
        </row>
        <row r="68">
          <cell r="D68">
            <v>0.37516000000000005</v>
          </cell>
          <cell r="G68">
            <v>0.37516000000000005</v>
          </cell>
          <cell r="Q68">
            <v>0.37471000000000004</v>
          </cell>
        </row>
        <row r="69">
          <cell r="D69">
            <v>0.34404999999999997</v>
          </cell>
          <cell r="G69">
            <v>0.34404999999999997</v>
          </cell>
          <cell r="Q69">
            <v>0.34353999999999996</v>
          </cell>
        </row>
        <row r="70">
          <cell r="D70">
            <v>0.3236</v>
          </cell>
          <cell r="G70">
            <v>0.3236</v>
          </cell>
          <cell r="Q70">
            <v>0.32306000000000001</v>
          </cell>
        </row>
        <row r="71">
          <cell r="D71">
            <v>0.29632999999999998</v>
          </cell>
          <cell r="G71">
            <v>0.29632999999999998</v>
          </cell>
          <cell r="Q71">
            <v>0.29574</v>
          </cell>
        </row>
        <row r="72">
          <cell r="D72">
            <v>0.26221000000000005</v>
          </cell>
          <cell r="G72">
            <v>0.26221000000000005</v>
          </cell>
          <cell r="Q72">
            <v>0.26156000000000007</v>
          </cell>
        </row>
        <row r="73">
          <cell r="D73">
            <v>0.39346999999999999</v>
          </cell>
          <cell r="G73">
            <v>0.39346999999999999</v>
          </cell>
          <cell r="Q73">
            <v>0.39293</v>
          </cell>
        </row>
        <row r="74">
          <cell r="D74">
            <v>0.37758000000000003</v>
          </cell>
          <cell r="G74">
            <v>0.37758000000000003</v>
          </cell>
          <cell r="Q74">
            <v>0.37702000000000002</v>
          </cell>
        </row>
        <row r="75">
          <cell r="D75">
            <v>0.34592000000000001</v>
          </cell>
          <cell r="G75">
            <v>0.34592000000000001</v>
          </cell>
          <cell r="Q75">
            <v>0.34531999999999996</v>
          </cell>
        </row>
        <row r="76">
          <cell r="D76">
            <v>0.32511000000000001</v>
          </cell>
          <cell r="G76">
            <v>0.32511000000000001</v>
          </cell>
          <cell r="Q76">
            <v>0.32449000000000006</v>
          </cell>
        </row>
        <row r="77">
          <cell r="D77">
            <v>0.29735999999999996</v>
          </cell>
          <cell r="G77">
            <v>0.29735999999999996</v>
          </cell>
          <cell r="Q77">
            <v>0.29669000000000001</v>
          </cell>
        </row>
        <row r="78">
          <cell r="D78">
            <v>0.26266000000000006</v>
          </cell>
          <cell r="G78">
            <v>0.26266000000000006</v>
          </cell>
          <cell r="Q78">
            <v>0.26193000000000005</v>
          </cell>
        </row>
        <row r="79">
          <cell r="D79">
            <v>0.24684999999999996</v>
          </cell>
          <cell r="G79">
            <v>0.24684999999999996</v>
          </cell>
          <cell r="Q79">
            <v>0.24617999999999998</v>
          </cell>
        </row>
        <row r="80">
          <cell r="D80">
            <v>0.24684999999999996</v>
          </cell>
          <cell r="G80">
            <v>0.24684999999999996</v>
          </cell>
          <cell r="Q80">
            <v>0.24617999999999998</v>
          </cell>
        </row>
        <row r="81">
          <cell r="D81"/>
        </row>
        <row r="84">
          <cell r="D84" t="str">
            <v>2022-23 PGA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&amp; Documentation"/>
      <sheetName val="Inputs"/>
      <sheetName val="Washington volumes"/>
      <sheetName val="Allocation = % of margin"/>
      <sheetName val="Allocation equal ¢ per therm"/>
      <sheetName val="Allocation = % of revenue"/>
      <sheetName val="Rates in detail"/>
      <sheetName val="Temporaries"/>
      <sheetName val="Avg Bill by RS"/>
      <sheetName val="Permanents"/>
      <sheetName val="Rates in summary"/>
      <sheetName val="Margin Model"/>
      <sheetName val="Amortization"/>
      <sheetName val="F Goldenrod"/>
      <sheetName val="F Goldenrod+Rate Case"/>
      <sheetName val="Cover"/>
      <sheetName val="WA Index"/>
      <sheetName val="Statement of Rat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Annual WACOG History"/>
      <sheetName val="Winter WACOG History"/>
      <sheetName val="RS 1 BR History"/>
      <sheetName val="RS 2 BR History"/>
      <sheetName val="RS 3 BR History"/>
      <sheetName val="RS 19 BR History"/>
      <sheetName val="RS 27 BR History"/>
      <sheetName val="RS 41 Firm BR History"/>
      <sheetName val="RS 41 Intp BR History"/>
      <sheetName val="RS 42 FS BR History"/>
      <sheetName val="RS42 IS BR History"/>
      <sheetName val="RS 41T BR History"/>
      <sheetName val="RS 42T BR History"/>
      <sheetName val="RS 43 FT BR History"/>
      <sheetName val="RS 43 IT BR History "/>
      <sheetName val="RS 1 PR History"/>
      <sheetName val="RS 2 PR History"/>
      <sheetName val="RS 3 PR History"/>
      <sheetName val="RS 21 BR History"/>
      <sheetName val="RS 54 BR History"/>
      <sheetName val="wacog purch history 1988-2007"/>
      <sheetName val="Chgs in Rates by RS 1995-2004"/>
      <sheetName val="RS 3T BR History"/>
    </sheetNames>
    <sheetDataSet>
      <sheetData sheetId="0"/>
      <sheetData sheetId="1">
        <row r="3">
          <cell r="A3" t="str">
            <v>2025-2026 PGA Filing - Washington: September Filing</v>
          </cell>
        </row>
        <row r="30">
          <cell r="B30">
            <v>4.3568999999999997E-2</v>
          </cell>
        </row>
        <row r="71">
          <cell r="B71">
            <v>45658</v>
          </cell>
        </row>
      </sheetData>
      <sheetData sheetId="2">
        <row r="1">
          <cell r="A1" t="str">
            <v>NW Natural</v>
          </cell>
        </row>
      </sheetData>
      <sheetData sheetId="3">
        <row r="7">
          <cell r="W7" t="str">
            <v>Low Income Bill Pay Assistance (GREAT)</v>
          </cell>
        </row>
      </sheetData>
      <sheetData sheetId="4"/>
      <sheetData sheetId="5">
        <row r="13">
          <cell r="M13">
            <v>3.0000000000000001E-5</v>
          </cell>
        </row>
      </sheetData>
      <sheetData sheetId="6">
        <row r="13">
          <cell r="D13">
            <v>1.6683000000000003</v>
          </cell>
        </row>
      </sheetData>
      <sheetData sheetId="7"/>
      <sheetData sheetId="8"/>
      <sheetData sheetId="9">
        <row r="10">
          <cell r="F10" t="str">
            <v>Mist Recall</v>
          </cell>
        </row>
      </sheetData>
      <sheetData sheetId="10">
        <row r="13">
          <cell r="D13">
            <v>1.6683000000000003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Provider Instructions"/>
      <sheetName val="Input"/>
      <sheetName val="Pricing Submission Changes"/>
      <sheetName val="ARC RRC Summary_Service Group"/>
      <sheetName val="ARC RRC Monthly Charges"/>
      <sheetName val="Unit Rates - ARC RRC"/>
      <sheetName val="ARC RRC Resource Baselines"/>
      <sheetName val="Fixed Vrb Summary_Service Gro "/>
      <sheetName val="Fixed Variable Monthly Charges"/>
      <sheetName val="Unit Rates - Fixed Variable"/>
      <sheetName val="Fixed Variable Volumes"/>
      <sheetName val="Analytics_Implied Unit Rates"/>
      <sheetName val="Analytics_Unit Rate Analysis"/>
      <sheetName val="Reim - Managed Third Party"/>
      <sheetName val="Reim - Pass-Throughs"/>
      <sheetName val="One-Time Transition"/>
      <sheetName val="One-Time Transformation"/>
      <sheetName val="Termination Charges Overall"/>
      <sheetName val="Termination Charges"/>
      <sheetName val="Role Descriptions"/>
      <sheetName val="Daily Rates"/>
      <sheetName val="Skill Set Descriptions"/>
      <sheetName val="Rate Card"/>
      <sheetName val="Rate Card #2"/>
      <sheetName val="Configure Pricing EvalDashboard"/>
      <sheetName val="Pricing Eval RU Summary"/>
    </sheetNames>
    <sheetDataSet>
      <sheetData sheetId="0"/>
      <sheetData sheetId="1" refreshError="1"/>
      <sheetData sheetId="2">
        <row r="8">
          <cell r="B8">
            <v>44287</v>
          </cell>
        </row>
        <row r="12">
          <cell r="B12">
            <v>44287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t 2007 Balance Sheet"/>
      <sheetName val="123104 vs 93004"/>
      <sheetName val="Sept07vsJune07"/>
      <sheetName val="Essbase"/>
      <sheetName val="Def'd Debits"/>
      <sheetName val="Recon to Lawson"/>
      <sheetName val="Recon to 2006"/>
      <sheetName val="ALL ACCOUNTS"/>
      <sheetName val="Util Plant"/>
      <sheetName val="Accum Depr"/>
      <sheetName val="Gas Stored"/>
      <sheetName val="Non Util Prop"/>
      <sheetName val="Inv in Subs"/>
      <sheetName val="Other Inv"/>
      <sheetName val="Cash"/>
      <sheetName val="Acct Rec"/>
      <sheetName val="Allow Uncoll Acct"/>
      <sheetName val="Accrued Rev"/>
      <sheetName val="Inv of Gas"/>
      <sheetName val="Prepaid Prop"/>
      <sheetName val="Unamt Debt Disc"/>
      <sheetName val="Def Reg and Other"/>
      <sheetName val="Comm Stock"/>
      <sheetName val="Prem on Stock"/>
      <sheetName val="Retain Earn"/>
      <sheetName val="Pref Stock"/>
      <sheetName val="Long Term Debt"/>
      <sheetName val="Acct Pay"/>
      <sheetName val="Note Pay"/>
      <sheetName val="Curr Por LT Debt"/>
      <sheetName val="Cust Depos"/>
      <sheetName val="Taxes Accrued"/>
      <sheetName val="Interest Accrued"/>
      <sheetName val="Oth Current Liab"/>
      <sheetName val="Def Taxes Inv Credit"/>
      <sheetName val="Other Liabilities"/>
    </sheetNames>
    <sheetDataSet>
      <sheetData sheetId="0" refreshError="1"/>
      <sheetData sheetId="1" refreshError="1"/>
      <sheetData sheetId="2" refreshError="1"/>
      <sheetData sheetId="3">
        <row r="6">
          <cell r="D6" t="str">
            <v>Y-T-D(Sep)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dy"/>
      <sheetName val="Excluded"/>
      <sheetName val="upload"/>
      <sheetName val="upload (2)"/>
      <sheetName val="upload (3)"/>
      <sheetName val="Combined"/>
      <sheetName val="month check"/>
      <sheetName val="Tweak"/>
      <sheetName val="Chenoweth"/>
      <sheetName val="Admin transfer effect"/>
      <sheetName val="month check-Dehning"/>
      <sheetName val="scratch pap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ison to current WA"/>
      <sheetName val="Winter WACOG WA"/>
      <sheetName val="Derivation of Demand rates WA"/>
      <sheetName val="Demand Charges"/>
      <sheetName val="Total Commodity Summary"/>
      <sheetName val="RNG RTC Costs - HC"/>
      <sheetName val="Commodity Cost from Vol Pipe"/>
      <sheetName val="Hedged Spot Dispatch &amp; Cost"/>
      <sheetName val="Commodity Cost from Supply"/>
      <sheetName val="Commodity Supply Dispatch"/>
      <sheetName val="download for JV28A"/>
      <sheetName val="Commodity Cost from Supply VERT"/>
      <sheetName val="Commodity Cost from RNG"/>
      <sheetName val="RNG Dispatch"/>
      <sheetName val="Commodity Cost from Storage"/>
      <sheetName val="Storage Dispatch"/>
      <sheetName val="Index Prices"/>
      <sheetName val="Line loss"/>
      <sheetName val="Fuel factors"/>
      <sheetName val="General Inputs"/>
      <sheetName val="Spot contracts"/>
      <sheetName val="Supply Contracts"/>
    </sheetNames>
    <sheetDataSet>
      <sheetData sheetId="0"/>
      <sheetData sheetId="1"/>
      <sheetData sheetId="2"/>
      <sheetData sheetId="3"/>
      <sheetData sheetId="4"/>
      <sheetData sheetId="5">
        <row r="4">
          <cell r="AE4">
            <v>151557.16119633711</v>
          </cell>
        </row>
        <row r="5">
          <cell r="AE5">
            <v>198235.85188900406</v>
          </cell>
        </row>
        <row r="6">
          <cell r="AE6">
            <v>229659.22400215484</v>
          </cell>
        </row>
        <row r="7">
          <cell r="AE7">
            <v>258785.71829180667</v>
          </cell>
        </row>
        <row r="8">
          <cell r="AE8">
            <v>39800.193823629801</v>
          </cell>
        </row>
        <row r="9">
          <cell r="AE9">
            <v>40307.046968527655</v>
          </cell>
        </row>
        <row r="10">
          <cell r="AE10">
            <v>41713.292378944294</v>
          </cell>
        </row>
        <row r="11">
          <cell r="AE11">
            <v>40101.819247916879</v>
          </cell>
        </row>
        <row r="12">
          <cell r="AE12">
            <v>41077.100669665582</v>
          </cell>
        </row>
        <row r="13">
          <cell r="AE13">
            <v>40971.068718119132</v>
          </cell>
        </row>
        <row r="14">
          <cell r="AE14">
            <v>39752.932122878548</v>
          </cell>
        </row>
        <row r="15">
          <cell r="AE15">
            <v>39629.795490512071</v>
          </cell>
        </row>
      </sheetData>
      <sheetData sheetId="6">
        <row r="30">
          <cell r="F30">
            <v>87590</v>
          </cell>
        </row>
        <row r="48">
          <cell r="F48">
            <v>0</v>
          </cell>
        </row>
        <row r="66">
          <cell r="F66">
            <v>1027</v>
          </cell>
        </row>
        <row r="85">
          <cell r="F85">
            <v>83563</v>
          </cell>
        </row>
        <row r="89">
          <cell r="F89">
            <v>21567</v>
          </cell>
        </row>
        <row r="90">
          <cell r="F90">
            <v>25055</v>
          </cell>
        </row>
        <row r="91">
          <cell r="F91">
            <v>24121</v>
          </cell>
        </row>
        <row r="92">
          <cell r="F92">
            <v>20589</v>
          </cell>
        </row>
        <row r="93">
          <cell r="F93">
            <v>20062</v>
          </cell>
        </row>
        <row r="94">
          <cell r="F94">
            <v>14400</v>
          </cell>
        </row>
        <row r="95">
          <cell r="F95">
            <v>10366</v>
          </cell>
        </row>
        <row r="96">
          <cell r="F96">
            <v>7175</v>
          </cell>
        </row>
        <row r="97">
          <cell r="F97">
            <v>5130</v>
          </cell>
        </row>
        <row r="98">
          <cell r="F98">
            <v>5019</v>
          </cell>
        </row>
        <row r="99">
          <cell r="F99">
            <v>5925</v>
          </cell>
        </row>
        <row r="100">
          <cell r="F100">
            <v>12771</v>
          </cell>
        </row>
      </sheetData>
      <sheetData sheetId="7">
        <row r="20">
          <cell r="D20">
            <v>30</v>
          </cell>
        </row>
        <row r="21">
          <cell r="D21">
            <v>31</v>
          </cell>
        </row>
        <row r="22">
          <cell r="D22">
            <v>31</v>
          </cell>
        </row>
        <row r="23">
          <cell r="D23">
            <v>28</v>
          </cell>
        </row>
        <row r="24">
          <cell r="D24">
            <v>31</v>
          </cell>
        </row>
        <row r="25">
          <cell r="D25">
            <v>30</v>
          </cell>
        </row>
        <row r="26">
          <cell r="D26">
            <v>31</v>
          </cell>
        </row>
        <row r="27">
          <cell r="D27">
            <v>30</v>
          </cell>
        </row>
        <row r="28">
          <cell r="D28">
            <v>31</v>
          </cell>
        </row>
        <row r="29">
          <cell r="D29">
            <v>31</v>
          </cell>
        </row>
        <row r="30">
          <cell r="D30">
            <v>30</v>
          </cell>
        </row>
        <row r="31">
          <cell r="D31">
            <v>31</v>
          </cell>
        </row>
      </sheetData>
      <sheetData sheetId="8">
        <row r="17">
          <cell r="CG17">
            <v>10104560.629507305</v>
          </cell>
        </row>
        <row r="18">
          <cell r="CG18">
            <v>11912338.146434449</v>
          </cell>
        </row>
        <row r="19">
          <cell r="CG19">
            <v>11458686.612636192</v>
          </cell>
        </row>
        <row r="20">
          <cell r="CG20">
            <v>9204071.1505306493</v>
          </cell>
        </row>
        <row r="21">
          <cell r="CG21">
            <v>8740026.2139814664</v>
          </cell>
        </row>
        <row r="22">
          <cell r="CG22">
            <v>7298548.6203391477</v>
          </cell>
        </row>
        <row r="23">
          <cell r="CG23">
            <v>4840469.7152079977</v>
          </cell>
        </row>
        <row r="24">
          <cell r="CG24">
            <v>3354519.5525397588</v>
          </cell>
        </row>
        <row r="25">
          <cell r="CG25">
            <v>2708042.6580105075</v>
          </cell>
        </row>
        <row r="26">
          <cell r="CG26">
            <v>2605652.4706753041</v>
          </cell>
        </row>
        <row r="27">
          <cell r="CG27">
            <v>2854091.4309035009</v>
          </cell>
        </row>
        <row r="28">
          <cell r="CG28">
            <v>5646595.5803987794</v>
          </cell>
        </row>
        <row r="35">
          <cell r="CG35">
            <v>10252415.068275878</v>
          </cell>
        </row>
        <row r="36">
          <cell r="CG36">
            <v>12065869.070551742</v>
          </cell>
        </row>
        <row r="37">
          <cell r="CG37">
            <v>11606447.070551742</v>
          </cell>
        </row>
        <row r="38">
          <cell r="CG38">
            <v>9322962.0637241527</v>
          </cell>
        </row>
        <row r="39">
          <cell r="CG39">
            <v>8853792.4628379531</v>
          </cell>
        </row>
        <row r="40">
          <cell r="CG40">
            <v>7387941.0682758782</v>
          </cell>
        </row>
        <row r="41">
          <cell r="CG41">
            <v>4904656.0648153592</v>
          </cell>
        </row>
        <row r="42">
          <cell r="CG42">
            <v>3395348.0682758782</v>
          </cell>
        </row>
        <row r="43">
          <cell r="CG43">
            <v>2735217.0705517409</v>
          </cell>
        </row>
        <row r="44">
          <cell r="CG44">
            <v>2631524.7045345586</v>
          </cell>
        </row>
        <row r="45">
          <cell r="CG45">
            <v>2885971.1769485474</v>
          </cell>
        </row>
        <row r="46">
          <cell r="CG46">
            <v>5722846.0467689494</v>
          </cell>
        </row>
        <row r="79">
          <cell r="CG79">
            <v>31814728.04212882</v>
          </cell>
        </row>
        <row r="96">
          <cell r="CG96">
            <v>0</v>
          </cell>
        </row>
        <row r="101">
          <cell r="CG101">
            <v>3984941.9274634356</v>
          </cell>
        </row>
        <row r="102">
          <cell r="CG102">
            <v>5836651.9969347436</v>
          </cell>
        </row>
        <row r="103">
          <cell r="CG103">
            <v>5856907.1783979246</v>
          </cell>
        </row>
        <row r="104">
          <cell r="CG104">
            <v>4460308.8642100515</v>
          </cell>
        </row>
        <row r="105">
          <cell r="CG105">
            <v>3590065.695087892</v>
          </cell>
        </row>
        <row r="106">
          <cell r="CG106">
            <v>1887791.7101132344</v>
          </cell>
        </row>
        <row r="107">
          <cell r="CG107">
            <v>1089180.6004630269</v>
          </cell>
        </row>
        <row r="108">
          <cell r="CG108">
            <v>834008.94888009853</v>
          </cell>
        </row>
        <row r="109">
          <cell r="CG109">
            <v>862582.78150758054</v>
          </cell>
        </row>
        <row r="110">
          <cell r="CG110">
            <v>854603.82876242604</v>
          </cell>
        </row>
        <row r="111">
          <cell r="CG111">
            <v>892529.69939175283</v>
          </cell>
        </row>
        <row r="112">
          <cell r="CG112">
            <v>1665154.8109166562</v>
          </cell>
        </row>
      </sheetData>
      <sheetData sheetId="9"/>
      <sheetData sheetId="10"/>
      <sheetData sheetId="11">
        <row r="111">
          <cell r="U111">
            <v>80727602.781165048</v>
          </cell>
        </row>
      </sheetData>
      <sheetData sheetId="12"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9">
          <cell r="D49"/>
          <cell r="E49"/>
          <cell r="F49"/>
          <cell r="G49"/>
          <cell r="H49"/>
          <cell r="I49"/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7">
          <cell r="D67"/>
          <cell r="E67"/>
          <cell r="F67"/>
          <cell r="G67"/>
          <cell r="H67"/>
          <cell r="I67"/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</sheetData>
      <sheetData sheetId="13"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</sheetData>
      <sheetData sheetId="14">
        <row r="34">
          <cell r="D34">
            <v>0</v>
          </cell>
          <cell r="E34">
            <v>0</v>
          </cell>
          <cell r="F34">
            <v>1417</v>
          </cell>
          <cell r="G34">
            <v>6441</v>
          </cell>
          <cell r="H34">
            <v>0</v>
          </cell>
          <cell r="I34">
            <v>0</v>
          </cell>
        </row>
        <row r="35">
          <cell r="D35">
            <v>455644</v>
          </cell>
          <cell r="E35">
            <v>89904</v>
          </cell>
          <cell r="F35">
            <v>1627</v>
          </cell>
          <cell r="G35">
            <v>7395</v>
          </cell>
          <cell r="H35">
            <v>0</v>
          </cell>
          <cell r="I35">
            <v>0</v>
          </cell>
        </row>
        <row r="36">
          <cell r="D36">
            <v>704017</v>
          </cell>
          <cell r="E36">
            <v>0</v>
          </cell>
          <cell r="F36">
            <v>1627</v>
          </cell>
          <cell r="G36">
            <v>7395</v>
          </cell>
          <cell r="H36">
            <v>0</v>
          </cell>
          <cell r="I36">
            <v>0</v>
          </cell>
        </row>
        <row r="37">
          <cell r="D37">
            <v>650969</v>
          </cell>
          <cell r="E37">
            <v>9334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D38">
            <v>380121</v>
          </cell>
          <cell r="E38">
            <v>71726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D39">
            <v>28590</v>
          </cell>
          <cell r="E39">
            <v>24067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D45">
            <v>0</v>
          </cell>
          <cell r="E45">
            <v>14047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53">
          <cell r="D53">
            <v>0</v>
          </cell>
          <cell r="E53">
            <v>0</v>
          </cell>
          <cell r="F53">
            <v>8</v>
          </cell>
          <cell r="G53">
            <v>51</v>
          </cell>
          <cell r="H53">
            <v>0</v>
          </cell>
          <cell r="I53">
            <v>0</v>
          </cell>
        </row>
        <row r="54">
          <cell r="D54">
            <v>9256</v>
          </cell>
          <cell r="E54">
            <v>0</v>
          </cell>
          <cell r="F54">
            <v>10</v>
          </cell>
          <cell r="G54">
            <v>59</v>
          </cell>
          <cell r="H54">
            <v>0</v>
          </cell>
          <cell r="I54">
            <v>0</v>
          </cell>
        </row>
        <row r="55">
          <cell r="D55">
            <v>14302</v>
          </cell>
          <cell r="E55">
            <v>0</v>
          </cell>
          <cell r="F55">
            <v>10</v>
          </cell>
          <cell r="G55">
            <v>59</v>
          </cell>
          <cell r="H55">
            <v>0</v>
          </cell>
          <cell r="I55">
            <v>0</v>
          </cell>
        </row>
        <row r="56">
          <cell r="D56">
            <v>13224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D57">
            <v>7722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D58">
            <v>581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9">
          <cell r="J69">
            <v>7917</v>
          </cell>
        </row>
        <row r="70">
          <cell r="J70">
            <v>563895</v>
          </cell>
        </row>
        <row r="71">
          <cell r="J71">
            <v>727410</v>
          </cell>
        </row>
        <row r="72">
          <cell r="J72">
            <v>673527</v>
          </cell>
        </row>
        <row r="73">
          <cell r="J73">
            <v>459569</v>
          </cell>
        </row>
        <row r="74">
          <cell r="J74">
            <v>53238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14047</v>
          </cell>
        </row>
      </sheetData>
      <sheetData sheetId="15">
        <row r="16">
          <cell r="F16">
            <v>0</v>
          </cell>
          <cell r="I16">
            <v>0</v>
          </cell>
          <cell r="J16">
            <v>0</v>
          </cell>
          <cell r="L16">
            <v>10013509.712435426</v>
          </cell>
          <cell r="M16">
            <v>10104560.629507301</v>
          </cell>
        </row>
        <row r="17">
          <cell r="F17">
            <v>472447.48995716573</v>
          </cell>
          <cell r="I17">
            <v>0</v>
          </cell>
          <cell r="J17">
            <v>0</v>
          </cell>
          <cell r="L17">
            <v>11804997.574936878</v>
          </cell>
          <cell r="M17">
            <v>11912338.146434445</v>
          </cell>
        </row>
        <row r="18">
          <cell r="F18">
            <v>0</v>
          </cell>
          <cell r="I18">
            <v>0</v>
          </cell>
          <cell r="J18">
            <v>0</v>
          </cell>
          <cell r="L18">
            <v>11355433.837698799</v>
          </cell>
          <cell r="M18">
            <v>11458686.61263619</v>
          </cell>
        </row>
        <row r="19">
          <cell r="F19">
            <v>49048.756349856827</v>
          </cell>
          <cell r="I19">
            <v>0</v>
          </cell>
          <cell r="J19">
            <v>0</v>
          </cell>
          <cell r="L19">
            <v>9121134.4301943518</v>
          </cell>
          <cell r="M19">
            <v>9204071.1505306493</v>
          </cell>
        </row>
        <row r="20">
          <cell r="F20">
            <v>376922.61194132222</v>
          </cell>
          <cell r="I20">
            <v>0</v>
          </cell>
          <cell r="J20">
            <v>0</v>
          </cell>
          <cell r="L20">
            <v>8661270.9438422192</v>
          </cell>
          <cell r="M20">
            <v>8740026.2139814645</v>
          </cell>
        </row>
        <row r="21">
          <cell r="F21">
            <v>126470.29931567766</v>
          </cell>
          <cell r="I21">
            <v>0</v>
          </cell>
          <cell r="J21">
            <v>0</v>
          </cell>
          <cell r="L21">
            <v>7232782.322373163</v>
          </cell>
          <cell r="M21">
            <v>7298548.6203391487</v>
          </cell>
        </row>
        <row r="22">
          <cell r="F22">
            <v>0</v>
          </cell>
          <cell r="I22">
            <v>0</v>
          </cell>
          <cell r="J22">
            <v>0</v>
          </cell>
          <cell r="L22">
            <v>4796852.8551793396</v>
          </cell>
          <cell r="M22">
            <v>4840469.7152079996</v>
          </cell>
        </row>
        <row r="23">
          <cell r="F23">
            <v>0</v>
          </cell>
          <cell r="I23">
            <v>0</v>
          </cell>
          <cell r="J23">
            <v>0</v>
          </cell>
          <cell r="L23">
            <v>3324292.401375724</v>
          </cell>
          <cell r="M23">
            <v>3354519.5525397598</v>
          </cell>
        </row>
        <row r="24">
          <cell r="F24">
            <v>0</v>
          </cell>
          <cell r="I24">
            <v>0</v>
          </cell>
          <cell r="J24">
            <v>0</v>
          </cell>
          <cell r="L24">
            <v>2683640.8283296032</v>
          </cell>
          <cell r="M24">
            <v>2708042.6580105079</v>
          </cell>
        </row>
        <row r="25">
          <cell r="F25">
            <v>0</v>
          </cell>
          <cell r="I25">
            <v>0</v>
          </cell>
          <cell r="J25">
            <v>0</v>
          </cell>
          <cell r="L25">
            <v>2582173.266014711</v>
          </cell>
          <cell r="M25">
            <v>2605652.470675305</v>
          </cell>
        </row>
        <row r="26">
          <cell r="F26">
            <v>0</v>
          </cell>
          <cell r="I26">
            <v>0</v>
          </cell>
          <cell r="J26">
            <v>0</v>
          </cell>
          <cell r="L26">
            <v>2828373.5742129413</v>
          </cell>
          <cell r="M26">
            <v>2854091.4309035013</v>
          </cell>
        </row>
        <row r="27">
          <cell r="F27">
            <v>73815.636974494322</v>
          </cell>
          <cell r="I27">
            <v>0</v>
          </cell>
          <cell r="J27">
            <v>0</v>
          </cell>
          <cell r="L27">
            <v>5595714.8222163869</v>
          </cell>
          <cell r="M27">
            <v>5646595.5803987812</v>
          </cell>
        </row>
        <row r="28">
          <cell r="K28">
            <v>12056352.876426265</v>
          </cell>
          <cell r="L28">
            <v>80000176.568809554</v>
          </cell>
          <cell r="M28">
            <v>80727602.781165048</v>
          </cell>
        </row>
        <row r="34">
          <cell r="F34">
            <v>0</v>
          </cell>
          <cell r="I34">
            <v>0</v>
          </cell>
          <cell r="J34">
            <v>0</v>
          </cell>
          <cell r="K34">
            <v>28507.304031497479</v>
          </cell>
        </row>
        <row r="35">
          <cell r="F35">
            <v>473105.10605458159</v>
          </cell>
          <cell r="I35">
            <v>0</v>
          </cell>
          <cell r="J35">
            <v>0</v>
          </cell>
          <cell r="K35">
            <v>2736215.5070291455</v>
          </cell>
        </row>
        <row r="36">
          <cell r="F36">
            <v>0</v>
          </cell>
          <cell r="I36">
            <v>0</v>
          </cell>
          <cell r="J36">
            <v>0</v>
          </cell>
          <cell r="K36">
            <v>3478894.1266141692</v>
          </cell>
        </row>
        <row r="37">
          <cell r="F37">
            <v>49117.029020194896</v>
          </cell>
          <cell r="I37">
            <v>0</v>
          </cell>
          <cell r="J37">
            <v>0</v>
          </cell>
          <cell r="K37">
            <v>3235610.682357219</v>
          </cell>
        </row>
        <row r="38">
          <cell r="F38">
            <v>377447.26363777876</v>
          </cell>
          <cell r="I38">
            <v>0</v>
          </cell>
          <cell r="J38">
            <v>0</v>
          </cell>
          <cell r="K38">
            <v>2238140.1142951227</v>
          </cell>
        </row>
        <row r="39">
          <cell r="F39">
            <v>126646.33772511558</v>
          </cell>
          <cell r="I39">
            <v>0</v>
          </cell>
          <cell r="J39">
            <v>0</v>
          </cell>
          <cell r="K39">
            <v>266596.08399826329</v>
          </cell>
        </row>
        <row r="40">
          <cell r="F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F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F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F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F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F45">
            <v>73918.383527597689</v>
          </cell>
          <cell r="I45">
            <v>0</v>
          </cell>
          <cell r="J45">
            <v>0</v>
          </cell>
          <cell r="K45">
            <v>73918.383527597689</v>
          </cell>
        </row>
        <row r="418">
          <cell r="D418">
            <v>92056529</v>
          </cell>
        </row>
      </sheetData>
      <sheetData sheetId="16">
        <row r="13">
          <cell r="E13">
            <v>0.19319999999999998</v>
          </cell>
        </row>
        <row r="14">
          <cell r="E14">
            <v>0.23380113636363645</v>
          </cell>
        </row>
        <row r="15">
          <cell r="E15">
            <v>0.24265340909090907</v>
          </cell>
        </row>
        <row r="16">
          <cell r="E16">
            <v>0.24413749999999995</v>
          </cell>
        </row>
        <row r="17">
          <cell r="E17">
            <v>0.2163352272727273</v>
          </cell>
        </row>
        <row r="18">
          <cell r="E18">
            <v>0.19808977272727271</v>
          </cell>
        </row>
        <row r="19">
          <cell r="E19">
            <v>0.1898806818181818</v>
          </cell>
        </row>
        <row r="20">
          <cell r="E20">
            <v>0.19474090909090908</v>
          </cell>
        </row>
        <row r="21">
          <cell r="E21">
            <v>0.19820113636363637</v>
          </cell>
        </row>
        <row r="22">
          <cell r="E22">
            <v>0.19978522727272732</v>
          </cell>
        </row>
        <row r="23">
          <cell r="E23">
            <v>0.2000079545454545</v>
          </cell>
        </row>
        <row r="24">
          <cell r="E24">
            <v>0.2192465909090909</v>
          </cell>
        </row>
      </sheetData>
      <sheetData sheetId="17"/>
      <sheetData sheetId="18">
        <row r="12">
          <cell r="F12">
            <v>0.98613150000000005</v>
          </cell>
        </row>
        <row r="13">
          <cell r="F13">
            <v>0.98799999999999999</v>
          </cell>
        </row>
        <row r="14">
          <cell r="F14">
            <v>0.99861</v>
          </cell>
        </row>
        <row r="15">
          <cell r="F15">
            <v>1</v>
          </cell>
        </row>
        <row r="16">
          <cell r="F16">
            <v>0.97340000000000004</v>
          </cell>
        </row>
      </sheetData>
      <sheetData sheetId="19">
        <row r="10">
          <cell r="E10">
            <v>4.3568999999999997E-2</v>
          </cell>
        </row>
        <row r="68">
          <cell r="D68">
            <v>726491658.36307311</v>
          </cell>
          <cell r="E68">
            <v>90908754.469081819</v>
          </cell>
        </row>
        <row r="69">
          <cell r="E69">
            <v>1147774.976154</v>
          </cell>
        </row>
        <row r="77">
          <cell r="D77">
            <v>9.887E-2</v>
          </cell>
          <cell r="E77">
            <v>0.10337</v>
          </cell>
        </row>
        <row r="78">
          <cell r="D78">
            <v>3.4549999999999997E-2</v>
          </cell>
          <cell r="E78">
            <v>3.6119999999999999E-2</v>
          </cell>
        </row>
        <row r="79">
          <cell r="D79">
            <v>1.47</v>
          </cell>
          <cell r="E79">
            <v>1.54</v>
          </cell>
        </row>
        <row r="91">
          <cell r="E91">
            <v>15096.911999999997</v>
          </cell>
        </row>
        <row r="96">
          <cell r="D96">
            <v>-9348.4799999999977</v>
          </cell>
          <cell r="E96">
            <v>-9660.0960000000014</v>
          </cell>
          <cell r="F96">
            <v>-9660.0960000000014</v>
          </cell>
          <cell r="G96">
            <v>-8725.2479999999978</v>
          </cell>
          <cell r="H96">
            <v>-9660.0960000000032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</sheetData>
      <sheetData sheetId="20"/>
      <sheetData sheetId="21">
        <row r="1">
          <cell r="A1" t="str">
            <v>NW Natural</v>
          </cell>
        </row>
        <row r="2">
          <cell r="A2" t="str">
            <v>2025-2026 PGA - SYSTEM: September Filing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s and Resources by Task"/>
      <sheetName val="Build Cycles"/>
      <sheetName val="TGG Resources - H1"/>
      <sheetName val="Integrations"/>
    </sheetNames>
    <sheetDataSet>
      <sheetData sheetId="0" refreshError="1"/>
      <sheetData sheetId="1" refreshError="1"/>
      <sheetData sheetId="2" refreshError="1">
        <row r="2">
          <cell r="B2">
            <v>150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rly Report Summary"/>
      <sheetName val="for PGA"/>
      <sheetName val="July Int Rate for Amort"/>
      <sheetName val="Amort forecast"/>
      <sheetName val="186291"/>
      <sheetName val="186xxx Pension Expense Credit"/>
      <sheetName val="186232 Industrial DSM"/>
      <sheetName val="186292 Amort IMP Refund"/>
      <sheetName val="186229"/>
      <sheetName val="186259 Amort Tax Kicker"/>
      <sheetName val="186360 Amort Albany Refund"/>
      <sheetName val="186304 Defer Smart Energy"/>
      <sheetName val="186308 Defer AMR"/>
      <sheetName val="186275 Defer Res Decoup"/>
      <sheetName val="186277 Amort Res Decoup"/>
      <sheetName val="186270 Defer Comm Decoup"/>
      <sheetName val="186271 Amort Comm Decoup"/>
      <sheetName val="186284 Defer Issue Fund"/>
      <sheetName val="186276 Defer CUB fund"/>
      <sheetName val="186278 Defer NWIGU Fund"/>
      <sheetName val="186286 Amort CUB Fund"/>
      <sheetName val="186288 Amort NWIGU Fund"/>
      <sheetName val="186231 Amort DSM"/>
      <sheetName val="186267 Amort Coos Bay"/>
      <sheetName val="191401 Amort WACOG"/>
      <sheetName val="191411 Amort Demand"/>
      <sheetName val="191031 Amort Storage Adj"/>
      <sheetName val="191400 Defer WACOG"/>
      <sheetName val="191410 Defer Demand"/>
      <sheetName val="191450 Defer Seasonal Demand"/>
      <sheetName val="191455"/>
      <sheetName val="191621"/>
      <sheetName val="191417 Defer Coos Demand"/>
    </sheetNames>
    <sheetDataSet>
      <sheetData sheetId="0" refreshError="1"/>
      <sheetData sheetId="1" refreshError="1"/>
      <sheetData sheetId="2">
        <row r="17">
          <cell r="B17">
            <v>7.0800000000000002E-2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 Rec"/>
      <sheetName val="Bank Rec 0309"/>
      <sheetName val="Mar B. Statement"/>
      <sheetName val="Mar GL"/>
      <sheetName val="Checks not In BS"/>
      <sheetName val="Mar Check Register"/>
      <sheetName val="FEB GL"/>
      <sheetName val="FEB BK Statement"/>
      <sheetName val="Feb Check Register"/>
      <sheetName val="Recon pg2"/>
      <sheetName val="Recon pg1"/>
      <sheetName val="Bank Rec 02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ly Int Rate for Amort"/>
      <sheetName val="OR 0809 Matrix-estimate amort"/>
      <sheetName val="186291"/>
      <sheetName val="Amortization Rates"/>
      <sheetName val="186236 PUC Fee Refund"/>
      <sheetName val="for PGA"/>
      <sheetName val="OR Amort Rates1112"/>
      <sheetName val="GL"/>
      <sheetName val="Qtrly Report Summary"/>
      <sheetName val="186277 Amort Res Decoup"/>
      <sheetName val="186271 Amort Comm Decoup"/>
      <sheetName val="186275 Defer Res Decoup"/>
      <sheetName val="186270 Defer Comm Decoup"/>
      <sheetName val="186284 Defer Issue Fund"/>
      <sheetName val="186276 Defer CUB fund"/>
      <sheetName val="186278 Defer NWIGU Fund"/>
      <sheetName val="186286 Amort CUB Fund"/>
      <sheetName val="186288 Amort NWIGU Fund"/>
      <sheetName val="186370 Pension Expense Credit"/>
      <sheetName val="186401 SB408 Surcharge"/>
      <sheetName val="184301 McBIT Reserve"/>
      <sheetName val="186308 Defer AMR"/>
      <sheetName val="186307 AMR Amortization"/>
      <sheetName val="186232 Industrial DSM"/>
      <sheetName val="186292 Amort IMP Refund"/>
      <sheetName val="186229"/>
      <sheetName val="186259 Amort Tax Kicker"/>
      <sheetName val="186360 Amort Albany Refund"/>
      <sheetName val="186233 Industrial DSM AMORT"/>
      <sheetName val="186306 Amort Smart Energy"/>
      <sheetName val="186237 PUC Fee Amort"/>
      <sheetName val="254303 Earnings Test"/>
      <sheetName val="186279 Earnings Test Amort"/>
      <sheetName val="186231 Amort DSM"/>
      <sheetName val="186267 Amort Coos Bay"/>
      <sheetName val="191401 Amort WACOG"/>
      <sheetName val="191031 Amort Storage Adj"/>
      <sheetName val="191411 Amort Demand"/>
      <sheetName val="191400 Defer WACOG"/>
      <sheetName val="191400 Defer WACOG books"/>
      <sheetName val="191410 Defer Demand"/>
      <sheetName val="191410 Defer Demand BOOKS"/>
      <sheetName val="191450 Defer Seasonal Demand"/>
      <sheetName val="191455"/>
      <sheetName val="191621"/>
      <sheetName val="191417 Defer Coos Demand"/>
    </sheetNames>
    <sheetDataSet>
      <sheetData sheetId="0">
        <row r="17">
          <cell r="B17">
            <v>7.0800000000000002E-2</v>
          </cell>
        </row>
      </sheetData>
      <sheetData sheetId="1"/>
      <sheetData sheetId="2"/>
      <sheetData sheetId="3"/>
      <sheetData sheetId="4"/>
      <sheetData sheetId="5">
        <row r="11">
          <cell r="I11">
            <v>1.47E-2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Y"/>
      <sheetName val="OH DISTB"/>
      <sheetName val="JV 92"/>
      <sheetName val="ESTIMATE"/>
      <sheetName val="DEPR"/>
      <sheetName val="Journal Page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nvironmental"/>
      <sheetName val="Chart2"/>
      <sheetName val="Import fr margin&amp;COG model"/>
      <sheetName val="Export to Treasury"/>
      <sheetName val="Export to Linda"/>
      <sheetName val="Export to Income Model"/>
      <sheetName val="Export to REV-0 in margin model"/>
      <sheetName val="dec 09 balances"/>
      <sheetName val="Volumes from Margin Model"/>
      <sheetName val="WA Amort Rates0910"/>
      <sheetName val="OR Amort Rates0910"/>
      <sheetName val="Balances"/>
      <sheetName val="Accum"/>
      <sheetName val="Amort"/>
      <sheetName val="Transfers"/>
      <sheetName val="Interest"/>
      <sheetName val="Check"/>
      <sheetName val="x186291"/>
      <sheetName val="x186229"/>
      <sheetName val="186259 Tax Kicker"/>
      <sheetName val="186275 Res Decoupling"/>
      <sheetName val="186277 Amort Res Decoupling"/>
      <sheetName val="186270 Comm Decoupling"/>
      <sheetName val="186271 Amort Comm Decoupling"/>
      <sheetName val="186276 CUB funding"/>
      <sheetName val="186286 Amort CUB Fund"/>
      <sheetName val="186278 NWIGU funding"/>
      <sheetName val="186288 Amort NWIGU Fund"/>
      <sheetName val="186306 Amort Smart Energy"/>
      <sheetName val="186370 Amort Pension"/>
      <sheetName val="191400 OR WACOG Def"/>
      <sheetName val="191401 OR WACOG Amort"/>
      <sheetName val="191410 OR Demand Def"/>
      <sheetName val="191411 OR Demand Amort"/>
      <sheetName val="191450 OR Demand Def"/>
      <sheetName val="191417 OR Coos Bay Dem"/>
      <sheetName val="186311 WA Furn now EE GEN"/>
      <sheetName val="186312 WA EE (ETO)"/>
      <sheetName val="186314 WA LIEE"/>
      <sheetName val="186316 WA Amort catchall"/>
      <sheetName val="186234 GREAT"/>
      <sheetName val="186235 GREAT AMORT"/>
      <sheetName val="186365 WA Albany Amort"/>
      <sheetName val="191420 WA WACOG Def"/>
      <sheetName val="191421 WA WACOG Amort"/>
      <sheetName val="191430 WA DEMAND DEf"/>
      <sheetName val="191431 WA Demand Amort"/>
      <sheetName val="191432"/>
      <sheetName val="186302 WA Margin Sharing"/>
      <sheetName val="Chart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E3">
            <v>2.24E-2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age Prices"/>
      <sheetName val="Flowing Prices"/>
      <sheetName val="Raw Prices"/>
      <sheetName val="Index Prices"/>
      <sheetName val="Pipeline Charges"/>
      <sheetName val="Storage Dispatch"/>
      <sheetName val="Storage Cost"/>
      <sheetName val="Flowing Dispatch"/>
      <sheetName val="Flowing Cost"/>
      <sheetName val="Check Page"/>
      <sheetName val="Summary"/>
      <sheetName val="PGA"/>
      <sheetName val="Wacog"/>
      <sheetName val="Seasonal"/>
      <sheetName val="Producer"/>
      <sheetName val="Pipeline Charges:Summary"/>
      <sheetName val="Pipeline Charges:Wacog"/>
    </sheetNames>
    <sheetDataSet>
      <sheetData sheetId="0"/>
      <sheetData sheetId="1"/>
      <sheetData sheetId="2"/>
      <sheetData sheetId="3"/>
      <sheetData sheetId="4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</row>
        <row r="11">
          <cell r="C11">
            <v>168009500</v>
          </cell>
          <cell r="D11">
            <v>1.689E-3</v>
          </cell>
          <cell r="E11">
            <v>168009500</v>
          </cell>
          <cell r="F11">
            <v>1.6850000000000001E-3</v>
          </cell>
          <cell r="G11">
            <v>283768.04550000001</v>
          </cell>
          <cell r="H11">
            <v>283096.00750000001</v>
          </cell>
          <cell r="I11">
            <v>283096.00750000001</v>
          </cell>
        </row>
        <row r="12">
          <cell r="C12">
            <v>4089051200</v>
          </cell>
          <cell r="D12">
            <v>6.2000000000000003E-5</v>
          </cell>
          <cell r="E12">
            <v>4089051200</v>
          </cell>
          <cell r="F12">
            <v>6.0999999999999999E-5</v>
          </cell>
          <cell r="G12">
            <v>253521.17440000002</v>
          </cell>
          <cell r="H12">
            <v>249432.1232</v>
          </cell>
          <cell r="I12">
            <v>249432.1232</v>
          </cell>
        </row>
        <row r="13">
          <cell r="C13">
            <v>11202880</v>
          </cell>
          <cell r="D13">
            <v>2.776E-2</v>
          </cell>
          <cell r="E13">
            <v>11202880</v>
          </cell>
          <cell r="F13">
            <v>2.7685000000000001E-2</v>
          </cell>
          <cell r="G13">
            <v>310991.94880000001</v>
          </cell>
          <cell r="H13">
            <v>442735.19780000002</v>
          </cell>
          <cell r="I13">
            <v>310151.7328</v>
          </cell>
        </row>
        <row r="15">
          <cell r="E15">
            <v>15991880</v>
          </cell>
          <cell r="N15">
            <v>1150680.02</v>
          </cell>
          <cell r="O15">
            <v>1147396.48</v>
          </cell>
        </row>
        <row r="16">
          <cell r="C16">
            <v>219365000</v>
          </cell>
          <cell r="D16">
            <v>2.5999999999999999E-3</v>
          </cell>
          <cell r="E16">
            <v>219365000</v>
          </cell>
          <cell r="F16">
            <v>2.5929999999999998E-3</v>
          </cell>
          <cell r="G16">
            <v>570349</v>
          </cell>
          <cell r="H16">
            <v>568813.44499999995</v>
          </cell>
          <cell r="I16">
            <v>568813.44499999995</v>
          </cell>
          <cell r="M16">
            <v>2.5999999999999999E-3</v>
          </cell>
          <cell r="N16">
            <v>570349</v>
          </cell>
          <cell r="O16">
            <v>568813.44499999995</v>
          </cell>
        </row>
        <row r="17">
          <cell r="C17">
            <v>1747985000</v>
          </cell>
          <cell r="D17">
            <v>3.3199999999999999E-4</v>
          </cell>
          <cell r="E17">
            <v>1747985000</v>
          </cell>
          <cell r="F17">
            <v>3.3100000000000002E-4</v>
          </cell>
          <cell r="G17">
            <v>580331.02</v>
          </cell>
          <cell r="H17">
            <v>578583.03500000003</v>
          </cell>
          <cell r="I17">
            <v>578583.03500000003</v>
          </cell>
          <cell r="M17">
            <v>3.3199999999999999E-4</v>
          </cell>
          <cell r="N17">
            <v>580331.02</v>
          </cell>
          <cell r="O17">
            <v>578583.03500000003</v>
          </cell>
        </row>
        <row r="18">
          <cell r="C18">
            <v>4789000</v>
          </cell>
          <cell r="D18">
            <v>2.776E-2</v>
          </cell>
          <cell r="E18">
            <v>4789000</v>
          </cell>
          <cell r="F18">
            <v>2.7685000000000001E-2</v>
          </cell>
          <cell r="G18">
            <v>132942.64000000001</v>
          </cell>
          <cell r="H18">
            <v>0</v>
          </cell>
          <cell r="I18">
            <v>132583.465</v>
          </cell>
        </row>
        <row r="19">
          <cell r="H19">
            <v>2131903.8287</v>
          </cell>
        </row>
        <row r="21">
          <cell r="C21">
            <v>1158853100</v>
          </cell>
          <cell r="D21">
            <v>2.7924000000000001E-2</v>
          </cell>
          <cell r="E21">
            <v>1158853100</v>
          </cell>
          <cell r="F21">
            <v>2.7685000000000001E-2</v>
          </cell>
          <cell r="G21">
            <v>32082848.0735</v>
          </cell>
          <cell r="H21">
            <v>32082848.0735</v>
          </cell>
          <cell r="I21">
            <v>32082848.0735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C23">
            <v>152205000</v>
          </cell>
          <cell r="D23">
            <v>1.8764298654819201E-2</v>
          </cell>
          <cell r="E23">
            <v>81030000</v>
          </cell>
          <cell r="F23">
            <v>1.8574893249413797E-2</v>
          </cell>
          <cell r="G23">
            <v>1505123.6</v>
          </cell>
          <cell r="H23">
            <v>417000</v>
          </cell>
          <cell r="I23">
            <v>1505123.6</v>
          </cell>
        </row>
        <row r="24">
          <cell r="C24">
            <v>2316000</v>
          </cell>
          <cell r="D24">
            <v>9.6829999999999999E-2</v>
          </cell>
          <cell r="E24">
            <v>2316000</v>
          </cell>
          <cell r="F24">
            <v>9.6829999999999999E-2</v>
          </cell>
          <cell r="G24">
            <v>224258.28</v>
          </cell>
          <cell r="I24">
            <v>224258.28</v>
          </cell>
          <cell r="O24">
            <v>0.58142000000000005</v>
          </cell>
        </row>
        <row r="25">
          <cell r="H25">
            <v>0</v>
          </cell>
        </row>
        <row r="27">
          <cell r="C27">
            <v>0.09</v>
          </cell>
          <cell r="D27">
            <v>350400000</v>
          </cell>
          <cell r="E27">
            <v>1.860099798644986E-2</v>
          </cell>
          <cell r="F27">
            <v>270600000</v>
          </cell>
          <cell r="G27">
            <v>5033430.0551333325</v>
          </cell>
          <cell r="L27">
            <v>31536000</v>
          </cell>
        </row>
        <row r="28">
          <cell r="C28">
            <v>0</v>
          </cell>
          <cell r="G28">
            <v>5099710.9304</v>
          </cell>
          <cell r="H28">
            <v>34424427.5</v>
          </cell>
          <cell r="I28" t="str">
            <v>Total BC Demand From previous Filing</v>
          </cell>
          <cell r="L28">
            <v>0</v>
          </cell>
        </row>
        <row r="29">
          <cell r="C29">
            <v>9.5000000000000001E-2</v>
          </cell>
          <cell r="D29">
            <v>30404500</v>
          </cell>
          <cell r="E29">
            <v>7.9192980487628753E-2</v>
          </cell>
          <cell r="F29">
            <v>270600000</v>
          </cell>
          <cell r="G29">
            <v>21429620.519952342</v>
          </cell>
          <cell r="H29">
            <v>5033430.0551333325</v>
          </cell>
          <cell r="I29" t="str">
            <v>Duke T-South</v>
          </cell>
          <cell r="L29">
            <v>2888427.5</v>
          </cell>
        </row>
        <row r="30">
          <cell r="E30">
            <v>9.7793978474078613E-2</v>
          </cell>
          <cell r="F30">
            <v>270600000</v>
          </cell>
          <cell r="G30">
            <v>26463050.575085673</v>
          </cell>
          <cell r="H30">
            <v>5099710.9304</v>
          </cell>
          <cell r="I30" t="str">
            <v>BC Crossing replacement</v>
          </cell>
          <cell r="L30">
            <v>34424427.5</v>
          </cell>
        </row>
        <row r="31">
          <cell r="C31">
            <v>4852129.6609867821</v>
          </cell>
          <cell r="D31" t="str">
            <v xml:space="preserve">               N/A</v>
          </cell>
          <cell r="E31" t="str">
            <v xml:space="preserve">               N/A</v>
          </cell>
          <cell r="F31">
            <v>4630527.1913048737</v>
          </cell>
          <cell r="G31">
            <v>4630527.1913048737</v>
          </cell>
          <cell r="H31">
            <v>2861665.9945143284</v>
          </cell>
          <cell r="I31" t="str">
            <v xml:space="preserve">ANG-Nova Expansionfor BC Crossing </v>
          </cell>
          <cell r="L31">
            <v>4630527.1913048737</v>
          </cell>
        </row>
        <row r="32">
          <cell r="C32">
            <v>1849293.005495775</v>
          </cell>
          <cell r="D32" t="str">
            <v xml:space="preserve">               N/A</v>
          </cell>
          <cell r="E32" t="str">
            <v xml:space="preserve">               N/A</v>
          </cell>
          <cell r="F32">
            <v>2491497.4444074924</v>
          </cell>
          <cell r="G32">
            <v>2491497.4444074924</v>
          </cell>
          <cell r="H32">
            <v>21429620.519952342</v>
          </cell>
          <cell r="I32" t="str">
            <v>Net BC  After ANG and BC Crossing</v>
          </cell>
          <cell r="L32">
            <v>1887182.2064498791</v>
          </cell>
        </row>
        <row r="33">
          <cell r="C33">
            <v>5782627.8045914266</v>
          </cell>
          <cell r="D33" t="str">
            <v xml:space="preserve">               N/A</v>
          </cell>
          <cell r="E33" t="str">
            <v xml:space="preserve">               N/A</v>
          </cell>
          <cell r="F33">
            <v>7208734.0755555574</v>
          </cell>
          <cell r="G33">
            <v>7208734.0755555574</v>
          </cell>
          <cell r="H33">
            <v>5033430.0551333325</v>
          </cell>
          <cell r="I33" t="str">
            <v>Addin back in T-South</v>
          </cell>
          <cell r="L33">
            <v>4590542.6820980553</v>
          </cell>
        </row>
        <row r="34">
          <cell r="H34">
            <v>26463050.575085673</v>
          </cell>
          <cell r="I34" t="str">
            <v>Total BC Demand Transfer</v>
          </cell>
          <cell r="L34">
            <v>1517685.44</v>
          </cell>
        </row>
        <row r="35">
          <cell r="C35">
            <v>34424427.5</v>
          </cell>
          <cell r="D35">
            <v>380804500</v>
          </cell>
          <cell r="F35">
            <v>270600000</v>
          </cell>
          <cell r="G35">
            <v>26463050.575085673</v>
          </cell>
          <cell r="H35">
            <v>7.9192980487628753E-2</v>
          </cell>
          <cell r="I35" t="str">
            <v>Net BC  After ANG and BC Crossing without T-South</v>
          </cell>
          <cell r="L35">
            <v>47050365.01985281</v>
          </cell>
        </row>
        <row r="36">
          <cell r="D36">
            <v>9.0399214032397202E-2</v>
          </cell>
          <cell r="F36">
            <v>9.7793978474078613E-2</v>
          </cell>
          <cell r="H36">
            <v>1.860099798644986E-2</v>
          </cell>
          <cell r="I36" t="str">
            <v>T-South</v>
          </cell>
          <cell r="Y36">
            <v>0</v>
          </cell>
        </row>
        <row r="37">
          <cell r="C37">
            <v>0</v>
          </cell>
          <cell r="H37">
            <v>9.7793978474078613E-2</v>
          </cell>
          <cell r="I37" t="str">
            <v>Total BC Demand in This Filing</v>
          </cell>
          <cell r="Y37">
            <v>5172770.1151372502</v>
          </cell>
          <cell r="Z37" t="str">
            <v>Avg</v>
          </cell>
        </row>
        <row r="38">
          <cell r="B38" t="str">
            <v>Already included in Duke BC figure, above</v>
          </cell>
          <cell r="C38">
            <v>46908477.971073985</v>
          </cell>
          <cell r="G38">
            <v>26463050.575085673</v>
          </cell>
          <cell r="Y38">
            <v>0</v>
          </cell>
        </row>
        <row r="39">
          <cell r="C39">
            <v>82852611.753273994</v>
          </cell>
          <cell r="G39">
            <v>81828409.978753597</v>
          </cell>
          <cell r="Y39">
            <v>0</v>
          </cell>
        </row>
        <row r="40">
          <cell r="B40" t="str">
            <v>NORTHWEST NATURAL GAS CO.</v>
          </cell>
          <cell r="Y40">
            <v>0</v>
          </cell>
        </row>
        <row r="41">
          <cell r="B41" t="str">
            <v>ASSORTED VOLUMETRIC COSTS</v>
          </cell>
          <cell r="C41" t="str">
            <v>Rate</v>
          </cell>
          <cell r="D41" t="str">
            <v>Volume</v>
          </cell>
          <cell r="E41" t="str">
            <v>Cost</v>
          </cell>
          <cell r="Y41">
            <v>0</v>
          </cell>
        </row>
        <row r="42">
          <cell r="B42" t="str">
            <v>TF-1 VOLUMETRIC</v>
          </cell>
          <cell r="C42">
            <v>3.2100000000000002E-3</v>
          </cell>
          <cell r="D42">
            <v>572591607</v>
          </cell>
          <cell r="E42">
            <v>1838019</v>
          </cell>
          <cell r="Y42">
            <v>0.57909166149389613</v>
          </cell>
        </row>
        <row r="43">
          <cell r="B43" t="str">
            <v>Spot Firm</v>
          </cell>
          <cell r="C43">
            <v>3.2100000000000002E-3</v>
          </cell>
          <cell r="D43">
            <v>37024587</v>
          </cell>
          <cell r="E43">
            <v>118849</v>
          </cell>
          <cell r="Y43">
            <v>0.57909166149389613</v>
          </cell>
        </row>
        <row r="44">
          <cell r="B44" t="str">
            <v>TF-2 VOLUMETRIC</v>
          </cell>
          <cell r="C44">
            <v>3.0000000000000001E-3</v>
          </cell>
          <cell r="D44">
            <v>15991859</v>
          </cell>
          <cell r="E44">
            <v>47976</v>
          </cell>
          <cell r="G44">
            <v>26463050.575085673</v>
          </cell>
          <cell r="H44">
            <v>26463050.575085673</v>
          </cell>
          <cell r="Y44">
            <v>10345540.037243947</v>
          </cell>
        </row>
        <row r="45">
          <cell r="B45" t="str">
            <v>SGS-1 FUEL USE</v>
          </cell>
          <cell r="C45">
            <v>0</v>
          </cell>
          <cell r="D45">
            <v>0</v>
          </cell>
          <cell r="E45">
            <v>0</v>
          </cell>
          <cell r="G45">
            <v>5099710.9304</v>
          </cell>
          <cell r="H45">
            <v>5099710.9304</v>
          </cell>
          <cell r="Y45">
            <v>10345540.037243947</v>
          </cell>
        </row>
        <row r="46">
          <cell r="B46" t="str">
            <v>LS-1 VAPORIZATION</v>
          </cell>
          <cell r="C46">
            <v>3.0300000000000001E-3</v>
          </cell>
          <cell r="D46">
            <v>4788992</v>
          </cell>
          <cell r="E46">
            <v>14511</v>
          </cell>
          <cell r="G46">
            <v>4630527.1913048737</v>
          </cell>
          <cell r="H46">
            <v>4630527.1913048737</v>
          </cell>
          <cell r="Y46">
            <v>10345540.037243947</v>
          </cell>
        </row>
        <row r="47">
          <cell r="B47" t="str">
            <v>TI-1 VOLUMETRIC</v>
          </cell>
          <cell r="C47">
            <v>3.1370000000000002E-2</v>
          </cell>
          <cell r="D47">
            <v>0</v>
          </cell>
          <cell r="E47">
            <v>0</v>
          </cell>
          <cell r="G47">
            <v>2491497.4444074924</v>
          </cell>
          <cell r="H47">
            <v>2491497.4444074924</v>
          </cell>
          <cell r="Y47">
            <v>10345540.037243947</v>
          </cell>
        </row>
        <row r="48">
          <cell r="B48" t="str">
            <v>SGS-2  FUEL USE</v>
          </cell>
          <cell r="C48">
            <v>0</v>
          </cell>
          <cell r="D48">
            <v>0</v>
          </cell>
          <cell r="E48">
            <v>0</v>
          </cell>
          <cell r="G48">
            <v>7208734.0755555574</v>
          </cell>
          <cell r="H48">
            <v>7208734.0755555574</v>
          </cell>
          <cell r="Y48">
            <v>10345540.037243947</v>
          </cell>
        </row>
        <row r="49">
          <cell r="B49" t="str">
            <v>PGT COMMODITY</v>
          </cell>
          <cell r="C49">
            <v>5.8100000000000003E-4</v>
          </cell>
          <cell r="D49">
            <v>294932372</v>
          </cell>
          <cell r="E49">
            <v>171356</v>
          </cell>
          <cell r="G49">
            <v>64800</v>
          </cell>
          <cell r="H49">
            <v>0</v>
          </cell>
          <cell r="Y49">
            <v>10345540.037243947</v>
          </cell>
        </row>
        <row r="50">
          <cell r="B50" t="str">
            <v>ANG COMMODITY</v>
          </cell>
          <cell r="C50">
            <v>6.3400000000000001E-4</v>
          </cell>
          <cell r="D50">
            <v>294932372</v>
          </cell>
          <cell r="E50">
            <v>186987</v>
          </cell>
          <cell r="H50">
            <v>81828409.978753597</v>
          </cell>
        </row>
        <row r="51">
          <cell r="B51" t="str">
            <v>NOVA COMMODITY</v>
          </cell>
          <cell r="C51">
            <v>4.2000000000000002E-4</v>
          </cell>
          <cell r="D51">
            <v>294932372</v>
          </cell>
          <cell r="E51">
            <v>123872</v>
          </cell>
          <cell r="G51">
            <v>0</v>
          </cell>
          <cell r="H51">
            <v>0</v>
          </cell>
        </row>
        <row r="52">
          <cell r="B52" t="str">
            <v>Sum of Alberta volumetric chgs</v>
          </cell>
          <cell r="C52">
            <v>1.635E-3</v>
          </cell>
          <cell r="D52">
            <v>294932372</v>
          </cell>
          <cell r="G52">
            <v>26463050.575085673</v>
          </cell>
          <cell r="H52">
            <v>0</v>
          </cell>
        </row>
        <row r="53">
          <cell r="G53">
            <v>0</v>
          </cell>
        </row>
        <row r="54">
          <cell r="B54" t="str">
            <v>Totals</v>
          </cell>
          <cell r="D54">
            <v>630397045.01999998</v>
          </cell>
          <cell r="E54">
            <v>2501570</v>
          </cell>
          <cell r="F54">
            <v>2501569</v>
          </cell>
          <cell r="G54" t="str">
            <v>from WACOG page</v>
          </cell>
        </row>
        <row r="57">
          <cell r="D57">
            <v>609616194</v>
          </cell>
          <cell r="E57">
            <v>1956868</v>
          </cell>
        </row>
        <row r="58">
          <cell r="E58">
            <v>2004844</v>
          </cell>
        </row>
        <row r="59">
          <cell r="E59">
            <v>482215</v>
          </cell>
        </row>
        <row r="63">
          <cell r="F63" t="str">
            <v xml:space="preserve">  PROBLEM , see wacog page, volumetric costs do not agree</v>
          </cell>
        </row>
        <row r="64">
          <cell r="F64">
            <v>-1</v>
          </cell>
          <cell r="G64" t="str">
            <v>Difference</v>
          </cell>
        </row>
        <row r="74">
          <cell r="B74" t="str">
            <v>NW Natural</v>
          </cell>
        </row>
        <row r="75">
          <cell r="B75" t="str">
            <v xml:space="preserve">      Components of NWP TF-1 Capacity </v>
          </cell>
          <cell r="F75" t="str">
            <v xml:space="preserve">         Temporary Capacity</v>
          </cell>
        </row>
        <row r="76">
          <cell r="B76" t="str">
            <v>Daily Capacity</v>
          </cell>
          <cell r="C76" t="str">
            <v xml:space="preserve">  Contract</v>
          </cell>
          <cell r="E76" t="str">
            <v>Daily Capacity</v>
          </cell>
          <cell r="F76" t="str">
            <v>Contract</v>
          </cell>
          <cell r="G76" t="str">
            <v>Annual Cost</v>
          </cell>
          <cell r="H76" t="str">
            <v>Effective Dates</v>
          </cell>
        </row>
        <row r="77">
          <cell r="B77">
            <v>2460440</v>
          </cell>
          <cell r="C77" t="str">
            <v xml:space="preserve">                  NWP basic daily contract</v>
          </cell>
          <cell r="E77">
            <v>50000</v>
          </cell>
          <cell r="F77" t="str">
            <v>Pan Energy</v>
          </cell>
          <cell r="G77">
            <v>505251.25</v>
          </cell>
          <cell r="H77">
            <v>35735</v>
          </cell>
        </row>
        <row r="78">
          <cell r="B78">
            <v>500000</v>
          </cell>
          <cell r="C78" t="str">
            <v xml:space="preserve">             Phase One Expansion</v>
          </cell>
          <cell r="E78">
            <v>40000</v>
          </cell>
          <cell r="F78" t="str">
            <v>GP Wauna</v>
          </cell>
          <cell r="G78">
            <v>101050.25000000001</v>
          </cell>
          <cell r="H78">
            <v>37561</v>
          </cell>
        </row>
        <row r="79">
          <cell r="B79">
            <v>0</v>
          </cell>
          <cell r="C79" t="str">
            <v xml:space="preserve">                 ODL-1 Capacity Transfer</v>
          </cell>
          <cell r="E79">
            <v>52000</v>
          </cell>
          <cell r="F79" t="str">
            <v>Weyerhaeuser</v>
          </cell>
          <cell r="G79">
            <v>525461.30000000005</v>
          </cell>
          <cell r="H79">
            <v>35582</v>
          </cell>
        </row>
        <row r="80">
          <cell r="B80">
            <v>-300000</v>
          </cell>
          <cell r="C80" t="str">
            <v xml:space="preserve">              PGE Capacity Release</v>
          </cell>
          <cell r="E80">
            <v>50000</v>
          </cell>
          <cell r="F80" t="str">
            <v>Wyr Peak I</v>
          </cell>
          <cell r="G80">
            <v>233350.50000000003</v>
          </cell>
          <cell r="H80" t="str">
            <v>Jan 1, 1996</v>
          </cell>
        </row>
        <row r="81">
          <cell r="B81">
            <v>-45500</v>
          </cell>
          <cell r="C81" t="str">
            <v xml:space="preserve">                        GP Toledo Capacity Release</v>
          </cell>
          <cell r="E81">
            <v>30000</v>
          </cell>
          <cell r="F81" t="str">
            <v>Wyr Peak II</v>
          </cell>
          <cell r="G81">
            <v>140010.29999999999</v>
          </cell>
          <cell r="H81" t="str">
            <v>Nov 1, 1996</v>
          </cell>
        </row>
        <row r="82">
          <cell r="B82">
            <v>0</v>
          </cell>
          <cell r="C82" t="str">
            <v xml:space="preserve">               ODl-1 Capacity Transfer</v>
          </cell>
        </row>
        <row r="83">
          <cell r="B83">
            <v>1020000</v>
          </cell>
          <cell r="C83" t="str">
            <v xml:space="preserve">                      Phase N Addition (jan 1996)</v>
          </cell>
        </row>
        <row r="84">
          <cell r="B84">
            <v>-460000</v>
          </cell>
          <cell r="C84" t="str">
            <v xml:space="preserve">                  PGE Phase N Assignment</v>
          </cell>
        </row>
        <row r="85">
          <cell r="B85">
            <v>3174940</v>
          </cell>
          <cell r="E85">
            <v>222000</v>
          </cell>
          <cell r="G85">
            <v>1505123.6</v>
          </cell>
          <cell r="H85">
            <v>1.8574893249413797E-2</v>
          </cell>
          <cell r="I85">
            <v>125426.96666666667</v>
          </cell>
          <cell r="J85" t="str">
            <v>Oct</v>
          </cell>
        </row>
        <row r="86">
          <cell r="B86">
            <v>6349880</v>
          </cell>
          <cell r="E86">
            <v>81030000</v>
          </cell>
          <cell r="G86">
            <v>1505123.6</v>
          </cell>
          <cell r="H86">
            <v>1.8574893249413797E-2</v>
          </cell>
          <cell r="I86">
            <v>125426.96666666667</v>
          </cell>
          <cell r="J86" t="str">
            <v>Nov</v>
          </cell>
        </row>
        <row r="87">
          <cell r="B87">
            <v>31749400</v>
          </cell>
          <cell r="I87">
            <v>125426.96666666667</v>
          </cell>
          <cell r="J87" t="str">
            <v>Dec</v>
          </cell>
        </row>
        <row r="88">
          <cell r="B88">
            <v>294007500</v>
          </cell>
          <cell r="I88">
            <v>125426.96666666667</v>
          </cell>
          <cell r="J88" t="str">
            <v>Jan</v>
          </cell>
        </row>
        <row r="89">
          <cell r="B89">
            <v>8139597.6375000002</v>
          </cell>
          <cell r="I89">
            <v>125426.96666666667</v>
          </cell>
          <cell r="J89" t="str">
            <v>Feb</v>
          </cell>
        </row>
        <row r="90">
          <cell r="B90" t="str">
            <v>Value of capacity release</v>
          </cell>
          <cell r="I90">
            <v>125426.96666666667</v>
          </cell>
          <cell r="J90" t="str">
            <v>Mar</v>
          </cell>
        </row>
        <row r="91">
          <cell r="I91">
            <v>125426.96666666667</v>
          </cell>
          <cell r="J91" t="str">
            <v>Apr</v>
          </cell>
        </row>
        <row r="92">
          <cell r="B92" t="str">
            <v>Fuel Use Percentages</v>
          </cell>
          <cell r="C92">
            <v>0.01</v>
          </cell>
          <cell r="D92">
            <v>0.01</v>
          </cell>
          <cell r="E92">
            <v>0</v>
          </cell>
          <cell r="F92">
            <v>1.34E-2</v>
          </cell>
          <cell r="G92">
            <v>0.02</v>
          </cell>
          <cell r="H92">
            <v>2.2000000000000002E-2</v>
          </cell>
          <cell r="I92">
            <v>125426.96666666667</v>
          </cell>
          <cell r="J92" t="str">
            <v>May</v>
          </cell>
        </row>
        <row r="93">
          <cell r="C93" t="str">
            <v>PGT</v>
          </cell>
          <cell r="D93" t="str">
            <v>ANG</v>
          </cell>
          <cell r="E93" t="str">
            <v>NOVA</v>
          </cell>
          <cell r="F93" t="str">
            <v>NWP</v>
          </cell>
          <cell r="G93" t="str">
            <v>Southern Crossing</v>
          </cell>
          <cell r="H93" t="str">
            <v>T-Soutn</v>
          </cell>
          <cell r="I93">
            <v>125426.96666666667</v>
          </cell>
          <cell r="J93" t="str">
            <v>Je</v>
          </cell>
        </row>
        <row r="94">
          <cell r="C94" t="str">
            <v>FUEL USE</v>
          </cell>
          <cell r="D94" t="str">
            <v>FUEL USE</v>
          </cell>
          <cell r="E94" t="str">
            <v>FUEL USE</v>
          </cell>
          <cell r="F94" t="str">
            <v>FUEL USE</v>
          </cell>
          <cell r="G94" t="str">
            <v>FUEL USE</v>
          </cell>
          <cell r="H94" t="str">
            <v>FUEL USE</v>
          </cell>
          <cell r="I94">
            <v>125426.96666666667</v>
          </cell>
          <cell r="J94" t="str">
            <v>Jly</v>
          </cell>
        </row>
        <row r="95">
          <cell r="C95">
            <v>0.99</v>
          </cell>
          <cell r="D95">
            <v>0.99</v>
          </cell>
          <cell r="E95">
            <v>1</v>
          </cell>
          <cell r="F95">
            <v>0.98660000000000003</v>
          </cell>
          <cell r="I95">
            <v>125426.96666666667</v>
          </cell>
          <cell r="J95" t="str">
            <v>Aug</v>
          </cell>
        </row>
        <row r="96">
          <cell r="B96" t="str">
            <v>Station 2 T South BC Shrinkage</v>
          </cell>
          <cell r="C96">
            <v>0.96460000000000001</v>
          </cell>
          <cell r="I96">
            <v>125426.96666666667</v>
          </cell>
          <cell r="J96" t="str">
            <v>Sep</v>
          </cell>
        </row>
        <row r="97">
          <cell r="B97" t="str">
            <v>Alberta Stanfield Shrinkage</v>
          </cell>
          <cell r="C97">
            <v>0.96660000000000001</v>
          </cell>
          <cell r="H97">
            <v>81030000</v>
          </cell>
          <cell r="I97">
            <v>1505123.6000000006</v>
          </cell>
          <cell r="J97" t="str">
            <v>Total</v>
          </cell>
        </row>
        <row r="98">
          <cell r="B98" t="str">
            <v>NWP (Rockies, BC) Shrinkage</v>
          </cell>
          <cell r="C98">
            <v>0.98660000000000003</v>
          </cell>
          <cell r="I98">
            <v>1.8574893249413804E-2</v>
          </cell>
        </row>
        <row r="99">
          <cell r="B99" t="str">
            <v>Southern Crossing Sumas</v>
          </cell>
          <cell r="C99">
            <v>0.96</v>
          </cell>
        </row>
        <row r="100">
          <cell r="B100" t="str">
            <v>NW Natural</v>
          </cell>
        </row>
        <row r="101">
          <cell r="B101" t="str">
            <v>Pgt, Ang and Nova Demand Charges in the Filing</v>
          </cell>
        </row>
        <row r="102">
          <cell r="B102" t="str">
            <v>Total</v>
          </cell>
          <cell r="C102" t="str">
            <v>Contract</v>
          </cell>
          <cell r="D102" t="str">
            <v>Oct</v>
          </cell>
          <cell r="E102" t="str">
            <v>Nov</v>
          </cell>
          <cell r="F102" t="str">
            <v>Dec</v>
          </cell>
          <cell r="G102" t="str">
            <v>Jan</v>
          </cell>
          <cell r="H102" t="str">
            <v>Feb</v>
          </cell>
          <cell r="I102" t="str">
            <v>Mar</v>
          </cell>
          <cell r="J102" t="str">
            <v>Apr</v>
          </cell>
          <cell r="K102" t="str">
            <v>May</v>
          </cell>
          <cell r="L102" t="str">
            <v>Jun</v>
          </cell>
          <cell r="M102" t="str">
            <v>Jul</v>
          </cell>
          <cell r="N102" t="str">
            <v>Aug</v>
          </cell>
          <cell r="O102" t="str">
            <v>Sep</v>
          </cell>
        </row>
        <row r="103">
          <cell r="B103">
            <v>7208734.0755555574</v>
          </cell>
          <cell r="C103" t="str">
            <v xml:space="preserve">  Delivery Dem/Ch.(NOVA)......</v>
          </cell>
          <cell r="D103">
            <v>426099.68222222221</v>
          </cell>
          <cell r="E103">
            <v>616603.12666666671</v>
          </cell>
          <cell r="F103">
            <v>616603.12666666671</v>
          </cell>
          <cell r="G103">
            <v>616603.12666666671</v>
          </cell>
          <cell r="H103">
            <v>616603.12666666671</v>
          </cell>
          <cell r="I103">
            <v>616603.12666666671</v>
          </cell>
          <cell r="J103">
            <v>616603.12666666671</v>
          </cell>
          <cell r="K103">
            <v>616603.12666666671</v>
          </cell>
          <cell r="L103">
            <v>616603.12666666671</v>
          </cell>
          <cell r="M103">
            <v>616603.12666666671</v>
          </cell>
          <cell r="N103">
            <v>616603.12666666671</v>
          </cell>
          <cell r="O103">
            <v>616603.12666666671</v>
          </cell>
          <cell r="Q103">
            <v>249244</v>
          </cell>
        </row>
        <row r="104">
          <cell r="B104">
            <v>0</v>
          </cell>
          <cell r="C104" t="str">
            <v xml:space="preserve">  Receipt Demand (NOVA)......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B105">
            <v>2491497.4444074924</v>
          </cell>
          <cell r="C105" t="str">
            <v xml:space="preserve">  ANG Demand Charge..........</v>
          </cell>
          <cell r="D105">
            <v>155611.40371396497</v>
          </cell>
          <cell r="E105">
            <v>225259.41331627767</v>
          </cell>
          <cell r="F105">
            <v>225259.41331627767</v>
          </cell>
          <cell r="G105">
            <v>225259.41331627767</v>
          </cell>
          <cell r="H105">
            <v>225259.41331627767</v>
          </cell>
          <cell r="I105">
            <v>225259.41331627767</v>
          </cell>
          <cell r="J105">
            <v>201598.1623520233</v>
          </cell>
          <cell r="K105">
            <v>201598.1623520233</v>
          </cell>
          <cell r="L105">
            <v>201598.1623520233</v>
          </cell>
          <cell r="M105">
            <v>201598.1623520233</v>
          </cell>
          <cell r="N105">
            <v>201598.1623520233</v>
          </cell>
          <cell r="O105">
            <v>201598.1623520233</v>
          </cell>
          <cell r="P105">
            <v>0</v>
          </cell>
        </row>
        <row r="106">
          <cell r="B106">
            <v>1885927.0405384202</v>
          </cell>
          <cell r="C106" t="str">
            <v xml:space="preserve">  PGT FTS-1 (T-3) F00164</v>
          </cell>
          <cell r="D106">
            <v>191136.87052307001</v>
          </cell>
          <cell r="E106">
            <v>191136.87052307001</v>
          </cell>
          <cell r="F106">
            <v>191136.87052307001</v>
          </cell>
          <cell r="G106">
            <v>191136.87052307001</v>
          </cell>
          <cell r="H106">
            <v>191136.87052307001</v>
          </cell>
          <cell r="I106">
            <v>191136.87052307001</v>
          </cell>
          <cell r="J106">
            <v>123184.3029</v>
          </cell>
          <cell r="K106">
            <v>123184.3029</v>
          </cell>
          <cell r="L106">
            <v>123184.3029</v>
          </cell>
          <cell r="M106">
            <v>123184.3029</v>
          </cell>
          <cell r="N106">
            <v>123184.3029</v>
          </cell>
          <cell r="O106">
            <v>123184.3029</v>
          </cell>
          <cell r="P106">
            <v>0</v>
          </cell>
        </row>
        <row r="107">
          <cell r="B107">
            <v>2683901.0956799989</v>
          </cell>
          <cell r="C107" t="str">
            <v xml:space="preserve">  PGT FTS-1 (Non-Core)</v>
          </cell>
          <cell r="D107">
            <v>223658.42463999998</v>
          </cell>
          <cell r="E107">
            <v>223658.42463999998</v>
          </cell>
          <cell r="F107">
            <v>223658.42463999998</v>
          </cell>
          <cell r="G107">
            <v>223658.42463999998</v>
          </cell>
          <cell r="H107">
            <v>223658.42463999998</v>
          </cell>
          <cell r="I107">
            <v>223658.42463999998</v>
          </cell>
          <cell r="J107">
            <v>223658.42463999998</v>
          </cell>
          <cell r="K107">
            <v>223658.42463999998</v>
          </cell>
          <cell r="L107">
            <v>223658.42463999998</v>
          </cell>
          <cell r="M107">
            <v>223658.42463999998</v>
          </cell>
          <cell r="N107">
            <v>223658.42463999998</v>
          </cell>
          <cell r="O107">
            <v>223658.42463999998</v>
          </cell>
        </row>
        <row r="108">
          <cell r="B108">
            <v>60699.055086454282</v>
          </cell>
          <cell r="C108" t="str">
            <v xml:space="preserve">  PGT FTS-1 (T-1) F00180</v>
          </cell>
          <cell r="D108">
            <v>5058.2545905378556</v>
          </cell>
          <cell r="E108">
            <v>5058.2545905378556</v>
          </cell>
          <cell r="F108">
            <v>5058.2545905378556</v>
          </cell>
          <cell r="G108">
            <v>5058.2545905378556</v>
          </cell>
          <cell r="H108">
            <v>5058.2545905378556</v>
          </cell>
          <cell r="I108">
            <v>5058.2545905378556</v>
          </cell>
          <cell r="J108">
            <v>5058.2545905378556</v>
          </cell>
          <cell r="K108">
            <v>5058.2545905378556</v>
          </cell>
          <cell r="L108">
            <v>5058.2545905378556</v>
          </cell>
          <cell r="M108">
            <v>5058.2545905378556</v>
          </cell>
          <cell r="N108">
            <v>5058.2545905378556</v>
          </cell>
          <cell r="O108">
            <v>5058.2545905378556</v>
          </cell>
        </row>
        <row r="109">
          <cell r="B109">
            <v>14330758.71126792</v>
          </cell>
          <cell r="C109" t="str">
            <v>Total</v>
          </cell>
          <cell r="D109">
            <v>1001564.635689795</v>
          </cell>
          <cell r="E109">
            <v>1261716.0897365522</v>
          </cell>
          <cell r="F109">
            <v>1261716.0897365522</v>
          </cell>
          <cell r="G109">
            <v>1261716.0897365522</v>
          </cell>
          <cell r="H109">
            <v>1261716.0897365522</v>
          </cell>
          <cell r="I109">
            <v>1261716.0897365522</v>
          </cell>
          <cell r="J109">
            <v>1170102.2711492279</v>
          </cell>
          <cell r="K109">
            <v>1170102.2711492279</v>
          </cell>
          <cell r="L109">
            <v>1170102.2711492279</v>
          </cell>
          <cell r="M109">
            <v>1170102.2711492279</v>
          </cell>
          <cell r="N109">
            <v>1170102.2711492279</v>
          </cell>
          <cell r="O109">
            <v>1170102.2711492279</v>
          </cell>
        </row>
        <row r="110">
          <cell r="B110">
            <v>9700231.5199630484</v>
          </cell>
          <cell r="C110" t="str">
            <v>ANG and NOVA</v>
          </cell>
          <cell r="D110">
            <v>581711.08593618718</v>
          </cell>
          <cell r="E110">
            <v>841862.53998294438</v>
          </cell>
          <cell r="F110">
            <v>841862.53998294438</v>
          </cell>
          <cell r="G110">
            <v>841862.53998294438</v>
          </cell>
          <cell r="H110">
            <v>841862.53998294438</v>
          </cell>
          <cell r="I110">
            <v>841862.53998294438</v>
          </cell>
          <cell r="J110">
            <v>818201.28901869</v>
          </cell>
          <cell r="K110">
            <v>818201.28901869</v>
          </cell>
          <cell r="L110">
            <v>818201.28901869</v>
          </cell>
          <cell r="M110">
            <v>818201.28901869</v>
          </cell>
          <cell r="N110">
            <v>818201.28901869</v>
          </cell>
          <cell r="O110">
            <v>818201.28901869</v>
          </cell>
        </row>
        <row r="111">
          <cell r="B111">
            <v>4630527.1913048737</v>
          </cell>
          <cell r="C111" t="str">
            <v>Total PGT</v>
          </cell>
          <cell r="D111">
            <v>419853.54975360783</v>
          </cell>
          <cell r="E111">
            <v>419853.54975360783</v>
          </cell>
          <cell r="F111">
            <v>419853.54975360783</v>
          </cell>
          <cell r="G111">
            <v>419853.54975360783</v>
          </cell>
          <cell r="H111">
            <v>419853.54975360783</v>
          </cell>
          <cell r="I111">
            <v>419853.54975360783</v>
          </cell>
          <cell r="J111">
            <v>351900.98213053786</v>
          </cell>
          <cell r="K111">
            <v>351900.98213053786</v>
          </cell>
          <cell r="L111">
            <v>351900.98213053786</v>
          </cell>
          <cell r="M111">
            <v>351900.98213053786</v>
          </cell>
          <cell r="N111">
            <v>351900.98213053786</v>
          </cell>
          <cell r="O111">
            <v>351900.98213053786</v>
          </cell>
        </row>
        <row r="112">
          <cell r="B112">
            <v>7208734.0755555574</v>
          </cell>
        </row>
        <row r="113">
          <cell r="D113" t="str">
            <v>Oct</v>
          </cell>
          <cell r="E113" t="str">
            <v>Nov</v>
          </cell>
          <cell r="F113" t="str">
            <v>Dec</v>
          </cell>
          <cell r="G113" t="str">
            <v>Jan</v>
          </cell>
          <cell r="H113" t="str">
            <v>Feb</v>
          </cell>
          <cell r="I113" t="str">
            <v>Mar</v>
          </cell>
          <cell r="J113" t="str">
            <v>Apr</v>
          </cell>
          <cell r="K113" t="str">
            <v>May</v>
          </cell>
          <cell r="L113" t="str">
            <v>Jun</v>
          </cell>
          <cell r="M113" t="str">
            <v>Jul</v>
          </cell>
          <cell r="N113" t="str">
            <v>Aug</v>
          </cell>
          <cell r="O113" t="str">
            <v>Sep</v>
          </cell>
        </row>
        <row r="114">
          <cell r="B114">
            <v>4830250.7822222216</v>
          </cell>
          <cell r="C114" t="str">
            <v>Duke Demand BC</v>
          </cell>
          <cell r="D114">
            <v>403570.89851851849</v>
          </cell>
          <cell r="E114">
            <v>401770.89851851849</v>
          </cell>
          <cell r="F114">
            <v>403570.89851851849</v>
          </cell>
          <cell r="G114">
            <v>403570.89851851849</v>
          </cell>
          <cell r="H114">
            <v>398170.89851851849</v>
          </cell>
          <cell r="I114">
            <v>403570.89851851849</v>
          </cell>
          <cell r="J114">
            <v>401770.89851851849</v>
          </cell>
          <cell r="K114">
            <v>403570.89851851849</v>
          </cell>
          <cell r="L114">
            <v>401770.89851851849</v>
          </cell>
          <cell r="M114">
            <v>403570.89851851849</v>
          </cell>
          <cell r="N114">
            <v>403570.89851851849</v>
          </cell>
          <cell r="O114">
            <v>401770.89851851849</v>
          </cell>
        </row>
        <row r="115">
          <cell r="B115">
            <v>203179.2729111111</v>
          </cell>
          <cell r="C115" t="str">
            <v>Duke BC MFT</v>
          </cell>
          <cell r="D115">
            <v>17256.321808888886</v>
          </cell>
          <cell r="E115">
            <v>16699.666266666663</v>
          </cell>
          <cell r="F115">
            <v>17256.321808888886</v>
          </cell>
          <cell r="G115">
            <v>17256.321808888886</v>
          </cell>
          <cell r="H115">
            <v>15586.35518222222</v>
          </cell>
          <cell r="I115">
            <v>17256.321808888886</v>
          </cell>
          <cell r="J115">
            <v>16699.666266666663</v>
          </cell>
          <cell r="K115">
            <v>17256.321808888886</v>
          </cell>
          <cell r="L115">
            <v>16699.666266666663</v>
          </cell>
          <cell r="M115">
            <v>17256.321808888886</v>
          </cell>
          <cell r="N115">
            <v>17256.321808888886</v>
          </cell>
          <cell r="O115">
            <v>16699.666266666663</v>
          </cell>
        </row>
        <row r="116">
          <cell r="B116">
            <v>5033430.0551333325</v>
          </cell>
          <cell r="C116" t="str">
            <v>Total Duke BC</v>
          </cell>
          <cell r="D116">
            <v>420827.22032740735</v>
          </cell>
          <cell r="E116">
            <v>418470.56478518515</v>
          </cell>
          <cell r="F116">
            <v>420827.22032740735</v>
          </cell>
          <cell r="G116">
            <v>420827.22032740735</v>
          </cell>
          <cell r="H116">
            <v>413757.25370074069</v>
          </cell>
          <cell r="I116">
            <v>420827.22032740735</v>
          </cell>
          <cell r="J116">
            <v>418470.56478518515</v>
          </cell>
          <cell r="K116">
            <v>420827.22032740735</v>
          </cell>
          <cell r="L116">
            <v>418470.56478518515</v>
          </cell>
          <cell r="M116">
            <v>420827.22032740735</v>
          </cell>
          <cell r="N116">
            <v>420827.22032740735</v>
          </cell>
          <cell r="O116">
            <v>418470.56478518515</v>
          </cell>
        </row>
        <row r="118">
          <cell r="B118" t="str">
            <v>NW Natural</v>
          </cell>
        </row>
        <row r="119">
          <cell r="B119" t="str">
            <v>ANG and Nova Demand Charge Allocation</v>
          </cell>
        </row>
        <row r="120">
          <cell r="B120" t="str">
            <v>Oregon Share of Firm Througput</v>
          </cell>
        </row>
        <row r="121">
          <cell r="B121">
            <v>1</v>
          </cell>
          <cell r="C121" t="str">
            <v>Total</v>
          </cell>
          <cell r="D121" t="str">
            <v>Sep</v>
          </cell>
          <cell r="E121" t="str">
            <v>Oct</v>
          </cell>
          <cell r="F121" t="str">
            <v>Nov</v>
          </cell>
          <cell r="G121" t="str">
            <v>Dec</v>
          </cell>
          <cell r="H121" t="str">
            <v>Jan</v>
          </cell>
          <cell r="I121" t="str">
            <v>Feb</v>
          </cell>
          <cell r="J121" t="str">
            <v>Mar</v>
          </cell>
          <cell r="K121" t="str">
            <v>Apr</v>
          </cell>
          <cell r="L121" t="str">
            <v>May</v>
          </cell>
          <cell r="M121" t="str">
            <v>Jun</v>
          </cell>
          <cell r="N121" t="str">
            <v>Jul</v>
          </cell>
          <cell r="O121" t="str">
            <v>Aug</v>
          </cell>
        </row>
        <row r="122">
          <cell r="B122" t="str">
            <v xml:space="preserve">Oregon Share ANG &amp; Nova Demand </v>
          </cell>
          <cell r="C122">
            <v>9700231.5199630484</v>
          </cell>
          <cell r="D122">
            <v>818201.28901869</v>
          </cell>
          <cell r="E122">
            <v>581711.08593618718</v>
          </cell>
          <cell r="F122">
            <v>841862.53998294438</v>
          </cell>
          <cell r="G122">
            <v>841862.53998294438</v>
          </cell>
          <cell r="H122">
            <v>841862.53998294438</v>
          </cell>
          <cell r="I122">
            <v>841862.53998294438</v>
          </cell>
          <cell r="J122">
            <v>841862.53998294438</v>
          </cell>
          <cell r="K122">
            <v>818201.28901869</v>
          </cell>
          <cell r="L122">
            <v>818201.28901869</v>
          </cell>
          <cell r="M122">
            <v>818201.28901869</v>
          </cell>
          <cell r="N122">
            <v>818201.28901869</v>
          </cell>
          <cell r="O122">
            <v>818201.28901869</v>
          </cell>
          <cell r="P122">
            <v>9700231.5199630484</v>
          </cell>
        </row>
        <row r="123">
          <cell r="B123" t="str">
            <v>Oregon Share  Temp. Capacity</v>
          </cell>
          <cell r="C123">
            <v>1505123.6000000006</v>
          </cell>
          <cell r="D123">
            <v>125426.96666666667</v>
          </cell>
          <cell r="E123">
            <v>125426.96666666667</v>
          </cell>
          <cell r="F123">
            <v>125426.96666666667</v>
          </cell>
          <cell r="G123">
            <v>125426.96666666667</v>
          </cell>
          <cell r="H123">
            <v>125426.96666666667</v>
          </cell>
          <cell r="I123">
            <v>125426.96666666667</v>
          </cell>
          <cell r="J123">
            <v>125426.96666666667</v>
          </cell>
          <cell r="K123">
            <v>125426.96666666667</v>
          </cell>
          <cell r="L123">
            <v>125426.96666666667</v>
          </cell>
          <cell r="M123">
            <v>125426.96666666667</v>
          </cell>
          <cell r="N123">
            <v>125426.96666666667</v>
          </cell>
          <cell r="O123">
            <v>125426.96666666667</v>
          </cell>
          <cell r="P123">
            <v>1505123.6</v>
          </cell>
        </row>
        <row r="124">
          <cell r="B124" t="str">
            <v>Oregon Share Comm. Based Dem.</v>
          </cell>
          <cell r="C124">
            <v>11205355.11996305</v>
          </cell>
          <cell r="D124">
            <v>943628.25568535668</v>
          </cell>
          <cell r="E124">
            <v>707138.05260285386</v>
          </cell>
          <cell r="F124">
            <v>967289.50664961105</v>
          </cell>
          <cell r="G124">
            <v>967289.50664961105</v>
          </cell>
          <cell r="H124">
            <v>967289.50664961105</v>
          </cell>
          <cell r="I124">
            <v>967289.50664961105</v>
          </cell>
          <cell r="J124">
            <v>967289.50664961105</v>
          </cell>
          <cell r="K124">
            <v>943628.25568535668</v>
          </cell>
          <cell r="L124">
            <v>943628.25568535668</v>
          </cell>
          <cell r="M124">
            <v>943628.25568535668</v>
          </cell>
          <cell r="N124">
            <v>943628.25568535668</v>
          </cell>
          <cell r="O124">
            <v>943628.25568535668</v>
          </cell>
          <cell r="P124">
            <v>11205355.119963048</v>
          </cell>
        </row>
        <row r="127">
          <cell r="B127" t="str">
            <v>BC Crossing Demand Charges</v>
          </cell>
          <cell r="C127">
            <v>5099710.9304</v>
          </cell>
          <cell r="D127">
            <v>0</v>
          </cell>
          <cell r="E127">
            <v>458057.86800000002</v>
          </cell>
          <cell r="F127">
            <v>473326.46359999996</v>
          </cell>
          <cell r="G127">
            <v>473326.46359999996</v>
          </cell>
          <cell r="H127">
            <v>427520.67680000002</v>
          </cell>
          <cell r="I127">
            <v>473326.46359999996</v>
          </cell>
          <cell r="J127">
            <v>458057.86800000002</v>
          </cell>
          <cell r="K127">
            <v>473326.46359999996</v>
          </cell>
          <cell r="L127">
            <v>458057.86800000002</v>
          </cell>
          <cell r="M127">
            <v>473326.46359999996</v>
          </cell>
          <cell r="N127">
            <v>473326.46359999996</v>
          </cell>
          <cell r="O127">
            <v>458057.86800000002</v>
          </cell>
        </row>
        <row r="129">
          <cell r="B129" t="str">
            <v>SUMMARY OF TRANSCANADA 2004 "NOVA, &amp; ANG," ALBERTA 50,480 CHARGES FOR EXPANSION</v>
          </cell>
        </row>
        <row r="130">
          <cell r="B130" t="str">
            <v xml:space="preserve">  Delivery Dem/Ch.(NOVA)......</v>
          </cell>
          <cell r="C130">
            <v>2095537.8888888892</v>
          </cell>
          <cell r="D130">
            <v>0</v>
          </cell>
          <cell r="E130">
            <v>190503.44444444444</v>
          </cell>
          <cell r="F130">
            <v>190503.44444444444</v>
          </cell>
          <cell r="G130">
            <v>190503.44444444444</v>
          </cell>
          <cell r="H130">
            <v>190503.44444444444</v>
          </cell>
          <cell r="I130">
            <v>190503.44444444444</v>
          </cell>
          <cell r="J130">
            <v>190503.44444444444</v>
          </cell>
          <cell r="K130">
            <v>190503.44444444444</v>
          </cell>
          <cell r="L130">
            <v>190503.44444444444</v>
          </cell>
          <cell r="M130">
            <v>190503.44444444444</v>
          </cell>
          <cell r="N130">
            <v>190503.44444444444</v>
          </cell>
          <cell r="O130">
            <v>190503.44444444444</v>
          </cell>
        </row>
        <row r="131">
          <cell r="B131" t="str">
            <v xml:space="preserve">  ANG Demand Charge..........</v>
          </cell>
          <cell r="C131">
            <v>766128.10562543967</v>
          </cell>
          <cell r="D131">
            <v>0</v>
          </cell>
          <cell r="E131">
            <v>69648.009602312697</v>
          </cell>
          <cell r="F131">
            <v>69648.009602312697</v>
          </cell>
          <cell r="G131">
            <v>69648.009602312697</v>
          </cell>
          <cell r="H131">
            <v>69648.009602312697</v>
          </cell>
          <cell r="I131">
            <v>69648.009602312697</v>
          </cell>
          <cell r="J131">
            <v>69648.009602312697</v>
          </cell>
          <cell r="K131">
            <v>69648.009602312697</v>
          </cell>
          <cell r="L131">
            <v>69648.009602312697</v>
          </cell>
          <cell r="M131">
            <v>69648.009602312697</v>
          </cell>
          <cell r="N131">
            <v>69648.009602312697</v>
          </cell>
          <cell r="O131">
            <v>69648.009602312697</v>
          </cell>
        </row>
        <row r="132">
          <cell r="B132" t="str">
            <v>TOTAL Demand Charges.........</v>
          </cell>
          <cell r="C132">
            <v>2861665.9945143284</v>
          </cell>
          <cell r="D132">
            <v>0</v>
          </cell>
          <cell r="E132">
            <v>260151.45404675714</v>
          </cell>
          <cell r="F132">
            <v>260151.45404675714</v>
          </cell>
          <cell r="G132">
            <v>260151.45404675714</v>
          </cell>
          <cell r="H132">
            <v>260151.45404675714</v>
          </cell>
          <cell r="I132">
            <v>260151.45404675714</v>
          </cell>
          <cell r="J132">
            <v>260151.45404675714</v>
          </cell>
          <cell r="K132">
            <v>260151.45404675714</v>
          </cell>
          <cell r="L132">
            <v>260151.45404675714</v>
          </cell>
          <cell r="M132">
            <v>260151.45404675714</v>
          </cell>
          <cell r="N132">
            <v>260151.45404675714</v>
          </cell>
          <cell r="O132">
            <v>260151.45404675714</v>
          </cell>
        </row>
        <row r="133">
          <cell r="B133" t="str">
            <v>These are included in the grand total above, but are shown here so they can be netted out of the BC demand total as they replace some BC capacity</v>
          </cell>
        </row>
        <row r="138">
          <cell r="B138" t="str">
            <v>Flowing Gas For Volumetric Charges</v>
          </cell>
        </row>
        <row r="139">
          <cell r="C139" t="str">
            <v>Alberta Gas</v>
          </cell>
          <cell r="D139" t="str">
            <v>BC Gas</v>
          </cell>
          <cell r="E139" t="str">
            <v>Rockies Gas</v>
          </cell>
          <cell r="F139" t="str">
            <v>Spot Firm Gas</v>
          </cell>
          <cell r="G139" t="str">
            <v>Spot Int. Gas</v>
          </cell>
          <cell r="H139" t="str">
            <v>Total</v>
          </cell>
        </row>
        <row r="141">
          <cell r="B141" t="str">
            <v>October</v>
          </cell>
          <cell r="C141">
            <v>5992920</v>
          </cell>
          <cell r="D141">
            <v>14951300</v>
          </cell>
          <cell r="E141">
            <v>0</v>
          </cell>
          <cell r="F141">
            <v>18732857.95433785</v>
          </cell>
          <cell r="G141">
            <v>0</v>
          </cell>
          <cell r="H141">
            <v>39677077.95433785</v>
          </cell>
        </row>
        <row r="142">
          <cell r="B142" t="str">
            <v>November</v>
          </cell>
          <cell r="C142">
            <v>35957366.047864705</v>
          </cell>
          <cell r="D142">
            <v>14469000</v>
          </cell>
          <cell r="E142">
            <v>22266249.292054251</v>
          </cell>
          <cell r="F142">
            <v>0</v>
          </cell>
          <cell r="G142">
            <v>0</v>
          </cell>
          <cell r="H142">
            <v>72692615.339918956</v>
          </cell>
        </row>
        <row r="143">
          <cell r="B143" t="str">
            <v>December</v>
          </cell>
          <cell r="C143">
            <v>41858370</v>
          </cell>
          <cell r="D143">
            <v>14951300</v>
          </cell>
          <cell r="E143">
            <v>24130782.716231398</v>
          </cell>
          <cell r="F143">
            <v>0</v>
          </cell>
          <cell r="G143">
            <v>0</v>
          </cell>
          <cell r="H143">
            <v>80940452.716231406</v>
          </cell>
        </row>
        <row r="144">
          <cell r="B144" t="str">
            <v>January</v>
          </cell>
          <cell r="C144">
            <v>41858370</v>
          </cell>
          <cell r="D144">
            <v>14951300</v>
          </cell>
          <cell r="E144">
            <v>28508872.191816133</v>
          </cell>
          <cell r="F144">
            <v>3509458.4204849554</v>
          </cell>
          <cell r="G144">
            <v>0</v>
          </cell>
          <cell r="H144">
            <v>88828000.612301096</v>
          </cell>
        </row>
        <row r="145">
          <cell r="B145" t="str">
            <v>February</v>
          </cell>
          <cell r="C145">
            <v>37779137.958756976</v>
          </cell>
          <cell r="D145">
            <v>13504400</v>
          </cell>
          <cell r="E145">
            <v>24992262.073539965</v>
          </cell>
          <cell r="F145">
            <v>1733456.5340205366</v>
          </cell>
          <cell r="G145">
            <v>0</v>
          </cell>
          <cell r="H145">
            <v>78009256.566317484</v>
          </cell>
        </row>
        <row r="146">
          <cell r="B146" t="str">
            <v>March</v>
          </cell>
          <cell r="C146">
            <v>30656233.137763754</v>
          </cell>
          <cell r="D146">
            <v>14951300</v>
          </cell>
          <cell r="E146">
            <v>14933430.570476977</v>
          </cell>
          <cell r="F146">
            <v>873604.17250941973</v>
          </cell>
          <cell r="G146">
            <v>0</v>
          </cell>
          <cell r="H146">
            <v>61414567.880750149</v>
          </cell>
        </row>
        <row r="147">
          <cell r="B147" t="str">
            <v>April</v>
          </cell>
          <cell r="C147">
            <v>21335654.004566263</v>
          </cell>
          <cell r="D147">
            <v>14246387.634188814</v>
          </cell>
          <cell r="E147">
            <v>2091125.7588851801</v>
          </cell>
          <cell r="F147">
            <v>9650725.9520943202</v>
          </cell>
          <cell r="G147">
            <v>0</v>
          </cell>
          <cell r="H147">
            <v>47323893.349734575</v>
          </cell>
        </row>
        <row r="148">
          <cell r="B148" t="str">
            <v>May</v>
          </cell>
          <cell r="C148">
            <v>21547525.152511921</v>
          </cell>
          <cell r="D148">
            <v>14420804.089832447</v>
          </cell>
          <cell r="E148">
            <v>1372811.9669040646</v>
          </cell>
          <cell r="F148">
            <v>1402849.6589857754</v>
          </cell>
          <cell r="G148">
            <v>0</v>
          </cell>
          <cell r="H148">
            <v>38743990.86823421</v>
          </cell>
        </row>
        <row r="149">
          <cell r="B149" t="str">
            <v>June</v>
          </cell>
          <cell r="C149">
            <v>18801406.183648348</v>
          </cell>
          <cell r="D149">
            <v>12717696.34899636</v>
          </cell>
          <cell r="E149">
            <v>840892.2654839562</v>
          </cell>
          <cell r="F149">
            <v>244730.55453502806</v>
          </cell>
          <cell r="G149">
            <v>0</v>
          </cell>
          <cell r="H149">
            <v>32604725.352663692</v>
          </cell>
        </row>
        <row r="150">
          <cell r="B150" t="str">
            <v>July</v>
          </cell>
          <cell r="C150">
            <v>12381611.635696232</v>
          </cell>
          <cell r="D150">
            <v>8733267.3785696775</v>
          </cell>
          <cell r="E150">
            <v>721548.78967050218</v>
          </cell>
          <cell r="F150">
            <v>0</v>
          </cell>
          <cell r="G150">
            <v>0</v>
          </cell>
          <cell r="H150">
            <v>21836427.803936411</v>
          </cell>
        </row>
        <row r="151">
          <cell r="B151" t="str">
            <v>August</v>
          </cell>
          <cell r="C151">
            <v>12364903.056631232</v>
          </cell>
          <cell r="D151">
            <v>8721507.2394871283</v>
          </cell>
          <cell r="E151">
            <v>720612.77109024674</v>
          </cell>
          <cell r="F151">
            <v>0</v>
          </cell>
          <cell r="G151">
            <v>0</v>
          </cell>
          <cell r="H151">
            <v>21807023.067208607</v>
          </cell>
        </row>
        <row r="152">
          <cell r="B152" t="str">
            <v>September</v>
          </cell>
          <cell r="C152">
            <v>14398874.344649732</v>
          </cell>
          <cell r="D152">
            <v>9912459.0088857971</v>
          </cell>
          <cell r="E152">
            <v>549925.59360349528</v>
          </cell>
          <cell r="F152">
            <v>876903.7480371464</v>
          </cell>
          <cell r="G152">
            <v>0</v>
          </cell>
          <cell r="H152">
            <v>25738162.695176169</v>
          </cell>
        </row>
        <row r="153">
          <cell r="C153">
            <v>294932371.52208918</v>
          </cell>
          <cell r="D153">
            <v>156530721.69996023</v>
          </cell>
          <cell r="E153">
            <v>121128513.98975614</v>
          </cell>
          <cell r="F153">
            <v>37024586.995005041</v>
          </cell>
          <cell r="G153">
            <v>0</v>
          </cell>
          <cell r="H153">
            <v>609616194.20681059</v>
          </cell>
        </row>
        <row r="154">
          <cell r="C154">
            <v>609616194.20681059</v>
          </cell>
          <cell r="H154">
            <v>609616194.20681071</v>
          </cell>
        </row>
        <row r="155">
          <cell r="B155" t="str">
            <v>Mist Production</v>
          </cell>
          <cell r="C155">
            <v>4261967.8272013497</v>
          </cell>
        </row>
        <row r="156">
          <cell r="C156">
            <v>613878162.03401196</v>
          </cell>
        </row>
        <row r="157">
          <cell r="C157">
            <v>613878162.03401208</v>
          </cell>
        </row>
        <row r="158">
          <cell r="C158">
            <v>0</v>
          </cell>
        </row>
        <row r="159">
          <cell r="B159" t="str">
            <v>Storage Gas For TF1 Charges</v>
          </cell>
        </row>
        <row r="161">
          <cell r="B161" t="str">
            <v>Alberta Storage</v>
          </cell>
          <cell r="E161" t="str">
            <v>Alberta Storage By Month</v>
          </cell>
        </row>
        <row r="162">
          <cell r="B162" t="str">
            <v>Engage1</v>
          </cell>
          <cell r="C162">
            <v>0</v>
          </cell>
          <cell r="E162">
            <v>0</v>
          </cell>
          <cell r="F162" t="str">
            <v>Oct</v>
          </cell>
        </row>
        <row r="163">
          <cell r="B163" t="str">
            <v>Engage2</v>
          </cell>
          <cell r="C163">
            <v>0</v>
          </cell>
          <cell r="E163">
            <v>0</v>
          </cell>
          <cell r="F163" t="str">
            <v>Nov</v>
          </cell>
        </row>
        <row r="164">
          <cell r="B164" t="str">
            <v>Engage3</v>
          </cell>
          <cell r="C164">
            <v>0</v>
          </cell>
          <cell r="E164">
            <v>0</v>
          </cell>
          <cell r="F164" t="str">
            <v>Dec</v>
          </cell>
        </row>
        <row r="165">
          <cell r="B165" t="str">
            <v>Total Storage for TF1</v>
          </cell>
          <cell r="C165">
            <v>0</v>
          </cell>
          <cell r="E165">
            <v>0</v>
          </cell>
          <cell r="F165" t="str">
            <v>Jan</v>
          </cell>
        </row>
        <row r="166">
          <cell r="E166">
            <v>0</v>
          </cell>
          <cell r="F166" t="str">
            <v>Feb</v>
          </cell>
        </row>
        <row r="167">
          <cell r="E167">
            <v>0</v>
          </cell>
          <cell r="F167" t="str">
            <v>Mar</v>
          </cell>
        </row>
        <row r="168">
          <cell r="B168" t="str">
            <v>TF1 Volumetric Gas</v>
          </cell>
          <cell r="C168">
            <v>572591607.21180558</v>
          </cell>
          <cell r="E168">
            <v>0</v>
          </cell>
          <cell r="F168" t="str">
            <v>Apr</v>
          </cell>
        </row>
        <row r="169">
          <cell r="B169" t="str">
            <v>Spot Firm TF!1Gas</v>
          </cell>
          <cell r="C169">
            <v>37024586.995005041</v>
          </cell>
          <cell r="E169">
            <v>0</v>
          </cell>
          <cell r="F169" t="str">
            <v>May</v>
          </cell>
        </row>
        <row r="170">
          <cell r="E170">
            <v>0</v>
          </cell>
          <cell r="F170" t="str">
            <v>Jun</v>
          </cell>
        </row>
        <row r="171">
          <cell r="E171">
            <v>0</v>
          </cell>
          <cell r="F171" t="str">
            <v>Jul</v>
          </cell>
        </row>
        <row r="172">
          <cell r="E172">
            <v>0</v>
          </cell>
          <cell r="F172" t="str">
            <v>Aug</v>
          </cell>
        </row>
        <row r="173">
          <cell r="E173">
            <v>0</v>
          </cell>
          <cell r="F173" t="str">
            <v>Sep</v>
          </cell>
        </row>
        <row r="174">
          <cell r="E174">
            <v>0</v>
          </cell>
        </row>
        <row r="175">
          <cell r="E175">
            <v>0</v>
          </cell>
        </row>
        <row r="179">
          <cell r="B179" t="str">
            <v>Storage Gas for TF2Volumetric</v>
          </cell>
        </row>
        <row r="181">
          <cell r="B181" t="str">
            <v>SGS1</v>
          </cell>
          <cell r="C181">
            <v>0</v>
          </cell>
        </row>
        <row r="182">
          <cell r="B182" t="str">
            <v>SGS2</v>
          </cell>
          <cell r="C182">
            <v>11202867</v>
          </cell>
        </row>
        <row r="183">
          <cell r="B183" t="str">
            <v>LS-1</v>
          </cell>
          <cell r="C183">
            <v>4788992</v>
          </cell>
        </row>
        <row r="184">
          <cell r="B184" t="str">
            <v>Total Storage for TF2</v>
          </cell>
          <cell r="C184">
            <v>15991859</v>
          </cell>
        </row>
        <row r="186">
          <cell r="B186" t="str">
            <v>SGS,LS1&amp;SpotI TF2 Vols By Month</v>
          </cell>
        </row>
        <row r="187">
          <cell r="B187">
            <v>0</v>
          </cell>
          <cell r="C187" t="str">
            <v>Oct</v>
          </cell>
        </row>
        <row r="188">
          <cell r="B188">
            <v>0</v>
          </cell>
          <cell r="C188" t="str">
            <v>Nov</v>
          </cell>
        </row>
        <row r="189">
          <cell r="B189">
            <v>2334536</v>
          </cell>
          <cell r="C189" t="str">
            <v>Dec</v>
          </cell>
        </row>
        <row r="190">
          <cell r="B190">
            <v>5253585</v>
          </cell>
          <cell r="C190" t="str">
            <v>Jan</v>
          </cell>
        </row>
        <row r="191">
          <cell r="B191">
            <v>3927123</v>
          </cell>
          <cell r="C191" t="str">
            <v>Feb</v>
          </cell>
        </row>
        <row r="192">
          <cell r="B192">
            <v>2680470</v>
          </cell>
          <cell r="C192" t="str">
            <v>Mar</v>
          </cell>
        </row>
        <row r="193">
          <cell r="B193">
            <v>1796145</v>
          </cell>
          <cell r="C193" t="str">
            <v>Apr</v>
          </cell>
        </row>
        <row r="194">
          <cell r="B194">
            <v>0</v>
          </cell>
          <cell r="C194" t="str">
            <v>May</v>
          </cell>
        </row>
        <row r="195">
          <cell r="B195">
            <v>0</v>
          </cell>
          <cell r="C195" t="str">
            <v>Jun</v>
          </cell>
        </row>
        <row r="196">
          <cell r="B196">
            <v>0</v>
          </cell>
          <cell r="C196" t="str">
            <v>Jul</v>
          </cell>
        </row>
        <row r="197">
          <cell r="B197">
            <v>0</v>
          </cell>
          <cell r="C197" t="str">
            <v>Aug</v>
          </cell>
        </row>
        <row r="198">
          <cell r="B198">
            <v>0</v>
          </cell>
          <cell r="C198" t="str">
            <v>Sep</v>
          </cell>
        </row>
        <row r="199">
          <cell r="B199">
            <v>15991859</v>
          </cell>
        </row>
        <row r="202">
          <cell r="B202" t="str">
            <v>Storage Gas for Vaporiztion Charges</v>
          </cell>
        </row>
        <row r="204">
          <cell r="B204" t="str">
            <v>LS-1</v>
          </cell>
          <cell r="C204">
            <v>4788992</v>
          </cell>
        </row>
        <row r="206">
          <cell r="B206" t="str">
            <v>LS-1 Vols By Month</v>
          </cell>
        </row>
        <row r="207">
          <cell r="B207">
            <v>0</v>
          </cell>
          <cell r="C207" t="str">
            <v>Oct</v>
          </cell>
        </row>
        <row r="208">
          <cell r="B208">
            <v>0</v>
          </cell>
          <cell r="C208" t="str">
            <v>Nov</v>
          </cell>
        </row>
        <row r="209">
          <cell r="B209">
            <v>0</v>
          </cell>
          <cell r="C209" t="str">
            <v>Dec</v>
          </cell>
        </row>
        <row r="210">
          <cell r="B210">
            <v>1248345</v>
          </cell>
          <cell r="C210" t="str">
            <v>Jan</v>
          </cell>
        </row>
        <row r="211">
          <cell r="B211">
            <v>1129916</v>
          </cell>
          <cell r="C211" t="str">
            <v>Feb</v>
          </cell>
        </row>
        <row r="212">
          <cell r="B212">
            <v>1059002</v>
          </cell>
          <cell r="C212" t="str">
            <v>Mar</v>
          </cell>
        </row>
        <row r="213">
          <cell r="B213">
            <v>1351729</v>
          </cell>
          <cell r="C213" t="str">
            <v>Apr</v>
          </cell>
        </row>
        <row r="214">
          <cell r="B214">
            <v>0</v>
          </cell>
          <cell r="C214" t="str">
            <v>May</v>
          </cell>
        </row>
        <row r="215">
          <cell r="B215">
            <v>0</v>
          </cell>
          <cell r="C215" t="str">
            <v>Jun</v>
          </cell>
        </row>
        <row r="216">
          <cell r="B216">
            <v>0</v>
          </cell>
          <cell r="C216" t="str">
            <v>Jul</v>
          </cell>
        </row>
        <row r="217">
          <cell r="B217">
            <v>0</v>
          </cell>
          <cell r="C217" t="str">
            <v>Aug</v>
          </cell>
        </row>
        <row r="218">
          <cell r="B218">
            <v>0</v>
          </cell>
          <cell r="C218" t="str">
            <v>Sep</v>
          </cell>
        </row>
        <row r="219">
          <cell r="B219">
            <v>4788992</v>
          </cell>
        </row>
        <row r="220">
          <cell r="B220">
            <v>14510.645760000001</v>
          </cell>
        </row>
        <row r="222">
          <cell r="B222" t="str">
            <v>PGT, ANG and NOVA Commodity Volumes</v>
          </cell>
        </row>
        <row r="224">
          <cell r="B224" t="str">
            <v>Total Alberta Flowing Deliveries</v>
          </cell>
          <cell r="C224">
            <v>294932371.52208918</v>
          </cell>
        </row>
      </sheetData>
      <sheetData sheetId="5" refreshError="1">
        <row r="9">
          <cell r="D9" t="str">
            <v>storage</v>
          </cell>
        </row>
        <row r="10">
          <cell r="M10">
            <v>2000</v>
          </cell>
          <cell r="O10">
            <v>5000</v>
          </cell>
        </row>
        <row r="11">
          <cell r="H11">
            <v>2338879</v>
          </cell>
          <cell r="I11">
            <v>0</v>
          </cell>
          <cell r="J11">
            <v>0</v>
          </cell>
          <cell r="AB11">
            <v>0</v>
          </cell>
          <cell r="AD11">
            <v>0</v>
          </cell>
        </row>
        <row r="12">
          <cell r="C12" t="str">
            <v>Mo</v>
          </cell>
          <cell r="D12" t="str">
            <v>Dy</v>
          </cell>
          <cell r="E12" t="str">
            <v>Storage</v>
          </cell>
          <cell r="F12" t="str">
            <v>DD</v>
          </cell>
          <cell r="H12" t="str">
            <v>BRUER-TOTAL</v>
          </cell>
          <cell r="I12" t="str">
            <v/>
          </cell>
          <cell r="K12" t="str">
            <v>SGS-TOTAL</v>
          </cell>
          <cell r="L12" t="str">
            <v/>
          </cell>
          <cell r="M12" t="str">
            <v>GASCO-TOTAL</v>
          </cell>
          <cell r="N12" t="str">
            <v/>
          </cell>
          <cell r="O12" t="str">
            <v>NEWP-TOTAL</v>
          </cell>
          <cell r="W12" t="str">
            <v>BRUER</v>
          </cell>
          <cell r="X12" t="str">
            <v>FLORA</v>
          </cell>
          <cell r="Y12" t="str">
            <v>Al's Pool</v>
          </cell>
          <cell r="Z12" t="str">
            <v>SGS-1</v>
          </cell>
          <cell r="AA12" t="str">
            <v>SGS-2</v>
          </cell>
          <cell r="AB12" t="str">
            <v>GASCO</v>
          </cell>
          <cell r="AC12" t="str">
            <v>LS-1</v>
          </cell>
          <cell r="AD12" t="str">
            <v>NEWPORT</v>
          </cell>
          <cell r="AE12" t="str">
            <v>Engage 1</v>
          </cell>
          <cell r="AF12" t="str">
            <v>Engage 2</v>
          </cell>
          <cell r="AG12" t="str">
            <v>Engage3</v>
          </cell>
        </row>
        <row r="13">
          <cell r="C13" t="str">
            <v/>
          </cell>
          <cell r="D13" t="str">
            <v/>
          </cell>
          <cell r="E13" t="str">
            <v>Candidate</v>
          </cell>
          <cell r="F13" t="str">
            <v/>
          </cell>
          <cell r="H13" t="str">
            <v/>
          </cell>
          <cell r="I13" t="str">
            <v>FLORA-TOTAL</v>
          </cell>
          <cell r="J13" t="str">
            <v>Al's Pool</v>
          </cell>
          <cell r="K13" t="str">
            <v/>
          </cell>
          <cell r="L13" t="str">
            <v>SGS_2-TOTAL</v>
          </cell>
          <cell r="M13" t="str">
            <v/>
          </cell>
          <cell r="N13" t="str">
            <v>LS_1-TOTAL</v>
          </cell>
          <cell r="O13" t="str">
            <v/>
          </cell>
          <cell r="U13" t="str">
            <v>Calculated</v>
          </cell>
          <cell r="V13" t="str">
            <v>Refill</v>
          </cell>
          <cell r="AN13" t="str">
            <v>Boiloff</v>
          </cell>
        </row>
        <row r="14">
          <cell r="E14" t="str">
            <v>Volumes</v>
          </cell>
          <cell r="H14" t="str">
            <v>BRUER-TOTAL</v>
          </cell>
          <cell r="I14" t="str">
            <v>FLORA-TOTAL</v>
          </cell>
          <cell r="J14" t="str">
            <v>Al's Pool</v>
          </cell>
          <cell r="K14" t="str">
            <v>SGS</v>
          </cell>
          <cell r="L14" t="str">
            <v>SGS2</v>
          </cell>
          <cell r="M14" t="str">
            <v>Gasco</v>
          </cell>
          <cell r="N14" t="str">
            <v>LS1</v>
          </cell>
          <cell r="O14" t="str">
            <v>Newport</v>
          </cell>
          <cell r="P14" t="str">
            <v>Engage1</v>
          </cell>
          <cell r="Q14" t="str">
            <v>Engage2</v>
          </cell>
          <cell r="R14" t="str">
            <v>Engage 3</v>
          </cell>
          <cell r="S14" t="str">
            <v>Calvin Creek</v>
          </cell>
          <cell r="U14" t="str">
            <v>Refill gas</v>
          </cell>
          <cell r="V14" t="str">
            <v>Difference</v>
          </cell>
        </row>
        <row r="15">
          <cell r="C15">
            <v>38261</v>
          </cell>
          <cell r="D15">
            <v>1</v>
          </cell>
          <cell r="E15">
            <v>990886</v>
          </cell>
          <cell r="F15">
            <v>6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2000</v>
          </cell>
          <cell r="N15">
            <v>0</v>
          </cell>
          <cell r="O15">
            <v>5000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2000</v>
          </cell>
          <cell r="AC15">
            <v>0</v>
          </cell>
          <cell r="AD15">
            <v>5000</v>
          </cell>
          <cell r="AE15">
            <v>0</v>
          </cell>
          <cell r="AF15">
            <v>0</v>
          </cell>
          <cell r="AG15">
            <v>0</v>
          </cell>
          <cell r="AI15">
            <v>11</v>
          </cell>
          <cell r="AJ15">
            <v>1</v>
          </cell>
          <cell r="AL15">
            <v>7000</v>
          </cell>
          <cell r="AM15">
            <v>983886</v>
          </cell>
          <cell r="AN15">
            <v>7000</v>
          </cell>
        </row>
        <row r="16">
          <cell r="C16">
            <v>38262</v>
          </cell>
          <cell r="D16">
            <v>2</v>
          </cell>
          <cell r="E16">
            <v>1056840</v>
          </cell>
          <cell r="F16">
            <v>10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2000</v>
          </cell>
          <cell r="N16">
            <v>0</v>
          </cell>
          <cell r="O16">
            <v>5000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2000</v>
          </cell>
          <cell r="AC16">
            <v>0</v>
          </cell>
          <cell r="AD16">
            <v>5000</v>
          </cell>
          <cell r="AE16">
            <v>0</v>
          </cell>
          <cell r="AF16">
            <v>0</v>
          </cell>
          <cell r="AG16">
            <v>0</v>
          </cell>
          <cell r="AI16">
            <v>11</v>
          </cell>
          <cell r="AJ16">
            <v>2</v>
          </cell>
          <cell r="AL16">
            <v>7000</v>
          </cell>
          <cell r="AM16">
            <v>1049840</v>
          </cell>
          <cell r="AN16">
            <v>7000</v>
          </cell>
        </row>
        <row r="17">
          <cell r="C17">
            <v>38263</v>
          </cell>
          <cell r="D17">
            <v>3</v>
          </cell>
          <cell r="E17">
            <v>965972</v>
          </cell>
          <cell r="F17">
            <v>12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2000</v>
          </cell>
          <cell r="N17">
            <v>0</v>
          </cell>
          <cell r="O17">
            <v>5000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2000</v>
          </cell>
          <cell r="AC17">
            <v>0</v>
          </cell>
          <cell r="AD17">
            <v>5000</v>
          </cell>
          <cell r="AE17">
            <v>0</v>
          </cell>
          <cell r="AF17">
            <v>0</v>
          </cell>
          <cell r="AG17">
            <v>0</v>
          </cell>
          <cell r="AI17">
            <v>11</v>
          </cell>
          <cell r="AJ17">
            <v>3</v>
          </cell>
          <cell r="AL17">
            <v>7000</v>
          </cell>
          <cell r="AM17">
            <v>958972</v>
          </cell>
          <cell r="AN17">
            <v>7000</v>
          </cell>
        </row>
        <row r="18">
          <cell r="C18">
            <v>38264</v>
          </cell>
          <cell r="D18">
            <v>4</v>
          </cell>
          <cell r="E18">
            <v>943200</v>
          </cell>
          <cell r="F18">
            <v>14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2000</v>
          </cell>
          <cell r="N18">
            <v>0</v>
          </cell>
          <cell r="O18">
            <v>5000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2000</v>
          </cell>
          <cell r="AC18">
            <v>0</v>
          </cell>
          <cell r="AD18">
            <v>5000</v>
          </cell>
          <cell r="AE18">
            <v>0</v>
          </cell>
          <cell r="AF18">
            <v>0</v>
          </cell>
          <cell r="AG18">
            <v>0</v>
          </cell>
          <cell r="AI18">
            <v>11</v>
          </cell>
          <cell r="AJ18">
            <v>4</v>
          </cell>
          <cell r="AL18">
            <v>7000</v>
          </cell>
          <cell r="AM18">
            <v>936200</v>
          </cell>
          <cell r="AN18">
            <v>7000</v>
          </cell>
        </row>
        <row r="19">
          <cell r="C19">
            <v>38265</v>
          </cell>
          <cell r="D19">
            <v>5</v>
          </cell>
          <cell r="E19">
            <v>899736</v>
          </cell>
          <cell r="F19">
            <v>15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2000</v>
          </cell>
          <cell r="N19">
            <v>0</v>
          </cell>
          <cell r="O19">
            <v>5000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2000</v>
          </cell>
          <cell r="AC19">
            <v>0</v>
          </cell>
          <cell r="AD19">
            <v>5000</v>
          </cell>
          <cell r="AE19">
            <v>0</v>
          </cell>
          <cell r="AF19">
            <v>0</v>
          </cell>
          <cell r="AG19">
            <v>0</v>
          </cell>
          <cell r="AI19">
            <v>11</v>
          </cell>
          <cell r="AJ19">
            <v>5</v>
          </cell>
          <cell r="AL19">
            <v>7000</v>
          </cell>
          <cell r="AM19">
            <v>892736</v>
          </cell>
          <cell r="AN19">
            <v>7000</v>
          </cell>
        </row>
        <row r="20">
          <cell r="C20">
            <v>38266</v>
          </cell>
          <cell r="D20">
            <v>6</v>
          </cell>
          <cell r="E20">
            <v>1064142</v>
          </cell>
          <cell r="F20">
            <v>16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2000</v>
          </cell>
          <cell r="N20">
            <v>0</v>
          </cell>
          <cell r="O20">
            <v>5000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2000</v>
          </cell>
          <cell r="AC20">
            <v>0</v>
          </cell>
          <cell r="AD20">
            <v>5000</v>
          </cell>
          <cell r="AE20">
            <v>0</v>
          </cell>
          <cell r="AF20">
            <v>0</v>
          </cell>
          <cell r="AG20">
            <v>0</v>
          </cell>
          <cell r="AI20">
            <v>11</v>
          </cell>
          <cell r="AJ20">
            <v>6</v>
          </cell>
          <cell r="AL20">
            <v>7000</v>
          </cell>
          <cell r="AM20">
            <v>1057142</v>
          </cell>
          <cell r="AN20">
            <v>7000</v>
          </cell>
        </row>
        <row r="21">
          <cell r="C21">
            <v>38267</v>
          </cell>
          <cell r="D21">
            <v>7</v>
          </cell>
          <cell r="E21">
            <v>1087403</v>
          </cell>
          <cell r="F21">
            <v>17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2000</v>
          </cell>
          <cell r="N21">
            <v>0</v>
          </cell>
          <cell r="O21">
            <v>5000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2000</v>
          </cell>
          <cell r="AC21">
            <v>0</v>
          </cell>
          <cell r="AD21">
            <v>5000</v>
          </cell>
          <cell r="AE21">
            <v>0</v>
          </cell>
          <cell r="AF21">
            <v>0</v>
          </cell>
          <cell r="AG21">
            <v>0</v>
          </cell>
          <cell r="AI21">
            <v>11</v>
          </cell>
          <cell r="AJ21">
            <v>7</v>
          </cell>
          <cell r="AL21">
            <v>7000</v>
          </cell>
          <cell r="AM21">
            <v>1080403</v>
          </cell>
          <cell r="AN21">
            <v>7000</v>
          </cell>
        </row>
        <row r="22">
          <cell r="C22">
            <v>38268</v>
          </cell>
          <cell r="D22">
            <v>8</v>
          </cell>
          <cell r="E22">
            <v>1290718</v>
          </cell>
          <cell r="F22">
            <v>18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2000</v>
          </cell>
          <cell r="N22">
            <v>0</v>
          </cell>
          <cell r="O22">
            <v>5000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2000</v>
          </cell>
          <cell r="AC22">
            <v>0</v>
          </cell>
          <cell r="AD22">
            <v>5000</v>
          </cell>
          <cell r="AE22">
            <v>0</v>
          </cell>
          <cell r="AF22">
            <v>0</v>
          </cell>
          <cell r="AG22">
            <v>0</v>
          </cell>
          <cell r="AI22">
            <v>11</v>
          </cell>
          <cell r="AJ22">
            <v>8</v>
          </cell>
          <cell r="AL22">
            <v>7000</v>
          </cell>
          <cell r="AM22">
            <v>1283718</v>
          </cell>
          <cell r="AN22">
            <v>7000</v>
          </cell>
        </row>
        <row r="23">
          <cell r="C23">
            <v>38269</v>
          </cell>
          <cell r="D23">
            <v>9</v>
          </cell>
          <cell r="E23">
            <v>1669200</v>
          </cell>
          <cell r="F23">
            <v>19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2000</v>
          </cell>
          <cell r="N23">
            <v>0</v>
          </cell>
          <cell r="O23">
            <v>5000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2000</v>
          </cell>
          <cell r="AC23">
            <v>0</v>
          </cell>
          <cell r="AD23">
            <v>5000</v>
          </cell>
          <cell r="AE23">
            <v>0</v>
          </cell>
          <cell r="AF23">
            <v>0</v>
          </cell>
          <cell r="AG23">
            <v>0</v>
          </cell>
          <cell r="AI23">
            <v>11</v>
          </cell>
          <cell r="AJ23">
            <v>9</v>
          </cell>
          <cell r="AL23">
            <v>7000</v>
          </cell>
          <cell r="AM23">
            <v>1662200</v>
          </cell>
          <cell r="AN23">
            <v>7000</v>
          </cell>
        </row>
        <row r="24">
          <cell r="C24">
            <v>38270</v>
          </cell>
          <cell r="D24">
            <v>10</v>
          </cell>
          <cell r="E24">
            <v>1571577</v>
          </cell>
          <cell r="F24">
            <v>20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2000</v>
          </cell>
          <cell r="N24">
            <v>0</v>
          </cell>
          <cell r="O24">
            <v>5000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2000</v>
          </cell>
          <cell r="AC24">
            <v>0</v>
          </cell>
          <cell r="AD24">
            <v>5000</v>
          </cell>
          <cell r="AE24">
            <v>0</v>
          </cell>
          <cell r="AF24">
            <v>0</v>
          </cell>
          <cell r="AG24">
            <v>0</v>
          </cell>
          <cell r="AI24">
            <v>11</v>
          </cell>
          <cell r="AJ24">
            <v>10</v>
          </cell>
          <cell r="AL24">
            <v>7000</v>
          </cell>
          <cell r="AM24">
            <v>1564577</v>
          </cell>
          <cell r="AN24">
            <v>7000</v>
          </cell>
        </row>
        <row r="25">
          <cell r="C25">
            <v>38271</v>
          </cell>
          <cell r="D25">
            <v>11</v>
          </cell>
          <cell r="E25">
            <v>1762143</v>
          </cell>
          <cell r="F25">
            <v>21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2000</v>
          </cell>
          <cell r="N25">
            <v>0</v>
          </cell>
          <cell r="O25">
            <v>5000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2000</v>
          </cell>
          <cell r="AC25">
            <v>0</v>
          </cell>
          <cell r="AD25">
            <v>5000</v>
          </cell>
          <cell r="AE25">
            <v>0</v>
          </cell>
          <cell r="AF25">
            <v>0</v>
          </cell>
          <cell r="AG25">
            <v>0</v>
          </cell>
          <cell r="AI25">
            <v>11</v>
          </cell>
          <cell r="AJ25">
            <v>11</v>
          </cell>
          <cell r="AL25">
            <v>7000</v>
          </cell>
          <cell r="AM25">
            <v>1755143</v>
          </cell>
          <cell r="AN25">
            <v>7000</v>
          </cell>
        </row>
        <row r="26">
          <cell r="C26">
            <v>38272</v>
          </cell>
          <cell r="D26">
            <v>12</v>
          </cell>
          <cell r="E26">
            <v>1520924</v>
          </cell>
          <cell r="F26">
            <v>22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2000</v>
          </cell>
          <cell r="N26">
            <v>0</v>
          </cell>
          <cell r="O26">
            <v>5000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2000</v>
          </cell>
          <cell r="AC26">
            <v>0</v>
          </cell>
          <cell r="AD26">
            <v>5000</v>
          </cell>
          <cell r="AE26">
            <v>0</v>
          </cell>
          <cell r="AF26">
            <v>0</v>
          </cell>
          <cell r="AG26">
            <v>0</v>
          </cell>
          <cell r="AI26">
            <v>11</v>
          </cell>
          <cell r="AJ26">
            <v>12</v>
          </cell>
          <cell r="AL26">
            <v>7000</v>
          </cell>
          <cell r="AM26">
            <v>1513924</v>
          </cell>
          <cell r="AN26">
            <v>7000</v>
          </cell>
        </row>
        <row r="27">
          <cell r="C27">
            <v>38273</v>
          </cell>
          <cell r="D27">
            <v>13</v>
          </cell>
          <cell r="E27">
            <v>1620486</v>
          </cell>
          <cell r="F27">
            <v>24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2000</v>
          </cell>
          <cell r="N27">
            <v>0</v>
          </cell>
          <cell r="O27">
            <v>5000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2000</v>
          </cell>
          <cell r="AC27">
            <v>0</v>
          </cell>
          <cell r="AD27">
            <v>5000</v>
          </cell>
          <cell r="AE27">
            <v>0</v>
          </cell>
          <cell r="AF27">
            <v>0</v>
          </cell>
          <cell r="AG27">
            <v>0</v>
          </cell>
          <cell r="AI27">
            <v>11</v>
          </cell>
          <cell r="AJ27">
            <v>13</v>
          </cell>
          <cell r="AL27">
            <v>7000</v>
          </cell>
          <cell r="AM27">
            <v>1613486</v>
          </cell>
          <cell r="AN27">
            <v>7000</v>
          </cell>
        </row>
        <row r="28">
          <cell r="C28">
            <v>38274</v>
          </cell>
          <cell r="D28">
            <v>14</v>
          </cell>
          <cell r="E28">
            <v>1644080</v>
          </cell>
          <cell r="F28">
            <v>26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2000</v>
          </cell>
          <cell r="N28">
            <v>0</v>
          </cell>
          <cell r="O28">
            <v>5000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2000</v>
          </cell>
          <cell r="AC28">
            <v>0</v>
          </cell>
          <cell r="AD28">
            <v>5000</v>
          </cell>
          <cell r="AE28">
            <v>0</v>
          </cell>
          <cell r="AF28">
            <v>0</v>
          </cell>
          <cell r="AG28">
            <v>0</v>
          </cell>
          <cell r="AI28">
            <v>11</v>
          </cell>
          <cell r="AJ28">
            <v>14</v>
          </cell>
          <cell r="AL28">
            <v>7000</v>
          </cell>
          <cell r="AM28">
            <v>1637080</v>
          </cell>
          <cell r="AN28">
            <v>7000</v>
          </cell>
        </row>
        <row r="29">
          <cell r="C29">
            <v>38275</v>
          </cell>
          <cell r="D29">
            <v>15</v>
          </cell>
          <cell r="E29">
            <v>1843458</v>
          </cell>
          <cell r="F29">
            <v>31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2000</v>
          </cell>
          <cell r="N29">
            <v>0</v>
          </cell>
          <cell r="O29">
            <v>5000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2000</v>
          </cell>
          <cell r="AC29">
            <v>0</v>
          </cell>
          <cell r="AD29">
            <v>5000</v>
          </cell>
          <cell r="AE29">
            <v>0</v>
          </cell>
          <cell r="AF29">
            <v>0</v>
          </cell>
          <cell r="AG29">
            <v>0</v>
          </cell>
          <cell r="AI29">
            <v>11</v>
          </cell>
          <cell r="AJ29">
            <v>15</v>
          </cell>
          <cell r="AL29">
            <v>7000</v>
          </cell>
          <cell r="AM29">
            <v>1836458</v>
          </cell>
          <cell r="AN29">
            <v>7000</v>
          </cell>
        </row>
        <row r="30">
          <cell r="C30">
            <v>38276</v>
          </cell>
          <cell r="D30">
            <v>16</v>
          </cell>
          <cell r="E30">
            <v>1264357</v>
          </cell>
          <cell r="F30">
            <v>37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2000</v>
          </cell>
          <cell r="N30">
            <v>0</v>
          </cell>
          <cell r="O30">
            <v>5000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2000</v>
          </cell>
          <cell r="AC30">
            <v>0</v>
          </cell>
          <cell r="AD30">
            <v>5000</v>
          </cell>
          <cell r="AE30">
            <v>0</v>
          </cell>
          <cell r="AF30">
            <v>0</v>
          </cell>
          <cell r="AG30">
            <v>0</v>
          </cell>
          <cell r="AI30">
            <v>11</v>
          </cell>
          <cell r="AJ30">
            <v>16</v>
          </cell>
          <cell r="AL30">
            <v>7000</v>
          </cell>
          <cell r="AM30">
            <v>1257357</v>
          </cell>
          <cell r="AN30">
            <v>7000</v>
          </cell>
        </row>
        <row r="31">
          <cell r="C31">
            <v>38277</v>
          </cell>
          <cell r="D31">
            <v>17</v>
          </cell>
          <cell r="E31">
            <v>1011185</v>
          </cell>
          <cell r="F31">
            <v>28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2000</v>
          </cell>
          <cell r="N31">
            <v>0</v>
          </cell>
          <cell r="O31">
            <v>5000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2000</v>
          </cell>
          <cell r="AC31">
            <v>0</v>
          </cell>
          <cell r="AD31">
            <v>5000</v>
          </cell>
          <cell r="AE31">
            <v>0</v>
          </cell>
          <cell r="AF31">
            <v>0</v>
          </cell>
          <cell r="AG31">
            <v>0</v>
          </cell>
          <cell r="AI31">
            <v>11</v>
          </cell>
          <cell r="AJ31">
            <v>17</v>
          </cell>
          <cell r="AL31">
            <v>7000</v>
          </cell>
          <cell r="AM31">
            <v>1004185</v>
          </cell>
          <cell r="AN31">
            <v>7000</v>
          </cell>
        </row>
        <row r="32">
          <cell r="C32">
            <v>38278</v>
          </cell>
          <cell r="D32">
            <v>18</v>
          </cell>
          <cell r="E32">
            <v>985272</v>
          </cell>
          <cell r="F32">
            <v>24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2000</v>
          </cell>
          <cell r="N32">
            <v>0</v>
          </cell>
          <cell r="O32">
            <v>5000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2000</v>
          </cell>
          <cell r="AC32">
            <v>0</v>
          </cell>
          <cell r="AD32">
            <v>5000</v>
          </cell>
          <cell r="AE32">
            <v>0</v>
          </cell>
          <cell r="AF32">
            <v>0</v>
          </cell>
          <cell r="AG32">
            <v>0</v>
          </cell>
          <cell r="AI32">
            <v>11</v>
          </cell>
          <cell r="AJ32">
            <v>18</v>
          </cell>
          <cell r="AL32">
            <v>7000</v>
          </cell>
          <cell r="AM32">
            <v>978272</v>
          </cell>
          <cell r="AN32">
            <v>7000</v>
          </cell>
        </row>
        <row r="33">
          <cell r="C33">
            <v>38279</v>
          </cell>
          <cell r="D33">
            <v>19</v>
          </cell>
          <cell r="E33">
            <v>961461</v>
          </cell>
          <cell r="F33">
            <v>23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2000</v>
          </cell>
          <cell r="N33">
            <v>0</v>
          </cell>
          <cell r="O33">
            <v>5000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2000</v>
          </cell>
          <cell r="AC33">
            <v>0</v>
          </cell>
          <cell r="AD33">
            <v>5000</v>
          </cell>
          <cell r="AE33">
            <v>0</v>
          </cell>
          <cell r="AF33">
            <v>0</v>
          </cell>
          <cell r="AG33">
            <v>0</v>
          </cell>
          <cell r="AI33">
            <v>11</v>
          </cell>
          <cell r="AJ33">
            <v>19</v>
          </cell>
          <cell r="AL33">
            <v>7000</v>
          </cell>
          <cell r="AM33">
            <v>954461</v>
          </cell>
          <cell r="AN33">
            <v>7000</v>
          </cell>
        </row>
        <row r="34">
          <cell r="C34">
            <v>38280</v>
          </cell>
          <cell r="D34">
            <v>20</v>
          </cell>
          <cell r="E34">
            <v>941150</v>
          </cell>
          <cell r="F34">
            <v>22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2000</v>
          </cell>
          <cell r="N34">
            <v>0</v>
          </cell>
          <cell r="O34">
            <v>5000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2000</v>
          </cell>
          <cell r="AC34">
            <v>0</v>
          </cell>
          <cell r="AD34">
            <v>5000</v>
          </cell>
          <cell r="AE34">
            <v>0</v>
          </cell>
          <cell r="AF34">
            <v>0</v>
          </cell>
          <cell r="AG34">
            <v>0</v>
          </cell>
          <cell r="AI34">
            <v>11</v>
          </cell>
          <cell r="AJ34">
            <v>20</v>
          </cell>
          <cell r="AL34">
            <v>7000</v>
          </cell>
          <cell r="AM34">
            <v>934150</v>
          </cell>
          <cell r="AN34">
            <v>7000</v>
          </cell>
        </row>
        <row r="35">
          <cell r="C35">
            <v>38281</v>
          </cell>
          <cell r="D35">
            <v>21</v>
          </cell>
          <cell r="E35">
            <v>874682</v>
          </cell>
          <cell r="F35">
            <v>20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2000</v>
          </cell>
          <cell r="N35">
            <v>0</v>
          </cell>
          <cell r="O35">
            <v>5000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2000</v>
          </cell>
          <cell r="AC35">
            <v>0</v>
          </cell>
          <cell r="AD35">
            <v>5000</v>
          </cell>
          <cell r="AE35">
            <v>0</v>
          </cell>
          <cell r="AF35">
            <v>0</v>
          </cell>
          <cell r="AG35">
            <v>0</v>
          </cell>
          <cell r="AI35">
            <v>11</v>
          </cell>
          <cell r="AJ35">
            <v>21</v>
          </cell>
          <cell r="AL35">
            <v>7000</v>
          </cell>
          <cell r="AM35">
            <v>867682</v>
          </cell>
          <cell r="AN35">
            <v>7000</v>
          </cell>
        </row>
        <row r="36">
          <cell r="C36">
            <v>38282</v>
          </cell>
          <cell r="D36">
            <v>22</v>
          </cell>
          <cell r="E36">
            <v>1123242</v>
          </cell>
          <cell r="F36">
            <v>19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2000</v>
          </cell>
          <cell r="N36">
            <v>0</v>
          </cell>
          <cell r="O36">
            <v>5000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2000</v>
          </cell>
          <cell r="AC36">
            <v>0</v>
          </cell>
          <cell r="AD36">
            <v>5000</v>
          </cell>
          <cell r="AE36">
            <v>0</v>
          </cell>
          <cell r="AF36">
            <v>0</v>
          </cell>
          <cell r="AG36">
            <v>0</v>
          </cell>
          <cell r="AI36">
            <v>11</v>
          </cell>
          <cell r="AJ36">
            <v>22</v>
          </cell>
          <cell r="AL36">
            <v>7000</v>
          </cell>
          <cell r="AM36">
            <v>1116242</v>
          </cell>
          <cell r="AN36">
            <v>7000</v>
          </cell>
        </row>
        <row r="37">
          <cell r="C37">
            <v>38283</v>
          </cell>
          <cell r="D37">
            <v>23</v>
          </cell>
          <cell r="E37">
            <v>1623191</v>
          </cell>
          <cell r="F37">
            <v>18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2000</v>
          </cell>
          <cell r="N37">
            <v>0</v>
          </cell>
          <cell r="O37">
            <v>5000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2000</v>
          </cell>
          <cell r="AC37">
            <v>0</v>
          </cell>
          <cell r="AD37">
            <v>5000</v>
          </cell>
          <cell r="AE37">
            <v>0</v>
          </cell>
          <cell r="AF37">
            <v>0</v>
          </cell>
          <cell r="AG37">
            <v>0</v>
          </cell>
          <cell r="AI37">
            <v>11</v>
          </cell>
          <cell r="AJ37">
            <v>23</v>
          </cell>
          <cell r="AL37">
            <v>7000</v>
          </cell>
          <cell r="AM37">
            <v>1616191</v>
          </cell>
          <cell r="AN37">
            <v>7000</v>
          </cell>
        </row>
        <row r="38">
          <cell r="B38">
            <v>24</v>
          </cell>
          <cell r="C38">
            <v>38284</v>
          </cell>
          <cell r="D38">
            <v>24</v>
          </cell>
          <cell r="E38">
            <v>1770287</v>
          </cell>
          <cell r="F38">
            <v>18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2000</v>
          </cell>
          <cell r="N38">
            <v>0</v>
          </cell>
          <cell r="O38">
            <v>5000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2000</v>
          </cell>
          <cell r="AC38">
            <v>0</v>
          </cell>
          <cell r="AD38">
            <v>5000</v>
          </cell>
          <cell r="AE38">
            <v>0</v>
          </cell>
          <cell r="AF38">
            <v>0</v>
          </cell>
          <cell r="AG38">
            <v>0</v>
          </cell>
          <cell r="AI38">
            <v>11</v>
          </cell>
          <cell r="AJ38">
            <v>24</v>
          </cell>
          <cell r="AL38">
            <v>7000</v>
          </cell>
          <cell r="AM38">
            <v>1763287</v>
          </cell>
          <cell r="AN38">
            <v>7000</v>
          </cell>
        </row>
        <row r="39">
          <cell r="B39">
            <v>25</v>
          </cell>
          <cell r="C39">
            <v>38285</v>
          </cell>
          <cell r="D39">
            <v>25</v>
          </cell>
          <cell r="E39">
            <v>1458920</v>
          </cell>
          <cell r="F39">
            <v>16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2000</v>
          </cell>
          <cell r="N39">
            <v>0</v>
          </cell>
          <cell r="O39">
            <v>5000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2000</v>
          </cell>
          <cell r="AC39">
            <v>0</v>
          </cell>
          <cell r="AD39">
            <v>5000</v>
          </cell>
          <cell r="AE39">
            <v>0</v>
          </cell>
          <cell r="AF39">
            <v>0</v>
          </cell>
          <cell r="AG39">
            <v>0</v>
          </cell>
          <cell r="AI39">
            <v>11</v>
          </cell>
          <cell r="AJ39">
            <v>25</v>
          </cell>
          <cell r="AL39">
            <v>7000</v>
          </cell>
          <cell r="AM39">
            <v>1451920</v>
          </cell>
          <cell r="AN39">
            <v>7000</v>
          </cell>
        </row>
        <row r="40">
          <cell r="B40">
            <v>26</v>
          </cell>
          <cell r="C40">
            <v>38286</v>
          </cell>
          <cell r="D40">
            <v>26</v>
          </cell>
          <cell r="E40">
            <v>1243136</v>
          </cell>
          <cell r="F40">
            <v>15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2000</v>
          </cell>
          <cell r="N40">
            <v>0</v>
          </cell>
          <cell r="O40">
            <v>5000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2000</v>
          </cell>
          <cell r="AC40">
            <v>0</v>
          </cell>
          <cell r="AD40">
            <v>5000</v>
          </cell>
          <cell r="AE40">
            <v>0</v>
          </cell>
          <cell r="AF40">
            <v>0</v>
          </cell>
          <cell r="AG40">
            <v>0</v>
          </cell>
          <cell r="AI40">
            <v>11</v>
          </cell>
          <cell r="AJ40">
            <v>26</v>
          </cell>
          <cell r="AL40">
            <v>7000</v>
          </cell>
          <cell r="AM40">
            <v>1236136</v>
          </cell>
          <cell r="AN40">
            <v>7000</v>
          </cell>
        </row>
        <row r="41">
          <cell r="B41">
            <v>27</v>
          </cell>
          <cell r="C41">
            <v>38287</v>
          </cell>
          <cell r="D41">
            <v>27</v>
          </cell>
          <cell r="E41">
            <v>1250414</v>
          </cell>
          <cell r="F41">
            <v>14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2000</v>
          </cell>
          <cell r="N41">
            <v>0</v>
          </cell>
          <cell r="O41">
            <v>5000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2000</v>
          </cell>
          <cell r="AC41">
            <v>0</v>
          </cell>
          <cell r="AD41">
            <v>5000</v>
          </cell>
          <cell r="AE41">
            <v>0</v>
          </cell>
          <cell r="AF41">
            <v>0</v>
          </cell>
          <cell r="AG41">
            <v>0</v>
          </cell>
          <cell r="AI41">
            <v>11</v>
          </cell>
          <cell r="AJ41">
            <v>27</v>
          </cell>
          <cell r="AL41">
            <v>7000</v>
          </cell>
          <cell r="AM41">
            <v>1243414</v>
          </cell>
          <cell r="AN41">
            <v>7000</v>
          </cell>
        </row>
        <row r="42">
          <cell r="B42">
            <v>28</v>
          </cell>
          <cell r="C42">
            <v>38288</v>
          </cell>
          <cell r="D42">
            <v>28</v>
          </cell>
          <cell r="E42">
            <v>1329097</v>
          </cell>
          <cell r="F42">
            <v>13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2000</v>
          </cell>
          <cell r="N42">
            <v>0</v>
          </cell>
          <cell r="O42">
            <v>5000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2000</v>
          </cell>
          <cell r="AC42">
            <v>0</v>
          </cell>
          <cell r="AD42">
            <v>5000</v>
          </cell>
          <cell r="AE42">
            <v>0</v>
          </cell>
          <cell r="AF42">
            <v>0</v>
          </cell>
          <cell r="AG42">
            <v>0</v>
          </cell>
          <cell r="AI42">
            <v>11</v>
          </cell>
          <cell r="AJ42">
            <v>28</v>
          </cell>
          <cell r="AL42">
            <v>7000</v>
          </cell>
          <cell r="AM42">
            <v>1322097</v>
          </cell>
          <cell r="AN42">
            <v>7000</v>
          </cell>
        </row>
        <row r="43">
          <cell r="B43">
            <v>29</v>
          </cell>
          <cell r="C43">
            <v>38289</v>
          </cell>
          <cell r="D43">
            <v>29</v>
          </cell>
          <cell r="E43">
            <v>2411476</v>
          </cell>
          <cell r="F43">
            <v>11</v>
          </cell>
          <cell r="H43">
            <v>878516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2000</v>
          </cell>
          <cell r="N43">
            <v>0</v>
          </cell>
          <cell r="O43">
            <v>5000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878516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2000</v>
          </cell>
          <cell r="AC43">
            <v>0</v>
          </cell>
          <cell r="AD43">
            <v>5000</v>
          </cell>
          <cell r="AE43">
            <v>0</v>
          </cell>
          <cell r="AF43">
            <v>0</v>
          </cell>
          <cell r="AG43">
            <v>0</v>
          </cell>
          <cell r="AI43">
            <v>11</v>
          </cell>
          <cell r="AJ43">
            <v>29</v>
          </cell>
          <cell r="AL43">
            <v>885516</v>
          </cell>
          <cell r="AM43">
            <v>1525960</v>
          </cell>
          <cell r="AN43">
            <v>7000</v>
          </cell>
        </row>
        <row r="44">
          <cell r="B44">
            <v>30</v>
          </cell>
          <cell r="C44">
            <v>38290</v>
          </cell>
          <cell r="D44">
            <v>30</v>
          </cell>
          <cell r="E44">
            <v>3339936</v>
          </cell>
          <cell r="F44">
            <v>9</v>
          </cell>
          <cell r="H44">
            <v>1806976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2000</v>
          </cell>
          <cell r="N44">
            <v>0</v>
          </cell>
          <cell r="O44">
            <v>5000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1806976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2000</v>
          </cell>
          <cell r="AC44">
            <v>0</v>
          </cell>
          <cell r="AD44">
            <v>5000</v>
          </cell>
          <cell r="AE44">
            <v>0</v>
          </cell>
          <cell r="AF44">
            <v>0</v>
          </cell>
          <cell r="AG44">
            <v>0</v>
          </cell>
          <cell r="AI44">
            <v>11</v>
          </cell>
          <cell r="AJ44">
            <v>30</v>
          </cell>
          <cell r="AL44">
            <v>1813976</v>
          </cell>
          <cell r="AM44">
            <v>1525960</v>
          </cell>
          <cell r="AN44">
            <v>7000</v>
          </cell>
        </row>
        <row r="45">
          <cell r="B45">
            <v>31</v>
          </cell>
          <cell r="C45">
            <v>38291</v>
          </cell>
          <cell r="D45">
            <v>1</v>
          </cell>
          <cell r="E45">
            <v>3871839</v>
          </cell>
          <cell r="F45">
            <v>10</v>
          </cell>
          <cell r="H45">
            <v>2338879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2000</v>
          </cell>
          <cell r="N45">
            <v>0</v>
          </cell>
          <cell r="O45">
            <v>5000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2338879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2000</v>
          </cell>
          <cell r="AC45">
            <v>0</v>
          </cell>
          <cell r="AD45">
            <v>5000</v>
          </cell>
          <cell r="AE45">
            <v>0</v>
          </cell>
          <cell r="AF45">
            <v>0</v>
          </cell>
          <cell r="AG45">
            <v>0</v>
          </cell>
          <cell r="AI45">
            <v>12</v>
          </cell>
          <cell r="AJ45">
            <v>1</v>
          </cell>
          <cell r="AL45">
            <v>2345879</v>
          </cell>
          <cell r="AM45">
            <v>1525960</v>
          </cell>
          <cell r="AN45">
            <v>7000</v>
          </cell>
        </row>
        <row r="46">
          <cell r="B46">
            <v>32</v>
          </cell>
          <cell r="C46">
            <v>38292</v>
          </cell>
          <cell r="D46">
            <v>2</v>
          </cell>
          <cell r="E46">
            <v>3365698</v>
          </cell>
          <cell r="F46">
            <v>16</v>
          </cell>
          <cell r="H46">
            <v>881968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2000</v>
          </cell>
          <cell r="N46">
            <v>0</v>
          </cell>
          <cell r="O46">
            <v>5000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881968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2000</v>
          </cell>
          <cell r="AC46">
            <v>0</v>
          </cell>
          <cell r="AD46">
            <v>5000</v>
          </cell>
          <cell r="AE46">
            <v>0</v>
          </cell>
          <cell r="AF46">
            <v>0</v>
          </cell>
          <cell r="AG46">
            <v>0</v>
          </cell>
          <cell r="AI46">
            <v>12</v>
          </cell>
          <cell r="AJ46">
            <v>2</v>
          </cell>
          <cell r="AL46">
            <v>888968</v>
          </cell>
          <cell r="AM46">
            <v>2476730</v>
          </cell>
          <cell r="AN46">
            <v>7000</v>
          </cell>
        </row>
        <row r="47">
          <cell r="B47">
            <v>33</v>
          </cell>
          <cell r="C47">
            <v>38293</v>
          </cell>
          <cell r="D47">
            <v>3</v>
          </cell>
          <cell r="E47">
            <v>3820799</v>
          </cell>
          <cell r="F47">
            <v>18</v>
          </cell>
          <cell r="H47">
            <v>1337069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2000</v>
          </cell>
          <cell r="N47">
            <v>0</v>
          </cell>
          <cell r="O47">
            <v>5000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1337069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2000</v>
          </cell>
          <cell r="AC47">
            <v>0</v>
          </cell>
          <cell r="AD47">
            <v>5000</v>
          </cell>
          <cell r="AE47">
            <v>0</v>
          </cell>
          <cell r="AF47">
            <v>0</v>
          </cell>
          <cell r="AG47">
            <v>0</v>
          </cell>
          <cell r="AI47">
            <v>12</v>
          </cell>
          <cell r="AJ47">
            <v>3</v>
          </cell>
          <cell r="AL47">
            <v>1344069</v>
          </cell>
          <cell r="AM47">
            <v>2476730</v>
          </cell>
          <cell r="AN47">
            <v>7000</v>
          </cell>
        </row>
        <row r="48">
          <cell r="B48">
            <v>34</v>
          </cell>
          <cell r="C48">
            <v>38294</v>
          </cell>
          <cell r="D48">
            <v>4</v>
          </cell>
          <cell r="E48">
            <v>3623852</v>
          </cell>
          <cell r="F48">
            <v>19</v>
          </cell>
          <cell r="H48">
            <v>1140122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2000</v>
          </cell>
          <cell r="N48">
            <v>0</v>
          </cell>
          <cell r="O48">
            <v>5000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1140122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2000</v>
          </cell>
          <cell r="AC48">
            <v>0</v>
          </cell>
          <cell r="AD48">
            <v>5000</v>
          </cell>
          <cell r="AE48">
            <v>0</v>
          </cell>
          <cell r="AF48">
            <v>0</v>
          </cell>
          <cell r="AG48">
            <v>0</v>
          </cell>
          <cell r="AI48">
            <v>12</v>
          </cell>
          <cell r="AJ48">
            <v>4</v>
          </cell>
          <cell r="AL48">
            <v>1147122</v>
          </cell>
          <cell r="AM48">
            <v>2476730</v>
          </cell>
          <cell r="AN48">
            <v>7000</v>
          </cell>
        </row>
        <row r="49">
          <cell r="B49">
            <v>35</v>
          </cell>
          <cell r="C49">
            <v>38295</v>
          </cell>
          <cell r="D49">
            <v>5</v>
          </cell>
          <cell r="E49">
            <v>3974860</v>
          </cell>
          <cell r="F49">
            <v>20</v>
          </cell>
          <cell r="H49">
            <v>1491130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2000</v>
          </cell>
          <cell r="N49">
            <v>0</v>
          </cell>
          <cell r="O49">
            <v>5000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1491130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2000</v>
          </cell>
          <cell r="AC49">
            <v>0</v>
          </cell>
          <cell r="AD49">
            <v>5000</v>
          </cell>
          <cell r="AE49">
            <v>0</v>
          </cell>
          <cell r="AF49">
            <v>0</v>
          </cell>
          <cell r="AG49">
            <v>0</v>
          </cell>
          <cell r="AI49">
            <v>12</v>
          </cell>
          <cell r="AJ49">
            <v>5</v>
          </cell>
          <cell r="AL49">
            <v>1498130</v>
          </cell>
          <cell r="AM49">
            <v>2476730</v>
          </cell>
          <cell r="AN49">
            <v>7000</v>
          </cell>
        </row>
        <row r="50">
          <cell r="B50">
            <v>36</v>
          </cell>
          <cell r="C50">
            <v>38296</v>
          </cell>
          <cell r="D50">
            <v>6</v>
          </cell>
          <cell r="E50">
            <v>3733079</v>
          </cell>
          <cell r="F50">
            <v>22</v>
          </cell>
          <cell r="H50">
            <v>1249349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2000</v>
          </cell>
          <cell r="N50">
            <v>0</v>
          </cell>
          <cell r="O50">
            <v>5000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1249349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2000</v>
          </cell>
          <cell r="AC50">
            <v>0</v>
          </cell>
          <cell r="AD50">
            <v>5000</v>
          </cell>
          <cell r="AE50">
            <v>0</v>
          </cell>
          <cell r="AF50">
            <v>0</v>
          </cell>
          <cell r="AG50">
            <v>0</v>
          </cell>
          <cell r="AI50">
            <v>12</v>
          </cell>
          <cell r="AJ50">
            <v>6</v>
          </cell>
          <cell r="AL50">
            <v>1256349</v>
          </cell>
          <cell r="AM50">
            <v>2476730</v>
          </cell>
          <cell r="AN50">
            <v>7000</v>
          </cell>
        </row>
        <row r="51">
          <cell r="B51">
            <v>37</v>
          </cell>
          <cell r="C51">
            <v>38297</v>
          </cell>
          <cell r="D51">
            <v>7</v>
          </cell>
          <cell r="E51">
            <v>3362742</v>
          </cell>
          <cell r="F51">
            <v>23</v>
          </cell>
          <cell r="H51">
            <v>879012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2000</v>
          </cell>
          <cell r="N51">
            <v>0</v>
          </cell>
          <cell r="O51">
            <v>5000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879012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2000</v>
          </cell>
          <cell r="AC51">
            <v>0</v>
          </cell>
          <cell r="AD51">
            <v>5000</v>
          </cell>
          <cell r="AE51">
            <v>0</v>
          </cell>
          <cell r="AF51">
            <v>0</v>
          </cell>
          <cell r="AG51">
            <v>0</v>
          </cell>
          <cell r="AI51">
            <v>12</v>
          </cell>
          <cell r="AJ51">
            <v>7</v>
          </cell>
          <cell r="AL51">
            <v>886012</v>
          </cell>
          <cell r="AM51">
            <v>2476730</v>
          </cell>
          <cell r="AN51">
            <v>7000</v>
          </cell>
        </row>
        <row r="52">
          <cell r="B52">
            <v>38</v>
          </cell>
          <cell r="C52">
            <v>38298</v>
          </cell>
          <cell r="D52">
            <v>8</v>
          </cell>
          <cell r="E52">
            <v>3051715</v>
          </cell>
          <cell r="F52">
            <v>23</v>
          </cell>
          <cell r="H52">
            <v>567985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2000</v>
          </cell>
          <cell r="N52">
            <v>0</v>
          </cell>
          <cell r="O52">
            <v>5000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567985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2000</v>
          </cell>
          <cell r="AC52">
            <v>0</v>
          </cell>
          <cell r="AD52">
            <v>5000</v>
          </cell>
          <cell r="AE52">
            <v>0</v>
          </cell>
          <cell r="AF52">
            <v>0</v>
          </cell>
          <cell r="AG52">
            <v>0</v>
          </cell>
          <cell r="AI52">
            <v>12</v>
          </cell>
          <cell r="AJ52">
            <v>8</v>
          </cell>
          <cell r="AL52">
            <v>574985</v>
          </cell>
          <cell r="AM52">
            <v>2476730</v>
          </cell>
          <cell r="AN52">
            <v>7000</v>
          </cell>
        </row>
        <row r="53">
          <cell r="B53">
            <v>39</v>
          </cell>
          <cell r="C53">
            <v>38299</v>
          </cell>
          <cell r="D53">
            <v>9</v>
          </cell>
          <cell r="E53">
            <v>2703218</v>
          </cell>
          <cell r="F53">
            <v>25</v>
          </cell>
          <cell r="H53">
            <v>219488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2000</v>
          </cell>
          <cell r="N53">
            <v>0</v>
          </cell>
          <cell r="O53">
            <v>5000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219488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2000</v>
          </cell>
          <cell r="AC53">
            <v>0</v>
          </cell>
          <cell r="AD53">
            <v>5000</v>
          </cell>
          <cell r="AE53">
            <v>0</v>
          </cell>
          <cell r="AF53">
            <v>0</v>
          </cell>
          <cell r="AG53">
            <v>0</v>
          </cell>
          <cell r="AI53">
            <v>12</v>
          </cell>
          <cell r="AJ53">
            <v>9</v>
          </cell>
          <cell r="AL53">
            <v>226488</v>
          </cell>
          <cell r="AM53">
            <v>2476730</v>
          </cell>
          <cell r="AN53">
            <v>7000</v>
          </cell>
        </row>
        <row r="54">
          <cell r="B54">
            <v>40</v>
          </cell>
          <cell r="C54">
            <v>38300</v>
          </cell>
          <cell r="D54">
            <v>10</v>
          </cell>
          <cell r="E54">
            <v>2250798</v>
          </cell>
          <cell r="F54">
            <v>26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2000</v>
          </cell>
          <cell r="N54">
            <v>0</v>
          </cell>
          <cell r="O54">
            <v>5000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2000</v>
          </cell>
          <cell r="AC54">
            <v>0</v>
          </cell>
          <cell r="AD54">
            <v>5000</v>
          </cell>
          <cell r="AE54">
            <v>0</v>
          </cell>
          <cell r="AF54">
            <v>0</v>
          </cell>
          <cell r="AG54">
            <v>0</v>
          </cell>
          <cell r="AI54">
            <v>12</v>
          </cell>
          <cell r="AJ54">
            <v>10</v>
          </cell>
          <cell r="AL54">
            <v>7000</v>
          </cell>
          <cell r="AM54">
            <v>2243798</v>
          </cell>
          <cell r="AN54">
            <v>7000</v>
          </cell>
        </row>
        <row r="55">
          <cell r="B55">
            <v>41</v>
          </cell>
          <cell r="C55">
            <v>38301</v>
          </cell>
          <cell r="D55">
            <v>11</v>
          </cell>
          <cell r="E55">
            <v>2441030</v>
          </cell>
          <cell r="F55">
            <v>27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2000</v>
          </cell>
          <cell r="N55">
            <v>0</v>
          </cell>
          <cell r="O55">
            <v>5000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2000</v>
          </cell>
          <cell r="AC55">
            <v>0</v>
          </cell>
          <cell r="AD55">
            <v>5000</v>
          </cell>
          <cell r="AE55">
            <v>0</v>
          </cell>
          <cell r="AF55">
            <v>0</v>
          </cell>
          <cell r="AG55">
            <v>0</v>
          </cell>
          <cell r="AI55">
            <v>12</v>
          </cell>
          <cell r="AJ55">
            <v>11</v>
          </cell>
          <cell r="AL55">
            <v>7000</v>
          </cell>
          <cell r="AM55">
            <v>2434030</v>
          </cell>
          <cell r="AN55">
            <v>7000</v>
          </cell>
        </row>
        <row r="56">
          <cell r="B56">
            <v>42</v>
          </cell>
          <cell r="C56">
            <v>38302</v>
          </cell>
          <cell r="D56">
            <v>12</v>
          </cell>
          <cell r="E56">
            <v>2395816</v>
          </cell>
          <cell r="F56">
            <v>28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2000</v>
          </cell>
          <cell r="N56">
            <v>0</v>
          </cell>
          <cell r="O56">
            <v>5000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2000</v>
          </cell>
          <cell r="AC56">
            <v>0</v>
          </cell>
          <cell r="AD56">
            <v>5000</v>
          </cell>
          <cell r="AE56">
            <v>0</v>
          </cell>
          <cell r="AF56">
            <v>0</v>
          </cell>
          <cell r="AG56">
            <v>0</v>
          </cell>
          <cell r="AI56">
            <v>12</v>
          </cell>
          <cell r="AJ56">
            <v>12</v>
          </cell>
          <cell r="AL56">
            <v>7000</v>
          </cell>
          <cell r="AM56">
            <v>2388816</v>
          </cell>
          <cell r="AN56">
            <v>7000</v>
          </cell>
        </row>
        <row r="57">
          <cell r="B57">
            <v>43</v>
          </cell>
          <cell r="C57">
            <v>38303</v>
          </cell>
          <cell r="D57">
            <v>13</v>
          </cell>
          <cell r="E57">
            <v>3052236</v>
          </cell>
          <cell r="F57">
            <v>29</v>
          </cell>
          <cell r="H57">
            <v>568506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2000</v>
          </cell>
          <cell r="N57">
            <v>0</v>
          </cell>
          <cell r="O57">
            <v>5000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568506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2000</v>
          </cell>
          <cell r="AC57">
            <v>0</v>
          </cell>
          <cell r="AD57">
            <v>5000</v>
          </cell>
          <cell r="AE57">
            <v>0</v>
          </cell>
          <cell r="AF57">
            <v>0</v>
          </cell>
          <cell r="AG57">
            <v>0</v>
          </cell>
          <cell r="AI57">
            <v>12</v>
          </cell>
          <cell r="AJ57">
            <v>13</v>
          </cell>
          <cell r="AL57">
            <v>575506</v>
          </cell>
          <cell r="AM57">
            <v>2476730</v>
          </cell>
          <cell r="AN57">
            <v>7000</v>
          </cell>
        </row>
        <row r="58">
          <cell r="B58">
            <v>44</v>
          </cell>
          <cell r="C58">
            <v>38304</v>
          </cell>
          <cell r="D58">
            <v>14</v>
          </cell>
          <cell r="E58">
            <v>2656101</v>
          </cell>
          <cell r="F58">
            <v>31</v>
          </cell>
          <cell r="H58">
            <v>172371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2000</v>
          </cell>
          <cell r="N58">
            <v>0</v>
          </cell>
          <cell r="O58">
            <v>5000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172371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2000</v>
          </cell>
          <cell r="AC58">
            <v>0</v>
          </cell>
          <cell r="AD58">
            <v>5000</v>
          </cell>
          <cell r="AE58">
            <v>0</v>
          </cell>
          <cell r="AF58">
            <v>0</v>
          </cell>
          <cell r="AG58">
            <v>0</v>
          </cell>
          <cell r="AI58">
            <v>12</v>
          </cell>
          <cell r="AJ58">
            <v>14</v>
          </cell>
          <cell r="AL58">
            <v>179371</v>
          </cell>
          <cell r="AM58">
            <v>2476730</v>
          </cell>
          <cell r="AN58">
            <v>7000</v>
          </cell>
        </row>
        <row r="59">
          <cell r="B59">
            <v>45</v>
          </cell>
          <cell r="C59">
            <v>38305</v>
          </cell>
          <cell r="D59">
            <v>15</v>
          </cell>
          <cell r="E59">
            <v>2336656</v>
          </cell>
          <cell r="F59">
            <v>33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2000</v>
          </cell>
          <cell r="N59">
            <v>0</v>
          </cell>
          <cell r="O59">
            <v>5000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2000</v>
          </cell>
          <cell r="AC59">
            <v>0</v>
          </cell>
          <cell r="AD59">
            <v>5000</v>
          </cell>
          <cell r="AE59">
            <v>0</v>
          </cell>
          <cell r="AF59">
            <v>0</v>
          </cell>
          <cell r="AG59">
            <v>0</v>
          </cell>
          <cell r="AI59">
            <v>12</v>
          </cell>
          <cell r="AJ59">
            <v>15</v>
          </cell>
          <cell r="AL59">
            <v>7000</v>
          </cell>
          <cell r="AM59">
            <v>2329656</v>
          </cell>
          <cell r="AN59">
            <v>7000</v>
          </cell>
        </row>
        <row r="60">
          <cell r="B60">
            <v>46</v>
          </cell>
          <cell r="C60">
            <v>38306</v>
          </cell>
          <cell r="D60">
            <v>16</v>
          </cell>
          <cell r="E60">
            <v>2468729</v>
          </cell>
          <cell r="F60">
            <v>45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2000</v>
          </cell>
          <cell r="N60">
            <v>0</v>
          </cell>
          <cell r="O60">
            <v>5000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2000</v>
          </cell>
          <cell r="AC60">
            <v>0</v>
          </cell>
          <cell r="AD60">
            <v>5000</v>
          </cell>
          <cell r="AE60">
            <v>0</v>
          </cell>
          <cell r="AF60">
            <v>0</v>
          </cell>
          <cell r="AG60">
            <v>0</v>
          </cell>
          <cell r="AI60">
            <v>12</v>
          </cell>
          <cell r="AJ60">
            <v>16</v>
          </cell>
          <cell r="AL60">
            <v>7000</v>
          </cell>
          <cell r="AM60">
            <v>2461729</v>
          </cell>
          <cell r="AN60">
            <v>7000</v>
          </cell>
        </row>
        <row r="61">
          <cell r="B61">
            <v>47</v>
          </cell>
          <cell r="C61">
            <v>38307</v>
          </cell>
          <cell r="D61">
            <v>17</v>
          </cell>
          <cell r="E61">
            <v>2726073</v>
          </cell>
          <cell r="F61">
            <v>36</v>
          </cell>
          <cell r="H61">
            <v>242343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2000</v>
          </cell>
          <cell r="N61">
            <v>0</v>
          </cell>
          <cell r="O61">
            <v>5000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242343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2000</v>
          </cell>
          <cell r="AC61">
            <v>0</v>
          </cell>
          <cell r="AD61">
            <v>5000</v>
          </cell>
          <cell r="AE61">
            <v>0</v>
          </cell>
          <cell r="AF61">
            <v>0</v>
          </cell>
          <cell r="AG61">
            <v>0</v>
          </cell>
          <cell r="AI61">
            <v>12</v>
          </cell>
          <cell r="AJ61">
            <v>17</v>
          </cell>
          <cell r="AL61">
            <v>249343</v>
          </cell>
          <cell r="AM61">
            <v>2476730</v>
          </cell>
          <cell r="AN61">
            <v>7000</v>
          </cell>
        </row>
        <row r="62">
          <cell r="B62">
            <v>48</v>
          </cell>
          <cell r="C62">
            <v>38308</v>
          </cell>
          <cell r="D62">
            <v>18</v>
          </cell>
          <cell r="E62">
            <v>2714955</v>
          </cell>
          <cell r="F62">
            <v>31</v>
          </cell>
          <cell r="H62">
            <v>231225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2000</v>
          </cell>
          <cell r="N62">
            <v>0</v>
          </cell>
          <cell r="O62">
            <v>5000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231225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2000</v>
          </cell>
          <cell r="AC62">
            <v>0</v>
          </cell>
          <cell r="AD62">
            <v>5000</v>
          </cell>
          <cell r="AE62">
            <v>0</v>
          </cell>
          <cell r="AF62">
            <v>0</v>
          </cell>
          <cell r="AG62">
            <v>0</v>
          </cell>
          <cell r="AI62">
            <v>12</v>
          </cell>
          <cell r="AJ62">
            <v>18</v>
          </cell>
          <cell r="AL62">
            <v>238225</v>
          </cell>
          <cell r="AM62">
            <v>2476730</v>
          </cell>
          <cell r="AN62">
            <v>7000</v>
          </cell>
        </row>
        <row r="63">
          <cell r="B63">
            <v>49</v>
          </cell>
          <cell r="C63">
            <v>38309</v>
          </cell>
          <cell r="D63">
            <v>19</v>
          </cell>
          <cell r="E63">
            <v>2115123</v>
          </cell>
          <cell r="F63">
            <v>30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2000</v>
          </cell>
          <cell r="N63">
            <v>0</v>
          </cell>
          <cell r="O63">
            <v>5000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2000</v>
          </cell>
          <cell r="AC63">
            <v>0</v>
          </cell>
          <cell r="AD63">
            <v>5000</v>
          </cell>
          <cell r="AE63">
            <v>0</v>
          </cell>
          <cell r="AF63">
            <v>0</v>
          </cell>
          <cell r="AG63">
            <v>0</v>
          </cell>
          <cell r="AI63">
            <v>12</v>
          </cell>
          <cell r="AJ63">
            <v>19</v>
          </cell>
          <cell r="AL63">
            <v>7000</v>
          </cell>
          <cell r="AM63">
            <v>2108123</v>
          </cell>
          <cell r="AN63">
            <v>7000</v>
          </cell>
        </row>
        <row r="64">
          <cell r="B64">
            <v>50</v>
          </cell>
          <cell r="C64">
            <v>38310</v>
          </cell>
          <cell r="D64">
            <v>20</v>
          </cell>
          <cell r="E64">
            <v>3935577</v>
          </cell>
          <cell r="F64">
            <v>28</v>
          </cell>
          <cell r="H64">
            <v>1451847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2000</v>
          </cell>
          <cell r="N64">
            <v>0</v>
          </cell>
          <cell r="O64">
            <v>5000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1451847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2000</v>
          </cell>
          <cell r="AC64">
            <v>0</v>
          </cell>
          <cell r="AD64">
            <v>5000</v>
          </cell>
          <cell r="AE64">
            <v>0</v>
          </cell>
          <cell r="AF64">
            <v>0</v>
          </cell>
          <cell r="AG64">
            <v>0</v>
          </cell>
          <cell r="AI64">
            <v>12</v>
          </cell>
          <cell r="AJ64">
            <v>20</v>
          </cell>
          <cell r="AL64">
            <v>1458847</v>
          </cell>
          <cell r="AM64">
            <v>2476730</v>
          </cell>
          <cell r="AN64">
            <v>7000</v>
          </cell>
        </row>
        <row r="65">
          <cell r="B65">
            <v>51</v>
          </cell>
          <cell r="C65">
            <v>38311</v>
          </cell>
          <cell r="D65">
            <v>21</v>
          </cell>
          <cell r="E65">
            <v>3941176</v>
          </cell>
          <cell r="F65">
            <v>27</v>
          </cell>
          <cell r="H65">
            <v>1457446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2000</v>
          </cell>
          <cell r="N65">
            <v>0</v>
          </cell>
          <cell r="O65">
            <v>5000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1457446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2000</v>
          </cell>
          <cell r="AC65">
            <v>0</v>
          </cell>
          <cell r="AD65">
            <v>5000</v>
          </cell>
          <cell r="AE65">
            <v>0</v>
          </cell>
          <cell r="AF65">
            <v>0</v>
          </cell>
          <cell r="AG65">
            <v>0</v>
          </cell>
          <cell r="AI65">
            <v>12</v>
          </cell>
          <cell r="AJ65">
            <v>21</v>
          </cell>
          <cell r="AL65">
            <v>1464446</v>
          </cell>
          <cell r="AM65">
            <v>2476730</v>
          </cell>
          <cell r="AN65">
            <v>7000</v>
          </cell>
        </row>
        <row r="66">
          <cell r="B66">
            <v>52</v>
          </cell>
          <cell r="C66">
            <v>38312</v>
          </cell>
          <cell r="D66">
            <v>22</v>
          </cell>
          <cell r="E66">
            <v>4325478</v>
          </cell>
          <cell r="F66">
            <v>26</v>
          </cell>
          <cell r="H66">
            <v>1841748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2000</v>
          </cell>
          <cell r="N66">
            <v>0</v>
          </cell>
          <cell r="O66">
            <v>5000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1841748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2000</v>
          </cell>
          <cell r="AC66">
            <v>0</v>
          </cell>
          <cell r="AD66">
            <v>5000</v>
          </cell>
          <cell r="AE66">
            <v>0</v>
          </cell>
          <cell r="AF66">
            <v>0</v>
          </cell>
          <cell r="AG66">
            <v>0</v>
          </cell>
          <cell r="AI66">
            <v>12</v>
          </cell>
          <cell r="AJ66">
            <v>22</v>
          </cell>
          <cell r="AL66">
            <v>1848748</v>
          </cell>
          <cell r="AM66">
            <v>2476730</v>
          </cell>
          <cell r="AN66">
            <v>7000</v>
          </cell>
        </row>
        <row r="67">
          <cell r="B67">
            <v>53</v>
          </cell>
          <cell r="C67">
            <v>38313</v>
          </cell>
          <cell r="D67">
            <v>23</v>
          </cell>
          <cell r="E67">
            <v>4122855</v>
          </cell>
          <cell r="F67">
            <v>25</v>
          </cell>
          <cell r="H67">
            <v>1639125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2000</v>
          </cell>
          <cell r="N67">
            <v>0</v>
          </cell>
          <cell r="O67">
            <v>5000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1639125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2000</v>
          </cell>
          <cell r="AC67">
            <v>0</v>
          </cell>
          <cell r="AD67">
            <v>5000</v>
          </cell>
          <cell r="AE67">
            <v>0</v>
          </cell>
          <cell r="AF67">
            <v>0</v>
          </cell>
          <cell r="AG67">
            <v>0</v>
          </cell>
          <cell r="AI67">
            <v>12</v>
          </cell>
          <cell r="AJ67">
            <v>23</v>
          </cell>
          <cell r="AL67">
            <v>1646125</v>
          </cell>
          <cell r="AM67">
            <v>2476730</v>
          </cell>
          <cell r="AN67">
            <v>7000</v>
          </cell>
        </row>
        <row r="68">
          <cell r="B68">
            <v>54</v>
          </cell>
          <cell r="C68">
            <v>38314</v>
          </cell>
          <cell r="D68">
            <v>24</v>
          </cell>
          <cell r="E68">
            <v>3380890</v>
          </cell>
          <cell r="F68">
            <v>24</v>
          </cell>
          <cell r="H68">
            <v>897160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2000</v>
          </cell>
          <cell r="N68">
            <v>0</v>
          </cell>
          <cell r="O68">
            <v>5000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897160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2000</v>
          </cell>
          <cell r="AC68">
            <v>0</v>
          </cell>
          <cell r="AD68">
            <v>5000</v>
          </cell>
          <cell r="AE68">
            <v>0</v>
          </cell>
          <cell r="AF68">
            <v>0</v>
          </cell>
          <cell r="AG68">
            <v>0</v>
          </cell>
          <cell r="AI68">
            <v>12</v>
          </cell>
          <cell r="AJ68">
            <v>24</v>
          </cell>
          <cell r="AL68">
            <v>904160</v>
          </cell>
          <cell r="AM68">
            <v>2476730</v>
          </cell>
          <cell r="AN68">
            <v>7000</v>
          </cell>
        </row>
        <row r="69">
          <cell r="B69">
            <v>55</v>
          </cell>
          <cell r="C69">
            <v>38315</v>
          </cell>
          <cell r="D69">
            <v>25</v>
          </cell>
          <cell r="E69">
            <v>3738935</v>
          </cell>
          <cell r="F69">
            <v>23</v>
          </cell>
          <cell r="H69">
            <v>1255205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2000</v>
          </cell>
          <cell r="N69">
            <v>0</v>
          </cell>
          <cell r="O69">
            <v>5000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1255205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2000</v>
          </cell>
          <cell r="AC69">
            <v>0</v>
          </cell>
          <cell r="AD69">
            <v>5000</v>
          </cell>
          <cell r="AE69">
            <v>0</v>
          </cell>
          <cell r="AF69">
            <v>0</v>
          </cell>
          <cell r="AG69">
            <v>0</v>
          </cell>
          <cell r="AI69">
            <v>12</v>
          </cell>
          <cell r="AJ69">
            <v>25</v>
          </cell>
          <cell r="AL69">
            <v>1262205</v>
          </cell>
          <cell r="AM69">
            <v>2476730</v>
          </cell>
          <cell r="AN69">
            <v>7000</v>
          </cell>
        </row>
        <row r="70">
          <cell r="B70">
            <v>56</v>
          </cell>
          <cell r="C70">
            <v>38316</v>
          </cell>
          <cell r="D70">
            <v>26</v>
          </cell>
          <cell r="E70">
            <v>3542562</v>
          </cell>
          <cell r="F70">
            <v>22</v>
          </cell>
          <cell r="H70">
            <v>1058832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2000</v>
          </cell>
          <cell r="N70">
            <v>0</v>
          </cell>
          <cell r="O70">
            <v>5000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1058832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2000</v>
          </cell>
          <cell r="AC70">
            <v>0</v>
          </cell>
          <cell r="AD70">
            <v>5000</v>
          </cell>
          <cell r="AE70">
            <v>0</v>
          </cell>
          <cell r="AF70">
            <v>0</v>
          </cell>
          <cell r="AG70">
            <v>0</v>
          </cell>
          <cell r="AI70">
            <v>12</v>
          </cell>
          <cell r="AJ70">
            <v>26</v>
          </cell>
          <cell r="AL70">
            <v>1065832</v>
          </cell>
          <cell r="AM70">
            <v>2476730</v>
          </cell>
          <cell r="AN70">
            <v>7000</v>
          </cell>
        </row>
        <row r="71">
          <cell r="B71">
            <v>57</v>
          </cell>
          <cell r="C71">
            <v>38317</v>
          </cell>
          <cell r="D71">
            <v>27</v>
          </cell>
          <cell r="E71">
            <v>3257242</v>
          </cell>
          <cell r="F71">
            <v>21</v>
          </cell>
          <cell r="H71">
            <v>773512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2000</v>
          </cell>
          <cell r="N71">
            <v>0</v>
          </cell>
          <cell r="O71">
            <v>5000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773512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2000</v>
          </cell>
          <cell r="AC71">
            <v>0</v>
          </cell>
          <cell r="AD71">
            <v>5000</v>
          </cell>
          <cell r="AE71">
            <v>0</v>
          </cell>
          <cell r="AF71">
            <v>0</v>
          </cell>
          <cell r="AG71">
            <v>0</v>
          </cell>
          <cell r="AI71">
            <v>12</v>
          </cell>
          <cell r="AJ71">
            <v>27</v>
          </cell>
          <cell r="AL71">
            <v>780512</v>
          </cell>
          <cell r="AM71">
            <v>2476730</v>
          </cell>
          <cell r="AN71">
            <v>7000</v>
          </cell>
        </row>
        <row r="72">
          <cell r="B72">
            <v>58</v>
          </cell>
          <cell r="C72">
            <v>38318</v>
          </cell>
          <cell r="D72">
            <v>28</v>
          </cell>
          <cell r="E72">
            <v>2969659</v>
          </cell>
          <cell r="F72">
            <v>20</v>
          </cell>
          <cell r="H72">
            <v>485929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2000</v>
          </cell>
          <cell r="N72">
            <v>0</v>
          </cell>
          <cell r="O72">
            <v>5000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485929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2000</v>
          </cell>
          <cell r="AC72">
            <v>0</v>
          </cell>
          <cell r="AD72">
            <v>5000</v>
          </cell>
          <cell r="AE72">
            <v>0</v>
          </cell>
          <cell r="AF72">
            <v>0</v>
          </cell>
          <cell r="AG72">
            <v>0</v>
          </cell>
          <cell r="AI72">
            <v>12</v>
          </cell>
          <cell r="AJ72">
            <v>28</v>
          </cell>
          <cell r="AL72">
            <v>492929</v>
          </cell>
          <cell r="AM72">
            <v>2476730</v>
          </cell>
          <cell r="AN72">
            <v>7000</v>
          </cell>
        </row>
        <row r="73">
          <cell r="B73">
            <v>59</v>
          </cell>
          <cell r="C73">
            <v>38319</v>
          </cell>
          <cell r="D73">
            <v>29</v>
          </cell>
          <cell r="E73">
            <v>2467917</v>
          </cell>
          <cell r="F73">
            <v>19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2000</v>
          </cell>
          <cell r="N73">
            <v>0</v>
          </cell>
          <cell r="O73">
            <v>5000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2000</v>
          </cell>
          <cell r="AC73">
            <v>0</v>
          </cell>
          <cell r="AD73">
            <v>5000</v>
          </cell>
          <cell r="AE73">
            <v>0</v>
          </cell>
          <cell r="AF73">
            <v>0</v>
          </cell>
          <cell r="AG73">
            <v>0</v>
          </cell>
          <cell r="AI73">
            <v>12</v>
          </cell>
          <cell r="AJ73">
            <v>29</v>
          </cell>
          <cell r="AL73">
            <v>7000</v>
          </cell>
          <cell r="AM73">
            <v>2460917</v>
          </cell>
          <cell r="AN73">
            <v>7000</v>
          </cell>
        </row>
        <row r="74">
          <cell r="B74">
            <v>60</v>
          </cell>
          <cell r="C74">
            <v>38320</v>
          </cell>
          <cell r="D74">
            <v>30</v>
          </cell>
          <cell r="E74">
            <v>2297574</v>
          </cell>
          <cell r="F74">
            <v>17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2000</v>
          </cell>
          <cell r="N74">
            <v>0</v>
          </cell>
          <cell r="O74">
            <v>5000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2000</v>
          </cell>
          <cell r="AC74">
            <v>0</v>
          </cell>
          <cell r="AD74">
            <v>5000</v>
          </cell>
          <cell r="AE74">
            <v>0</v>
          </cell>
          <cell r="AF74">
            <v>0</v>
          </cell>
          <cell r="AG74">
            <v>0</v>
          </cell>
          <cell r="AI74">
            <v>12</v>
          </cell>
          <cell r="AJ74">
            <v>30</v>
          </cell>
          <cell r="AL74">
            <v>7000</v>
          </cell>
          <cell r="AM74">
            <v>2290574</v>
          </cell>
          <cell r="AN74">
            <v>7000</v>
          </cell>
        </row>
        <row r="75">
          <cell r="B75">
            <v>61</v>
          </cell>
          <cell r="C75">
            <v>38321</v>
          </cell>
          <cell r="D75">
            <v>31</v>
          </cell>
          <cell r="E75">
            <v>2883459</v>
          </cell>
          <cell r="F75">
            <v>14</v>
          </cell>
          <cell r="H75">
            <v>399729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2000</v>
          </cell>
          <cell r="N75">
            <v>0</v>
          </cell>
          <cell r="O75">
            <v>5000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399729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2000</v>
          </cell>
          <cell r="AC75">
            <v>0</v>
          </cell>
          <cell r="AD75">
            <v>5000</v>
          </cell>
          <cell r="AE75">
            <v>0</v>
          </cell>
          <cell r="AF75">
            <v>0</v>
          </cell>
          <cell r="AG75">
            <v>0</v>
          </cell>
          <cell r="AI75">
            <v>12</v>
          </cell>
          <cell r="AJ75">
            <v>31</v>
          </cell>
          <cell r="AL75">
            <v>406729</v>
          </cell>
          <cell r="AM75">
            <v>2476730</v>
          </cell>
          <cell r="AN75">
            <v>7000</v>
          </cell>
        </row>
        <row r="76">
          <cell r="B76">
            <v>62</v>
          </cell>
          <cell r="C76">
            <v>38322</v>
          </cell>
          <cell r="D76">
            <v>1</v>
          </cell>
          <cell r="E76">
            <v>3172946</v>
          </cell>
          <cell r="F76">
            <v>12</v>
          </cell>
          <cell r="H76">
            <v>544086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2000</v>
          </cell>
          <cell r="N76">
            <v>0</v>
          </cell>
          <cell r="O76">
            <v>5000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544086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2000</v>
          </cell>
          <cell r="AC76">
            <v>0</v>
          </cell>
          <cell r="AD76">
            <v>5000</v>
          </cell>
          <cell r="AE76">
            <v>0</v>
          </cell>
          <cell r="AF76">
            <v>0</v>
          </cell>
          <cell r="AG76">
            <v>0</v>
          </cell>
          <cell r="AI76">
            <v>1</v>
          </cell>
          <cell r="AJ76">
            <v>1</v>
          </cell>
          <cell r="AL76">
            <v>551086</v>
          </cell>
          <cell r="AM76">
            <v>2621860</v>
          </cell>
          <cell r="AN76">
            <v>7000</v>
          </cell>
        </row>
        <row r="77">
          <cell r="B77">
            <v>63</v>
          </cell>
          <cell r="C77">
            <v>38323</v>
          </cell>
          <cell r="D77">
            <v>2</v>
          </cell>
          <cell r="E77">
            <v>3604923</v>
          </cell>
          <cell r="F77">
            <v>16</v>
          </cell>
          <cell r="H77">
            <v>976063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5000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976063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2000</v>
          </cell>
          <cell r="AC77">
            <v>0</v>
          </cell>
          <cell r="AD77">
            <v>5000</v>
          </cell>
          <cell r="AE77">
            <v>0</v>
          </cell>
          <cell r="AF77">
            <v>0</v>
          </cell>
          <cell r="AG77">
            <v>0</v>
          </cell>
          <cell r="AI77">
            <v>1</v>
          </cell>
          <cell r="AJ77">
            <v>2</v>
          </cell>
          <cell r="AL77">
            <v>983063</v>
          </cell>
          <cell r="AM77">
            <v>2621860</v>
          </cell>
          <cell r="AN77">
            <v>7000</v>
          </cell>
        </row>
        <row r="78">
          <cell r="B78">
            <v>64</v>
          </cell>
          <cell r="C78">
            <v>38324</v>
          </cell>
          <cell r="D78">
            <v>3</v>
          </cell>
          <cell r="E78">
            <v>3575891</v>
          </cell>
          <cell r="F78">
            <v>18</v>
          </cell>
          <cell r="H78">
            <v>947031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2000</v>
          </cell>
          <cell r="N78">
            <v>0</v>
          </cell>
          <cell r="O78">
            <v>5000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947031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2000</v>
          </cell>
          <cell r="AC78">
            <v>0</v>
          </cell>
          <cell r="AD78">
            <v>5000</v>
          </cell>
          <cell r="AE78">
            <v>0</v>
          </cell>
          <cell r="AF78">
            <v>0</v>
          </cell>
          <cell r="AG78">
            <v>0</v>
          </cell>
          <cell r="AI78">
            <v>1</v>
          </cell>
          <cell r="AJ78">
            <v>3</v>
          </cell>
          <cell r="AL78">
            <v>954031</v>
          </cell>
          <cell r="AM78">
            <v>2621860</v>
          </cell>
          <cell r="AN78">
            <v>7000</v>
          </cell>
        </row>
        <row r="79">
          <cell r="B79">
            <v>65</v>
          </cell>
          <cell r="C79">
            <v>38325</v>
          </cell>
          <cell r="D79">
            <v>4</v>
          </cell>
          <cell r="E79">
            <v>3571926</v>
          </cell>
          <cell r="F79">
            <v>20</v>
          </cell>
          <cell r="H79">
            <v>943066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2000</v>
          </cell>
          <cell r="N79">
            <v>0</v>
          </cell>
          <cell r="O79">
            <v>5000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943066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2000</v>
          </cell>
          <cell r="AC79">
            <v>0</v>
          </cell>
          <cell r="AD79">
            <v>5000</v>
          </cell>
          <cell r="AE79">
            <v>0</v>
          </cell>
          <cell r="AF79">
            <v>0</v>
          </cell>
          <cell r="AG79">
            <v>0</v>
          </cell>
          <cell r="AI79">
            <v>1</v>
          </cell>
          <cell r="AJ79">
            <v>4</v>
          </cell>
          <cell r="AL79">
            <v>950066</v>
          </cell>
          <cell r="AM79">
            <v>2621860</v>
          </cell>
          <cell r="AN79">
            <v>7000</v>
          </cell>
        </row>
        <row r="80">
          <cell r="B80">
            <v>66</v>
          </cell>
          <cell r="C80">
            <v>38326</v>
          </cell>
          <cell r="D80">
            <v>5</v>
          </cell>
          <cell r="E80">
            <v>2896451</v>
          </cell>
          <cell r="F80">
            <v>21</v>
          </cell>
          <cell r="H80">
            <v>267591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2000</v>
          </cell>
          <cell r="N80">
            <v>0</v>
          </cell>
          <cell r="O80">
            <v>5000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267591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2000</v>
          </cell>
          <cell r="AC80">
            <v>0</v>
          </cell>
          <cell r="AD80">
            <v>5000</v>
          </cell>
          <cell r="AE80">
            <v>0</v>
          </cell>
          <cell r="AF80">
            <v>0</v>
          </cell>
          <cell r="AG80">
            <v>0</v>
          </cell>
          <cell r="AI80">
            <v>1</v>
          </cell>
          <cell r="AJ80">
            <v>5</v>
          </cell>
          <cell r="AL80">
            <v>274591</v>
          </cell>
          <cell r="AM80">
            <v>2621860</v>
          </cell>
          <cell r="AN80">
            <v>7000</v>
          </cell>
        </row>
        <row r="81">
          <cell r="B81">
            <v>67</v>
          </cell>
          <cell r="C81">
            <v>38327</v>
          </cell>
          <cell r="D81">
            <v>6</v>
          </cell>
          <cell r="E81">
            <v>3041076</v>
          </cell>
          <cell r="F81">
            <v>22</v>
          </cell>
          <cell r="H81">
            <v>412216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2000</v>
          </cell>
          <cell r="N81">
            <v>0</v>
          </cell>
          <cell r="O81">
            <v>5000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412216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2000</v>
          </cell>
          <cell r="AC81">
            <v>0</v>
          </cell>
          <cell r="AD81">
            <v>5000</v>
          </cell>
          <cell r="AE81">
            <v>0</v>
          </cell>
          <cell r="AF81">
            <v>0</v>
          </cell>
          <cell r="AG81">
            <v>0</v>
          </cell>
          <cell r="AI81">
            <v>1</v>
          </cell>
          <cell r="AJ81">
            <v>6</v>
          </cell>
          <cell r="AL81">
            <v>419216</v>
          </cell>
          <cell r="AM81">
            <v>2621860</v>
          </cell>
          <cell r="AN81">
            <v>7000</v>
          </cell>
        </row>
        <row r="82">
          <cell r="B82">
            <v>68</v>
          </cell>
          <cell r="C82">
            <v>38328</v>
          </cell>
          <cell r="D82">
            <v>7</v>
          </cell>
          <cell r="E82">
            <v>3330112</v>
          </cell>
          <cell r="F82">
            <v>23</v>
          </cell>
          <cell r="H82">
            <v>701252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2000</v>
          </cell>
          <cell r="N82">
            <v>0</v>
          </cell>
          <cell r="O82">
            <v>5000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701252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2000</v>
          </cell>
          <cell r="AC82">
            <v>0</v>
          </cell>
          <cell r="AD82">
            <v>5000</v>
          </cell>
          <cell r="AE82">
            <v>0</v>
          </cell>
          <cell r="AF82">
            <v>0</v>
          </cell>
          <cell r="AG82">
            <v>0</v>
          </cell>
          <cell r="AI82">
            <v>1</v>
          </cell>
          <cell r="AJ82">
            <v>7</v>
          </cell>
          <cell r="AL82">
            <v>708252</v>
          </cell>
          <cell r="AM82">
            <v>2621860</v>
          </cell>
          <cell r="AN82">
            <v>7000</v>
          </cell>
        </row>
        <row r="83">
          <cell r="B83">
            <v>69</v>
          </cell>
          <cell r="C83">
            <v>38329</v>
          </cell>
          <cell r="D83">
            <v>8</v>
          </cell>
          <cell r="E83">
            <v>3416101</v>
          </cell>
          <cell r="F83">
            <v>24</v>
          </cell>
          <cell r="H83">
            <v>787241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2000</v>
          </cell>
          <cell r="N83">
            <v>0</v>
          </cell>
          <cell r="O83">
            <v>5000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787241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2000</v>
          </cell>
          <cell r="AC83">
            <v>0</v>
          </cell>
          <cell r="AD83">
            <v>5000</v>
          </cell>
          <cell r="AE83">
            <v>0</v>
          </cell>
          <cell r="AF83">
            <v>0</v>
          </cell>
          <cell r="AG83">
            <v>0</v>
          </cell>
          <cell r="AI83">
            <v>1</v>
          </cell>
          <cell r="AJ83">
            <v>8</v>
          </cell>
          <cell r="AL83">
            <v>794241</v>
          </cell>
          <cell r="AM83">
            <v>2621860</v>
          </cell>
          <cell r="AN83">
            <v>7000</v>
          </cell>
        </row>
        <row r="84">
          <cell r="B84">
            <v>70</v>
          </cell>
          <cell r="C84">
            <v>38330</v>
          </cell>
          <cell r="D84">
            <v>9</v>
          </cell>
          <cell r="E84">
            <v>3915004</v>
          </cell>
          <cell r="F84">
            <v>25</v>
          </cell>
          <cell r="H84">
            <v>1286144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2000</v>
          </cell>
          <cell r="N84">
            <v>0</v>
          </cell>
          <cell r="O84">
            <v>5000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1286144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2000</v>
          </cell>
          <cell r="AC84">
            <v>0</v>
          </cell>
          <cell r="AD84">
            <v>5000</v>
          </cell>
          <cell r="AE84">
            <v>0</v>
          </cell>
          <cell r="AF84">
            <v>0</v>
          </cell>
          <cell r="AG84">
            <v>0</v>
          </cell>
          <cell r="AI84">
            <v>1</v>
          </cell>
          <cell r="AJ84">
            <v>9</v>
          </cell>
          <cell r="AL84">
            <v>1293144</v>
          </cell>
          <cell r="AM84">
            <v>2621860</v>
          </cell>
          <cell r="AN84">
            <v>7000</v>
          </cell>
        </row>
        <row r="85">
          <cell r="B85">
            <v>71</v>
          </cell>
          <cell r="C85">
            <v>38331</v>
          </cell>
          <cell r="D85">
            <v>10</v>
          </cell>
          <cell r="E85">
            <v>3745651</v>
          </cell>
          <cell r="F85">
            <v>26</v>
          </cell>
          <cell r="H85">
            <v>1116791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2000</v>
          </cell>
          <cell r="N85">
            <v>0</v>
          </cell>
          <cell r="O85">
            <v>5000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1116791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2000</v>
          </cell>
          <cell r="AC85">
            <v>0</v>
          </cell>
          <cell r="AD85">
            <v>5000</v>
          </cell>
          <cell r="AE85">
            <v>0</v>
          </cell>
          <cell r="AF85">
            <v>0</v>
          </cell>
          <cell r="AG85">
            <v>0</v>
          </cell>
          <cell r="AI85">
            <v>1</v>
          </cell>
          <cell r="AJ85">
            <v>10</v>
          </cell>
          <cell r="AL85">
            <v>1123791</v>
          </cell>
          <cell r="AM85">
            <v>2621860</v>
          </cell>
          <cell r="AN85">
            <v>7000</v>
          </cell>
        </row>
        <row r="86">
          <cell r="B86">
            <v>72</v>
          </cell>
          <cell r="C86">
            <v>38332</v>
          </cell>
          <cell r="D86">
            <v>11</v>
          </cell>
          <cell r="E86">
            <v>3482897</v>
          </cell>
          <cell r="F86">
            <v>27</v>
          </cell>
          <cell r="H86">
            <v>854037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2000</v>
          </cell>
          <cell r="N86">
            <v>0</v>
          </cell>
          <cell r="O86">
            <v>5000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854037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2000</v>
          </cell>
          <cell r="AC86">
            <v>0</v>
          </cell>
          <cell r="AD86">
            <v>5000</v>
          </cell>
          <cell r="AE86">
            <v>0</v>
          </cell>
          <cell r="AF86">
            <v>0</v>
          </cell>
          <cell r="AG86">
            <v>0</v>
          </cell>
          <cell r="AI86">
            <v>1</v>
          </cell>
          <cell r="AJ86">
            <v>11</v>
          </cell>
          <cell r="AL86">
            <v>861037</v>
          </cell>
          <cell r="AM86">
            <v>2621860</v>
          </cell>
          <cell r="AN86">
            <v>7000</v>
          </cell>
        </row>
        <row r="87">
          <cell r="B87">
            <v>73</v>
          </cell>
          <cell r="C87">
            <v>38333</v>
          </cell>
          <cell r="D87">
            <v>12</v>
          </cell>
          <cell r="E87">
            <v>2956559</v>
          </cell>
          <cell r="F87">
            <v>29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327699</v>
          </cell>
          <cell r="M87">
            <v>2000</v>
          </cell>
          <cell r="N87">
            <v>0</v>
          </cell>
          <cell r="O87">
            <v>5000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327699</v>
          </cell>
          <cell r="AB87">
            <v>2000</v>
          </cell>
          <cell r="AC87">
            <v>0</v>
          </cell>
          <cell r="AD87">
            <v>5000</v>
          </cell>
          <cell r="AE87">
            <v>0</v>
          </cell>
          <cell r="AF87">
            <v>0</v>
          </cell>
          <cell r="AG87">
            <v>0</v>
          </cell>
          <cell r="AI87">
            <v>1</v>
          </cell>
          <cell r="AJ87">
            <v>12</v>
          </cell>
          <cell r="AL87">
            <v>334699</v>
          </cell>
          <cell r="AM87">
            <v>2621860</v>
          </cell>
          <cell r="AN87">
            <v>7000</v>
          </cell>
        </row>
        <row r="88">
          <cell r="B88">
            <v>74</v>
          </cell>
          <cell r="C88">
            <v>38334</v>
          </cell>
          <cell r="D88">
            <v>13</v>
          </cell>
          <cell r="E88">
            <v>3299865</v>
          </cell>
          <cell r="F88">
            <v>30</v>
          </cell>
          <cell r="H88">
            <v>671005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2000</v>
          </cell>
          <cell r="N88">
            <v>0</v>
          </cell>
          <cell r="O88">
            <v>5000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671005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2000</v>
          </cell>
          <cell r="AC88">
            <v>0</v>
          </cell>
          <cell r="AD88">
            <v>5000</v>
          </cell>
          <cell r="AE88">
            <v>0</v>
          </cell>
          <cell r="AF88">
            <v>0</v>
          </cell>
          <cell r="AG88">
            <v>0</v>
          </cell>
          <cell r="AI88">
            <v>1</v>
          </cell>
          <cell r="AJ88">
            <v>13</v>
          </cell>
          <cell r="AL88">
            <v>678005</v>
          </cell>
          <cell r="AM88">
            <v>2621860</v>
          </cell>
          <cell r="AN88">
            <v>7000</v>
          </cell>
        </row>
        <row r="89">
          <cell r="B89">
            <v>75</v>
          </cell>
          <cell r="C89">
            <v>38335</v>
          </cell>
          <cell r="D89">
            <v>14</v>
          </cell>
          <cell r="E89">
            <v>3784197</v>
          </cell>
          <cell r="F89">
            <v>32</v>
          </cell>
          <cell r="H89">
            <v>1155337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2000</v>
          </cell>
          <cell r="N89">
            <v>0</v>
          </cell>
          <cell r="O89">
            <v>5000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1155337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2000</v>
          </cell>
          <cell r="AC89">
            <v>0</v>
          </cell>
          <cell r="AD89">
            <v>5000</v>
          </cell>
          <cell r="AE89">
            <v>0</v>
          </cell>
          <cell r="AF89">
            <v>0</v>
          </cell>
          <cell r="AG89">
            <v>0</v>
          </cell>
          <cell r="AI89">
            <v>1</v>
          </cell>
          <cell r="AJ89">
            <v>14</v>
          </cell>
          <cell r="AL89">
            <v>1162337</v>
          </cell>
          <cell r="AM89">
            <v>2621860</v>
          </cell>
          <cell r="AN89">
            <v>7000</v>
          </cell>
        </row>
        <row r="90">
          <cell r="B90">
            <v>76</v>
          </cell>
          <cell r="C90">
            <v>38336</v>
          </cell>
          <cell r="D90">
            <v>15</v>
          </cell>
          <cell r="E90">
            <v>4053264</v>
          </cell>
          <cell r="F90">
            <v>35</v>
          </cell>
          <cell r="H90">
            <v>964104</v>
          </cell>
          <cell r="I90">
            <v>0</v>
          </cell>
          <cell r="J90">
            <v>0</v>
          </cell>
          <cell r="K90">
            <v>0</v>
          </cell>
          <cell r="L90">
            <v>460300</v>
          </cell>
          <cell r="M90">
            <v>2000</v>
          </cell>
          <cell r="N90">
            <v>0</v>
          </cell>
          <cell r="O90">
            <v>5000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964104</v>
          </cell>
          <cell r="X90">
            <v>0</v>
          </cell>
          <cell r="Y90">
            <v>0</v>
          </cell>
          <cell r="Z90">
            <v>0</v>
          </cell>
          <cell r="AA90">
            <v>460300</v>
          </cell>
          <cell r="AB90">
            <v>2000</v>
          </cell>
          <cell r="AC90">
            <v>0</v>
          </cell>
          <cell r="AD90">
            <v>5000</v>
          </cell>
          <cell r="AE90">
            <v>0</v>
          </cell>
          <cell r="AF90">
            <v>0</v>
          </cell>
          <cell r="AG90">
            <v>0</v>
          </cell>
          <cell r="AI90">
            <v>1</v>
          </cell>
          <cell r="AJ90">
            <v>15</v>
          </cell>
          <cell r="AL90">
            <v>1431404</v>
          </cell>
          <cell r="AM90">
            <v>2621860</v>
          </cell>
          <cell r="AN90">
            <v>7000</v>
          </cell>
        </row>
        <row r="91">
          <cell r="B91">
            <v>77</v>
          </cell>
          <cell r="C91">
            <v>38337</v>
          </cell>
          <cell r="D91">
            <v>16</v>
          </cell>
          <cell r="E91">
            <v>3604923</v>
          </cell>
          <cell r="F91">
            <v>42</v>
          </cell>
          <cell r="H91">
            <v>976063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2000</v>
          </cell>
          <cell r="N91">
            <v>0</v>
          </cell>
          <cell r="O91">
            <v>5000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976063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2000</v>
          </cell>
          <cell r="AC91">
            <v>0</v>
          </cell>
          <cell r="AD91">
            <v>5000</v>
          </cell>
          <cell r="AE91">
            <v>0</v>
          </cell>
          <cell r="AF91">
            <v>0</v>
          </cell>
          <cell r="AG91">
            <v>0</v>
          </cell>
          <cell r="AI91">
            <v>1</v>
          </cell>
          <cell r="AJ91">
            <v>16</v>
          </cell>
          <cell r="AL91">
            <v>983063</v>
          </cell>
          <cell r="AM91">
            <v>2621860</v>
          </cell>
          <cell r="AN91">
            <v>7000</v>
          </cell>
        </row>
        <row r="92">
          <cell r="B92">
            <v>78</v>
          </cell>
          <cell r="C92">
            <v>38338</v>
          </cell>
          <cell r="D92">
            <v>17</v>
          </cell>
          <cell r="E92">
            <v>3530824</v>
          </cell>
          <cell r="F92">
            <v>37</v>
          </cell>
          <cell r="H92">
            <v>441664</v>
          </cell>
          <cell r="I92">
            <v>0</v>
          </cell>
          <cell r="J92">
            <v>0</v>
          </cell>
          <cell r="K92">
            <v>0</v>
          </cell>
          <cell r="L92">
            <v>460300</v>
          </cell>
          <cell r="M92">
            <v>2000</v>
          </cell>
          <cell r="N92">
            <v>0</v>
          </cell>
          <cell r="O92">
            <v>5000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441664</v>
          </cell>
          <cell r="X92">
            <v>0</v>
          </cell>
          <cell r="Y92">
            <v>0</v>
          </cell>
          <cell r="Z92">
            <v>0</v>
          </cell>
          <cell r="AA92">
            <v>460300</v>
          </cell>
          <cell r="AB92">
            <v>2000</v>
          </cell>
          <cell r="AC92">
            <v>0</v>
          </cell>
          <cell r="AD92">
            <v>5000</v>
          </cell>
          <cell r="AE92">
            <v>0</v>
          </cell>
          <cell r="AF92">
            <v>0</v>
          </cell>
          <cell r="AG92">
            <v>0</v>
          </cell>
          <cell r="AI92">
            <v>1</v>
          </cell>
          <cell r="AJ92">
            <v>17</v>
          </cell>
          <cell r="AL92">
            <v>908964</v>
          </cell>
          <cell r="AM92">
            <v>2621860</v>
          </cell>
          <cell r="AN92">
            <v>7000</v>
          </cell>
        </row>
        <row r="93">
          <cell r="B93">
            <v>79</v>
          </cell>
          <cell r="C93">
            <v>38339</v>
          </cell>
          <cell r="D93">
            <v>18</v>
          </cell>
          <cell r="E93">
            <v>3704022</v>
          </cell>
          <cell r="F93">
            <v>33</v>
          </cell>
          <cell r="H93">
            <v>1075162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2000</v>
          </cell>
          <cell r="N93">
            <v>0</v>
          </cell>
          <cell r="O93">
            <v>5000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1075162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2000</v>
          </cell>
          <cell r="AC93">
            <v>0</v>
          </cell>
          <cell r="AD93">
            <v>5000</v>
          </cell>
          <cell r="AE93">
            <v>0</v>
          </cell>
          <cell r="AF93">
            <v>0</v>
          </cell>
          <cell r="AG93">
            <v>0</v>
          </cell>
          <cell r="AI93">
            <v>1</v>
          </cell>
          <cell r="AJ93">
            <v>18</v>
          </cell>
          <cell r="AL93">
            <v>1082162</v>
          </cell>
          <cell r="AM93">
            <v>2621860</v>
          </cell>
          <cell r="AN93">
            <v>7000</v>
          </cell>
        </row>
        <row r="94">
          <cell r="B94">
            <v>80</v>
          </cell>
          <cell r="C94">
            <v>38340</v>
          </cell>
          <cell r="D94">
            <v>19</v>
          </cell>
          <cell r="E94">
            <v>3510918</v>
          </cell>
          <cell r="F94">
            <v>31</v>
          </cell>
          <cell r="H94">
            <v>882058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2000</v>
          </cell>
          <cell r="N94">
            <v>0</v>
          </cell>
          <cell r="O94">
            <v>5000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882058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2000</v>
          </cell>
          <cell r="AC94">
            <v>0</v>
          </cell>
          <cell r="AD94">
            <v>5000</v>
          </cell>
          <cell r="AE94">
            <v>0</v>
          </cell>
          <cell r="AF94">
            <v>0</v>
          </cell>
          <cell r="AG94">
            <v>0</v>
          </cell>
          <cell r="AI94">
            <v>1</v>
          </cell>
          <cell r="AJ94">
            <v>19</v>
          </cell>
          <cell r="AL94">
            <v>889058</v>
          </cell>
          <cell r="AM94">
            <v>2621860</v>
          </cell>
          <cell r="AN94">
            <v>7000</v>
          </cell>
        </row>
        <row r="95">
          <cell r="B95">
            <v>81</v>
          </cell>
          <cell r="C95">
            <v>38341</v>
          </cell>
          <cell r="D95">
            <v>20</v>
          </cell>
          <cell r="E95">
            <v>2797735</v>
          </cell>
          <cell r="F95">
            <v>30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168875</v>
          </cell>
          <cell r="M95">
            <v>2000</v>
          </cell>
          <cell r="N95">
            <v>0</v>
          </cell>
          <cell r="O95">
            <v>5000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168875</v>
          </cell>
          <cell r="AB95">
            <v>2000</v>
          </cell>
          <cell r="AC95">
            <v>0</v>
          </cell>
          <cell r="AD95">
            <v>5000</v>
          </cell>
          <cell r="AE95">
            <v>0</v>
          </cell>
          <cell r="AF95">
            <v>0</v>
          </cell>
          <cell r="AG95">
            <v>0</v>
          </cell>
          <cell r="AI95">
            <v>1</v>
          </cell>
          <cell r="AJ95">
            <v>20</v>
          </cell>
          <cell r="AL95">
            <v>175875</v>
          </cell>
          <cell r="AM95">
            <v>2621860</v>
          </cell>
          <cell r="AN95">
            <v>7000</v>
          </cell>
        </row>
        <row r="96">
          <cell r="B96">
            <v>82</v>
          </cell>
          <cell r="C96">
            <v>38342</v>
          </cell>
          <cell r="D96">
            <v>21</v>
          </cell>
          <cell r="E96">
            <v>2839622</v>
          </cell>
          <cell r="F96">
            <v>28</v>
          </cell>
          <cell r="H96">
            <v>210762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2000</v>
          </cell>
          <cell r="N96">
            <v>0</v>
          </cell>
          <cell r="O96">
            <v>5000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210762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2000</v>
          </cell>
          <cell r="AC96">
            <v>0</v>
          </cell>
          <cell r="AD96">
            <v>5000</v>
          </cell>
          <cell r="AE96">
            <v>0</v>
          </cell>
          <cell r="AF96">
            <v>0</v>
          </cell>
          <cell r="AG96">
            <v>0</v>
          </cell>
          <cell r="AI96">
            <v>1</v>
          </cell>
          <cell r="AJ96">
            <v>21</v>
          </cell>
          <cell r="AL96">
            <v>217762</v>
          </cell>
          <cell r="AM96">
            <v>2621860</v>
          </cell>
          <cell r="AN96">
            <v>7000</v>
          </cell>
        </row>
        <row r="97">
          <cell r="B97">
            <v>83</v>
          </cell>
          <cell r="C97">
            <v>38343</v>
          </cell>
          <cell r="D97">
            <v>22</v>
          </cell>
          <cell r="E97">
            <v>3726167</v>
          </cell>
          <cell r="F97">
            <v>27</v>
          </cell>
          <cell r="H97">
            <v>1097307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2000</v>
          </cell>
          <cell r="N97">
            <v>0</v>
          </cell>
          <cell r="O97">
            <v>5000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1097307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2000</v>
          </cell>
          <cell r="AC97">
            <v>0</v>
          </cell>
          <cell r="AD97">
            <v>5000</v>
          </cell>
          <cell r="AE97">
            <v>0</v>
          </cell>
          <cell r="AF97">
            <v>0</v>
          </cell>
          <cell r="AG97">
            <v>0</v>
          </cell>
          <cell r="AI97">
            <v>1</v>
          </cell>
          <cell r="AJ97">
            <v>22</v>
          </cell>
          <cell r="AL97">
            <v>1104307</v>
          </cell>
          <cell r="AM97">
            <v>2621860</v>
          </cell>
          <cell r="AN97">
            <v>7000</v>
          </cell>
        </row>
        <row r="98">
          <cell r="B98">
            <v>84</v>
          </cell>
          <cell r="C98">
            <v>38344</v>
          </cell>
          <cell r="D98">
            <v>23</v>
          </cell>
          <cell r="E98">
            <v>3382566</v>
          </cell>
          <cell r="F98">
            <v>26</v>
          </cell>
          <cell r="H98">
            <v>293406</v>
          </cell>
          <cell r="I98">
            <v>0</v>
          </cell>
          <cell r="J98">
            <v>0</v>
          </cell>
          <cell r="K98">
            <v>0</v>
          </cell>
          <cell r="L98">
            <v>460300</v>
          </cell>
          <cell r="M98">
            <v>2000</v>
          </cell>
          <cell r="N98">
            <v>0</v>
          </cell>
          <cell r="O98">
            <v>5000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293406</v>
          </cell>
          <cell r="X98">
            <v>0</v>
          </cell>
          <cell r="Y98">
            <v>0</v>
          </cell>
          <cell r="Z98">
            <v>0</v>
          </cell>
          <cell r="AA98">
            <v>460300</v>
          </cell>
          <cell r="AB98">
            <v>2000</v>
          </cell>
          <cell r="AC98">
            <v>0</v>
          </cell>
          <cell r="AD98">
            <v>5000</v>
          </cell>
          <cell r="AE98">
            <v>0</v>
          </cell>
          <cell r="AF98">
            <v>0</v>
          </cell>
          <cell r="AG98">
            <v>0</v>
          </cell>
          <cell r="AI98">
            <v>1</v>
          </cell>
          <cell r="AJ98">
            <v>23</v>
          </cell>
          <cell r="AL98">
            <v>760706</v>
          </cell>
          <cell r="AM98">
            <v>2621860</v>
          </cell>
          <cell r="AN98">
            <v>7000</v>
          </cell>
        </row>
        <row r="99">
          <cell r="B99">
            <v>85</v>
          </cell>
          <cell r="C99">
            <v>38345</v>
          </cell>
          <cell r="D99">
            <v>24</v>
          </cell>
          <cell r="E99">
            <v>3085886</v>
          </cell>
          <cell r="F99">
            <v>24</v>
          </cell>
          <cell r="H99">
            <v>457026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2000</v>
          </cell>
          <cell r="N99">
            <v>0</v>
          </cell>
          <cell r="O99">
            <v>5000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457026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2000</v>
          </cell>
          <cell r="AC99">
            <v>0</v>
          </cell>
          <cell r="AD99">
            <v>5000</v>
          </cell>
          <cell r="AE99">
            <v>0</v>
          </cell>
          <cell r="AF99">
            <v>0</v>
          </cell>
          <cell r="AG99">
            <v>0</v>
          </cell>
          <cell r="AI99">
            <v>1</v>
          </cell>
          <cell r="AJ99">
            <v>24</v>
          </cell>
          <cell r="AL99">
            <v>464026</v>
          </cell>
          <cell r="AM99">
            <v>2621860</v>
          </cell>
          <cell r="AN99">
            <v>7000</v>
          </cell>
        </row>
        <row r="100">
          <cell r="B100">
            <v>86</v>
          </cell>
          <cell r="C100">
            <v>38346</v>
          </cell>
          <cell r="D100">
            <v>25</v>
          </cell>
          <cell r="E100">
            <v>3338195</v>
          </cell>
          <cell r="F100">
            <v>23</v>
          </cell>
          <cell r="H100">
            <v>709335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2000</v>
          </cell>
          <cell r="N100">
            <v>0</v>
          </cell>
          <cell r="O100">
            <v>5000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709335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2000</v>
          </cell>
          <cell r="AC100">
            <v>0</v>
          </cell>
          <cell r="AD100">
            <v>5000</v>
          </cell>
          <cell r="AE100">
            <v>0</v>
          </cell>
          <cell r="AF100">
            <v>0</v>
          </cell>
          <cell r="AG100">
            <v>0</v>
          </cell>
          <cell r="AI100">
            <v>1</v>
          </cell>
          <cell r="AJ100">
            <v>25</v>
          </cell>
          <cell r="AL100">
            <v>716335</v>
          </cell>
          <cell r="AM100">
            <v>2621860</v>
          </cell>
          <cell r="AN100">
            <v>7000</v>
          </cell>
        </row>
        <row r="101">
          <cell r="B101">
            <v>87</v>
          </cell>
          <cell r="C101">
            <v>38347</v>
          </cell>
          <cell r="D101">
            <v>26</v>
          </cell>
          <cell r="E101">
            <v>3869917</v>
          </cell>
          <cell r="F101">
            <v>22</v>
          </cell>
          <cell r="H101">
            <v>1241057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2000</v>
          </cell>
          <cell r="N101">
            <v>0</v>
          </cell>
          <cell r="O101">
            <v>5000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1241057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2000</v>
          </cell>
          <cell r="AC101">
            <v>0</v>
          </cell>
          <cell r="AD101">
            <v>5000</v>
          </cell>
          <cell r="AE101">
            <v>0</v>
          </cell>
          <cell r="AF101">
            <v>0</v>
          </cell>
          <cell r="AG101">
            <v>0</v>
          </cell>
          <cell r="AI101">
            <v>1</v>
          </cell>
          <cell r="AJ101">
            <v>26</v>
          </cell>
          <cell r="AL101">
            <v>1248057</v>
          </cell>
          <cell r="AM101">
            <v>2621860</v>
          </cell>
          <cell r="AN101">
            <v>7000</v>
          </cell>
        </row>
        <row r="102">
          <cell r="B102">
            <v>88</v>
          </cell>
          <cell r="C102">
            <v>38348</v>
          </cell>
          <cell r="D102">
            <v>27</v>
          </cell>
          <cell r="E102">
            <v>3852678</v>
          </cell>
          <cell r="F102">
            <v>21</v>
          </cell>
          <cell r="H102">
            <v>1223818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2000</v>
          </cell>
          <cell r="N102">
            <v>0</v>
          </cell>
          <cell r="O102">
            <v>5000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1223818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2000</v>
          </cell>
          <cell r="AC102">
            <v>0</v>
          </cell>
          <cell r="AD102">
            <v>5000</v>
          </cell>
          <cell r="AE102">
            <v>0</v>
          </cell>
          <cell r="AF102">
            <v>0</v>
          </cell>
          <cell r="AG102">
            <v>0</v>
          </cell>
          <cell r="AI102">
            <v>1</v>
          </cell>
          <cell r="AJ102">
            <v>27</v>
          </cell>
          <cell r="AL102">
            <v>1230818</v>
          </cell>
          <cell r="AM102">
            <v>2621860</v>
          </cell>
          <cell r="AN102">
            <v>7000</v>
          </cell>
        </row>
        <row r="103">
          <cell r="B103">
            <v>89</v>
          </cell>
          <cell r="C103">
            <v>38349</v>
          </cell>
          <cell r="D103">
            <v>28</v>
          </cell>
          <cell r="E103">
            <v>3958487</v>
          </cell>
          <cell r="F103">
            <v>20</v>
          </cell>
          <cell r="H103">
            <v>1329627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2000</v>
          </cell>
          <cell r="N103">
            <v>0</v>
          </cell>
          <cell r="O103">
            <v>5000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1329627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2000</v>
          </cell>
          <cell r="AC103">
            <v>0</v>
          </cell>
          <cell r="AD103">
            <v>5000</v>
          </cell>
          <cell r="AE103">
            <v>0</v>
          </cell>
          <cell r="AF103">
            <v>0</v>
          </cell>
          <cell r="AG103">
            <v>0</v>
          </cell>
          <cell r="AI103">
            <v>1</v>
          </cell>
          <cell r="AJ103">
            <v>28</v>
          </cell>
          <cell r="AL103">
            <v>1336627</v>
          </cell>
          <cell r="AM103">
            <v>2621860</v>
          </cell>
          <cell r="AN103">
            <v>7000</v>
          </cell>
        </row>
        <row r="104">
          <cell r="B104">
            <v>90</v>
          </cell>
          <cell r="C104">
            <v>38350</v>
          </cell>
          <cell r="D104">
            <v>29</v>
          </cell>
          <cell r="E104">
            <v>4941398</v>
          </cell>
          <cell r="F104">
            <v>19</v>
          </cell>
          <cell r="H104">
            <v>2113935</v>
          </cell>
          <cell r="I104">
            <v>0</v>
          </cell>
          <cell r="J104">
            <v>0</v>
          </cell>
          <cell r="K104">
            <v>0</v>
          </cell>
          <cell r="L104">
            <v>198603</v>
          </cell>
          <cell r="M104">
            <v>2000</v>
          </cell>
          <cell r="N104">
            <v>0</v>
          </cell>
          <cell r="O104">
            <v>5000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2113935</v>
          </cell>
          <cell r="X104">
            <v>0</v>
          </cell>
          <cell r="Y104">
            <v>0</v>
          </cell>
          <cell r="Z104">
            <v>0</v>
          </cell>
          <cell r="AA104">
            <v>198603</v>
          </cell>
          <cell r="AB104">
            <v>2000</v>
          </cell>
          <cell r="AC104">
            <v>0</v>
          </cell>
          <cell r="AD104">
            <v>5000</v>
          </cell>
          <cell r="AE104">
            <v>0</v>
          </cell>
          <cell r="AF104">
            <v>0</v>
          </cell>
          <cell r="AG104">
            <v>0</v>
          </cell>
          <cell r="AI104">
            <v>1</v>
          </cell>
          <cell r="AJ104">
            <v>29</v>
          </cell>
          <cell r="AL104">
            <v>2319538</v>
          </cell>
          <cell r="AM104">
            <v>2621860</v>
          </cell>
          <cell r="AN104">
            <v>7000</v>
          </cell>
        </row>
        <row r="105">
          <cell r="B105">
            <v>91</v>
          </cell>
          <cell r="C105">
            <v>38351</v>
          </cell>
          <cell r="D105">
            <v>30</v>
          </cell>
          <cell r="E105">
            <v>5110516</v>
          </cell>
          <cell r="F105">
            <v>17</v>
          </cell>
          <cell r="H105">
            <v>2020643</v>
          </cell>
          <cell r="I105">
            <v>0</v>
          </cell>
          <cell r="J105">
            <v>0</v>
          </cell>
          <cell r="K105">
            <v>0</v>
          </cell>
          <cell r="L105">
            <v>258459</v>
          </cell>
          <cell r="M105">
            <v>2000</v>
          </cell>
          <cell r="N105">
            <v>0</v>
          </cell>
          <cell r="O105">
            <v>5000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2020643</v>
          </cell>
          <cell r="X105">
            <v>0</v>
          </cell>
          <cell r="Y105">
            <v>0</v>
          </cell>
          <cell r="Z105">
            <v>0</v>
          </cell>
          <cell r="AA105">
            <v>258459</v>
          </cell>
          <cell r="AB105">
            <v>2000</v>
          </cell>
          <cell r="AC105">
            <v>0</v>
          </cell>
          <cell r="AD105">
            <v>5000</v>
          </cell>
          <cell r="AE105">
            <v>0</v>
          </cell>
          <cell r="AF105">
            <v>0</v>
          </cell>
          <cell r="AG105">
            <v>0</v>
          </cell>
          <cell r="AI105">
            <v>1</v>
          </cell>
          <cell r="AJ105">
            <v>30</v>
          </cell>
          <cell r="AL105">
            <v>2286102</v>
          </cell>
          <cell r="AM105">
            <v>2824414</v>
          </cell>
          <cell r="AN105">
            <v>7000</v>
          </cell>
        </row>
        <row r="106">
          <cell r="B106">
            <v>92</v>
          </cell>
          <cell r="C106">
            <v>38352</v>
          </cell>
          <cell r="D106">
            <v>31</v>
          </cell>
          <cell r="E106">
            <v>4414376</v>
          </cell>
          <cell r="F106">
            <v>14</v>
          </cell>
          <cell r="H106">
            <v>1785516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2000</v>
          </cell>
          <cell r="N106">
            <v>0</v>
          </cell>
          <cell r="O106">
            <v>5000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1785516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2000</v>
          </cell>
          <cell r="AC106">
            <v>0</v>
          </cell>
          <cell r="AD106">
            <v>5000</v>
          </cell>
          <cell r="AE106">
            <v>0</v>
          </cell>
          <cell r="AF106">
            <v>0</v>
          </cell>
          <cell r="AG106">
            <v>0</v>
          </cell>
          <cell r="AI106">
            <v>1</v>
          </cell>
          <cell r="AJ106">
            <v>31</v>
          </cell>
          <cell r="AL106">
            <v>1792516</v>
          </cell>
          <cell r="AM106">
            <v>2621860</v>
          </cell>
          <cell r="AN106">
            <v>7000</v>
          </cell>
        </row>
        <row r="107">
          <cell r="B107">
            <v>93</v>
          </cell>
          <cell r="C107">
            <v>38353</v>
          </cell>
          <cell r="D107">
            <v>1</v>
          </cell>
          <cell r="E107">
            <v>4593120</v>
          </cell>
          <cell r="F107">
            <v>9</v>
          </cell>
          <cell r="H107">
            <v>1863789</v>
          </cell>
          <cell r="I107">
            <v>0</v>
          </cell>
          <cell r="J107">
            <v>0</v>
          </cell>
          <cell r="K107">
            <v>0</v>
          </cell>
          <cell r="L107">
            <v>100471</v>
          </cell>
          <cell r="M107">
            <v>2000</v>
          </cell>
          <cell r="N107">
            <v>0</v>
          </cell>
          <cell r="O107">
            <v>5000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1863789</v>
          </cell>
          <cell r="X107">
            <v>0</v>
          </cell>
          <cell r="Y107">
            <v>0</v>
          </cell>
          <cell r="Z107">
            <v>0</v>
          </cell>
          <cell r="AA107">
            <v>100471</v>
          </cell>
          <cell r="AB107">
            <v>2000</v>
          </cell>
          <cell r="AC107">
            <v>0</v>
          </cell>
          <cell r="AD107">
            <v>5000</v>
          </cell>
          <cell r="AE107">
            <v>0</v>
          </cell>
          <cell r="AF107">
            <v>0</v>
          </cell>
          <cell r="AG107">
            <v>0</v>
          </cell>
          <cell r="AI107">
            <v>2</v>
          </cell>
          <cell r="AJ107">
            <v>1</v>
          </cell>
          <cell r="AL107">
            <v>1971260</v>
          </cell>
          <cell r="AM107">
            <v>2621860</v>
          </cell>
          <cell r="AN107">
            <v>7000</v>
          </cell>
        </row>
        <row r="108">
          <cell r="B108">
            <v>94</v>
          </cell>
          <cell r="C108">
            <v>38354</v>
          </cell>
          <cell r="D108">
            <v>2</v>
          </cell>
          <cell r="E108">
            <v>3327854</v>
          </cell>
          <cell r="F108">
            <v>14</v>
          </cell>
          <cell r="H108">
            <v>698994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2000</v>
          </cell>
          <cell r="N108">
            <v>0</v>
          </cell>
          <cell r="O108">
            <v>5000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698994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2000</v>
          </cell>
          <cell r="AC108">
            <v>0</v>
          </cell>
          <cell r="AD108">
            <v>5000</v>
          </cell>
          <cell r="AE108">
            <v>0</v>
          </cell>
          <cell r="AF108">
            <v>0</v>
          </cell>
          <cell r="AG108">
            <v>0</v>
          </cell>
          <cell r="AI108">
            <v>2</v>
          </cell>
          <cell r="AJ108">
            <v>2</v>
          </cell>
          <cell r="AL108">
            <v>705994</v>
          </cell>
          <cell r="AM108">
            <v>2621860</v>
          </cell>
          <cell r="AN108">
            <v>7000</v>
          </cell>
        </row>
        <row r="109">
          <cell r="B109">
            <v>95</v>
          </cell>
          <cell r="C109">
            <v>38355</v>
          </cell>
          <cell r="D109">
            <v>3</v>
          </cell>
          <cell r="E109">
            <v>4385615</v>
          </cell>
          <cell r="F109">
            <v>16</v>
          </cell>
          <cell r="H109">
            <v>1756755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2000</v>
          </cell>
          <cell r="N109">
            <v>0</v>
          </cell>
          <cell r="O109">
            <v>5000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1756755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2000</v>
          </cell>
          <cell r="AC109">
            <v>0</v>
          </cell>
          <cell r="AD109">
            <v>5000</v>
          </cell>
          <cell r="AE109">
            <v>0</v>
          </cell>
          <cell r="AF109">
            <v>0</v>
          </cell>
          <cell r="AG109">
            <v>0</v>
          </cell>
          <cell r="AI109">
            <v>2</v>
          </cell>
          <cell r="AJ109">
            <v>3</v>
          </cell>
          <cell r="AL109">
            <v>1763755</v>
          </cell>
          <cell r="AM109">
            <v>2621860</v>
          </cell>
          <cell r="AN109">
            <v>7000</v>
          </cell>
        </row>
        <row r="110">
          <cell r="B110">
            <v>96</v>
          </cell>
          <cell r="C110">
            <v>38356</v>
          </cell>
          <cell r="D110">
            <v>4</v>
          </cell>
          <cell r="E110">
            <v>5825575</v>
          </cell>
          <cell r="F110">
            <v>17</v>
          </cell>
          <cell r="H110">
            <v>1695587</v>
          </cell>
          <cell r="I110">
            <v>0</v>
          </cell>
          <cell r="J110">
            <v>0</v>
          </cell>
          <cell r="K110">
            <v>0</v>
          </cell>
          <cell r="L110">
            <v>460300</v>
          </cell>
          <cell r="M110">
            <v>2000</v>
          </cell>
          <cell r="N110">
            <v>46345</v>
          </cell>
          <cell r="O110">
            <v>5000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1695587</v>
          </cell>
          <cell r="X110">
            <v>0</v>
          </cell>
          <cell r="Y110">
            <v>0</v>
          </cell>
          <cell r="Z110">
            <v>0</v>
          </cell>
          <cell r="AA110">
            <v>460300</v>
          </cell>
          <cell r="AB110">
            <v>2000</v>
          </cell>
          <cell r="AC110">
            <v>46345</v>
          </cell>
          <cell r="AD110">
            <v>5000</v>
          </cell>
          <cell r="AE110">
            <v>0</v>
          </cell>
          <cell r="AF110">
            <v>0</v>
          </cell>
          <cell r="AG110">
            <v>0</v>
          </cell>
          <cell r="AI110">
            <v>2</v>
          </cell>
          <cell r="AJ110">
            <v>4</v>
          </cell>
          <cell r="AL110">
            <v>2209232</v>
          </cell>
          <cell r="AM110">
            <v>3616343</v>
          </cell>
          <cell r="AN110">
            <v>7000</v>
          </cell>
        </row>
        <row r="111">
          <cell r="B111">
            <v>97</v>
          </cell>
          <cell r="C111">
            <v>38357</v>
          </cell>
          <cell r="D111">
            <v>5</v>
          </cell>
          <cell r="E111">
            <v>7469228</v>
          </cell>
          <cell r="F111">
            <v>18</v>
          </cell>
          <cell r="H111">
            <v>1628224</v>
          </cell>
          <cell r="I111">
            <v>0</v>
          </cell>
          <cell r="J111">
            <v>0</v>
          </cell>
          <cell r="K111">
            <v>0</v>
          </cell>
          <cell r="L111">
            <v>460300</v>
          </cell>
          <cell r="M111">
            <v>350198</v>
          </cell>
          <cell r="N111">
            <v>601000</v>
          </cell>
          <cell r="O111">
            <v>600000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1628224</v>
          </cell>
          <cell r="X111">
            <v>0</v>
          </cell>
          <cell r="Y111">
            <v>0</v>
          </cell>
          <cell r="Z111">
            <v>0</v>
          </cell>
          <cell r="AA111">
            <v>460300</v>
          </cell>
          <cell r="AB111">
            <v>350198</v>
          </cell>
          <cell r="AC111">
            <v>601000</v>
          </cell>
          <cell r="AD111">
            <v>600000</v>
          </cell>
          <cell r="AE111">
            <v>0</v>
          </cell>
          <cell r="AF111">
            <v>0</v>
          </cell>
          <cell r="AG111">
            <v>0</v>
          </cell>
          <cell r="AI111">
            <v>2</v>
          </cell>
          <cell r="AJ111">
            <v>5</v>
          </cell>
          <cell r="AL111">
            <v>3639722</v>
          </cell>
          <cell r="AM111">
            <v>3829506</v>
          </cell>
          <cell r="AN111">
            <v>7000</v>
          </cell>
        </row>
        <row r="112">
          <cell r="B112">
            <v>98</v>
          </cell>
          <cell r="C112">
            <v>38358</v>
          </cell>
          <cell r="D112">
            <v>6</v>
          </cell>
          <cell r="E112">
            <v>6845217</v>
          </cell>
          <cell r="F112">
            <v>19</v>
          </cell>
          <cell r="H112">
            <v>1562473</v>
          </cell>
          <cell r="I112">
            <v>0</v>
          </cell>
          <cell r="J112">
            <v>0</v>
          </cell>
          <cell r="K112">
            <v>0</v>
          </cell>
          <cell r="L112">
            <v>460300</v>
          </cell>
          <cell r="M112">
            <v>136380</v>
          </cell>
          <cell r="N112">
            <v>601000</v>
          </cell>
          <cell r="O112">
            <v>600000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1562473</v>
          </cell>
          <cell r="X112">
            <v>0</v>
          </cell>
          <cell r="Y112">
            <v>0</v>
          </cell>
          <cell r="Z112">
            <v>0</v>
          </cell>
          <cell r="AA112">
            <v>460300</v>
          </cell>
          <cell r="AB112">
            <v>136380</v>
          </cell>
          <cell r="AC112">
            <v>601000</v>
          </cell>
          <cell r="AD112">
            <v>600000</v>
          </cell>
          <cell r="AE112">
            <v>0</v>
          </cell>
          <cell r="AF112">
            <v>0</v>
          </cell>
          <cell r="AG112">
            <v>0</v>
          </cell>
          <cell r="AI112">
            <v>2</v>
          </cell>
          <cell r="AJ112">
            <v>6</v>
          </cell>
          <cell r="AL112">
            <v>3360153</v>
          </cell>
          <cell r="AM112">
            <v>3485064</v>
          </cell>
          <cell r="AN112">
            <v>7000</v>
          </cell>
        </row>
        <row r="113">
          <cell r="B113">
            <v>99</v>
          </cell>
          <cell r="C113">
            <v>38359</v>
          </cell>
          <cell r="D113">
            <v>7</v>
          </cell>
          <cell r="E113">
            <v>5509779</v>
          </cell>
          <cell r="F113">
            <v>20</v>
          </cell>
          <cell r="H113">
            <v>1499377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2000</v>
          </cell>
          <cell r="N113">
            <v>0</v>
          </cell>
          <cell r="O113">
            <v>5000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1499377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2000</v>
          </cell>
          <cell r="AC113">
            <v>0</v>
          </cell>
          <cell r="AD113">
            <v>5000</v>
          </cell>
          <cell r="AE113">
            <v>0</v>
          </cell>
          <cell r="AF113">
            <v>0</v>
          </cell>
          <cell r="AG113">
            <v>0</v>
          </cell>
          <cell r="AI113">
            <v>2</v>
          </cell>
          <cell r="AJ113">
            <v>7</v>
          </cell>
          <cell r="AL113">
            <v>1506377</v>
          </cell>
          <cell r="AM113">
            <v>4003402</v>
          </cell>
          <cell r="AN113">
            <v>7000</v>
          </cell>
        </row>
        <row r="114">
          <cell r="B114">
            <v>100</v>
          </cell>
          <cell r="C114">
            <v>38360</v>
          </cell>
          <cell r="D114">
            <v>8</v>
          </cell>
          <cell r="E114">
            <v>5084299</v>
          </cell>
          <cell r="F114">
            <v>21</v>
          </cell>
          <cell r="H114">
            <v>1438829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2000</v>
          </cell>
          <cell r="N114">
            <v>0</v>
          </cell>
          <cell r="O114">
            <v>5000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1438829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2000</v>
          </cell>
          <cell r="AC114">
            <v>0</v>
          </cell>
          <cell r="AD114">
            <v>5000</v>
          </cell>
          <cell r="AE114">
            <v>0</v>
          </cell>
          <cell r="AF114">
            <v>0</v>
          </cell>
          <cell r="AG114">
            <v>0</v>
          </cell>
          <cell r="AI114">
            <v>2</v>
          </cell>
          <cell r="AJ114">
            <v>8</v>
          </cell>
          <cell r="AL114">
            <v>1445829</v>
          </cell>
          <cell r="AM114">
            <v>3638470</v>
          </cell>
          <cell r="AN114">
            <v>7000</v>
          </cell>
        </row>
        <row r="115">
          <cell r="B115">
            <v>101</v>
          </cell>
          <cell r="C115">
            <v>38361</v>
          </cell>
          <cell r="D115">
            <v>9</v>
          </cell>
          <cell r="E115">
            <v>4347253</v>
          </cell>
          <cell r="F115">
            <v>22</v>
          </cell>
          <cell r="H115">
            <v>1380726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2000</v>
          </cell>
          <cell r="N115">
            <v>0</v>
          </cell>
          <cell r="O115">
            <v>5000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1380726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2000</v>
          </cell>
          <cell r="AC115">
            <v>0</v>
          </cell>
          <cell r="AD115">
            <v>5000</v>
          </cell>
          <cell r="AE115">
            <v>0</v>
          </cell>
          <cell r="AF115">
            <v>0</v>
          </cell>
          <cell r="AG115">
            <v>0</v>
          </cell>
          <cell r="AI115">
            <v>2</v>
          </cell>
          <cell r="AJ115">
            <v>9</v>
          </cell>
          <cell r="AL115">
            <v>1387726</v>
          </cell>
          <cell r="AM115">
            <v>2959527</v>
          </cell>
          <cell r="AN115">
            <v>7000</v>
          </cell>
        </row>
        <row r="116">
          <cell r="B116">
            <v>102</v>
          </cell>
          <cell r="C116">
            <v>38362</v>
          </cell>
          <cell r="D116">
            <v>10</v>
          </cell>
          <cell r="E116">
            <v>4060551</v>
          </cell>
          <cell r="F116">
            <v>23</v>
          </cell>
          <cell r="H116">
            <v>1324969</v>
          </cell>
          <cell r="I116">
            <v>0</v>
          </cell>
          <cell r="J116">
            <v>0</v>
          </cell>
          <cell r="K116">
            <v>0</v>
          </cell>
          <cell r="L116">
            <v>79804</v>
          </cell>
          <cell r="M116">
            <v>2000</v>
          </cell>
          <cell r="N116">
            <v>0</v>
          </cell>
          <cell r="O116">
            <v>5000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1324969</v>
          </cell>
          <cell r="X116">
            <v>0</v>
          </cell>
          <cell r="Y116">
            <v>0</v>
          </cell>
          <cell r="Z116">
            <v>0</v>
          </cell>
          <cell r="AA116">
            <v>79804</v>
          </cell>
          <cell r="AB116">
            <v>2000</v>
          </cell>
          <cell r="AC116">
            <v>0</v>
          </cell>
          <cell r="AD116">
            <v>5000</v>
          </cell>
          <cell r="AE116">
            <v>0</v>
          </cell>
          <cell r="AF116">
            <v>0</v>
          </cell>
          <cell r="AG116">
            <v>0</v>
          </cell>
          <cell r="AI116">
            <v>2</v>
          </cell>
          <cell r="AJ116">
            <v>10</v>
          </cell>
          <cell r="AL116">
            <v>1411773</v>
          </cell>
          <cell r="AM116">
            <v>2648778</v>
          </cell>
          <cell r="AN116">
            <v>7000</v>
          </cell>
        </row>
        <row r="117">
          <cell r="B117">
            <v>103</v>
          </cell>
          <cell r="C117">
            <v>38363</v>
          </cell>
          <cell r="D117">
            <v>11</v>
          </cell>
          <cell r="E117">
            <v>4210014</v>
          </cell>
          <cell r="F117">
            <v>24</v>
          </cell>
          <cell r="H117">
            <v>1271464</v>
          </cell>
          <cell r="I117">
            <v>0</v>
          </cell>
          <cell r="J117">
            <v>0</v>
          </cell>
          <cell r="K117">
            <v>0</v>
          </cell>
          <cell r="L117">
            <v>159008</v>
          </cell>
          <cell r="M117">
            <v>2000</v>
          </cell>
          <cell r="N117">
            <v>0</v>
          </cell>
          <cell r="O117">
            <v>5000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1271464</v>
          </cell>
          <cell r="X117">
            <v>0</v>
          </cell>
          <cell r="Y117">
            <v>0</v>
          </cell>
          <cell r="Z117">
            <v>0</v>
          </cell>
          <cell r="AA117">
            <v>159008</v>
          </cell>
          <cell r="AB117">
            <v>2000</v>
          </cell>
          <cell r="AC117">
            <v>0</v>
          </cell>
          <cell r="AD117">
            <v>5000</v>
          </cell>
          <cell r="AE117">
            <v>0</v>
          </cell>
          <cell r="AF117">
            <v>0</v>
          </cell>
          <cell r="AG117">
            <v>0</v>
          </cell>
          <cell r="AI117">
            <v>2</v>
          </cell>
          <cell r="AJ117">
            <v>11</v>
          </cell>
          <cell r="AL117">
            <v>1437472</v>
          </cell>
          <cell r="AM117">
            <v>2772542</v>
          </cell>
          <cell r="AN117">
            <v>7000</v>
          </cell>
        </row>
        <row r="118">
          <cell r="B118">
            <v>104</v>
          </cell>
          <cell r="C118">
            <v>38364</v>
          </cell>
          <cell r="D118">
            <v>12</v>
          </cell>
          <cell r="E118">
            <v>4297702</v>
          </cell>
          <cell r="F118">
            <v>26</v>
          </cell>
          <cell r="H118">
            <v>1220119</v>
          </cell>
          <cell r="I118">
            <v>0</v>
          </cell>
          <cell r="J118">
            <v>0</v>
          </cell>
          <cell r="K118">
            <v>0</v>
          </cell>
          <cell r="L118">
            <v>159008</v>
          </cell>
          <cell r="M118">
            <v>2000</v>
          </cell>
          <cell r="N118">
            <v>0</v>
          </cell>
          <cell r="O118">
            <v>5000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1220119</v>
          </cell>
          <cell r="X118">
            <v>0</v>
          </cell>
          <cell r="Y118">
            <v>0</v>
          </cell>
          <cell r="Z118">
            <v>0</v>
          </cell>
          <cell r="AA118">
            <v>159008</v>
          </cell>
          <cell r="AB118">
            <v>2000</v>
          </cell>
          <cell r="AC118">
            <v>0</v>
          </cell>
          <cell r="AD118">
            <v>5000</v>
          </cell>
          <cell r="AE118">
            <v>0</v>
          </cell>
          <cell r="AF118">
            <v>0</v>
          </cell>
          <cell r="AG118">
            <v>0</v>
          </cell>
          <cell r="AI118">
            <v>2</v>
          </cell>
          <cell r="AJ118">
            <v>12</v>
          </cell>
          <cell r="AL118">
            <v>1386127</v>
          </cell>
          <cell r="AM118">
            <v>2911575</v>
          </cell>
          <cell r="AN118">
            <v>7000</v>
          </cell>
        </row>
        <row r="119">
          <cell r="B119">
            <v>105</v>
          </cell>
          <cell r="C119">
            <v>38365</v>
          </cell>
          <cell r="D119">
            <v>13</v>
          </cell>
          <cell r="E119">
            <v>3689024</v>
          </cell>
          <cell r="F119">
            <v>28</v>
          </cell>
          <cell r="H119">
            <v>1060164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2000</v>
          </cell>
          <cell r="N119">
            <v>0</v>
          </cell>
          <cell r="O119">
            <v>5000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1060164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2000</v>
          </cell>
          <cell r="AC119">
            <v>0</v>
          </cell>
          <cell r="AD119">
            <v>5000</v>
          </cell>
          <cell r="AE119">
            <v>0</v>
          </cell>
          <cell r="AF119">
            <v>0</v>
          </cell>
          <cell r="AG119">
            <v>0</v>
          </cell>
          <cell r="AI119">
            <v>2</v>
          </cell>
          <cell r="AJ119">
            <v>13</v>
          </cell>
          <cell r="AL119">
            <v>1067164</v>
          </cell>
          <cell r="AM119">
            <v>2621860</v>
          </cell>
          <cell r="AN119">
            <v>7000</v>
          </cell>
        </row>
        <row r="120">
          <cell r="B120">
            <v>106</v>
          </cell>
          <cell r="C120">
            <v>38366</v>
          </cell>
          <cell r="D120">
            <v>14</v>
          </cell>
          <cell r="E120">
            <v>3599174</v>
          </cell>
          <cell r="F120">
            <v>31</v>
          </cell>
          <cell r="H120">
            <v>970314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2000</v>
          </cell>
          <cell r="N120">
            <v>0</v>
          </cell>
          <cell r="O120">
            <v>5000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970314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2000</v>
          </cell>
          <cell r="AC120">
            <v>0</v>
          </cell>
          <cell r="AD120">
            <v>5000</v>
          </cell>
          <cell r="AE120">
            <v>0</v>
          </cell>
          <cell r="AF120">
            <v>0</v>
          </cell>
          <cell r="AG120">
            <v>0</v>
          </cell>
          <cell r="AI120">
            <v>2</v>
          </cell>
          <cell r="AJ120">
            <v>14</v>
          </cell>
          <cell r="AL120">
            <v>977314</v>
          </cell>
          <cell r="AM120">
            <v>2621860</v>
          </cell>
          <cell r="AN120">
            <v>7000</v>
          </cell>
        </row>
        <row r="121">
          <cell r="B121">
            <v>107</v>
          </cell>
          <cell r="C121">
            <v>38367</v>
          </cell>
          <cell r="D121">
            <v>15</v>
          </cell>
          <cell r="E121">
            <v>3268089</v>
          </cell>
          <cell r="F121">
            <v>38</v>
          </cell>
          <cell r="H121">
            <v>639229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2000</v>
          </cell>
          <cell r="N121">
            <v>0</v>
          </cell>
          <cell r="O121">
            <v>5000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639229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2000</v>
          </cell>
          <cell r="AC121">
            <v>0</v>
          </cell>
          <cell r="AD121">
            <v>5000</v>
          </cell>
          <cell r="AE121">
            <v>0</v>
          </cell>
          <cell r="AF121">
            <v>0</v>
          </cell>
          <cell r="AG121">
            <v>0</v>
          </cell>
          <cell r="AI121">
            <v>2</v>
          </cell>
          <cell r="AJ121">
            <v>15</v>
          </cell>
          <cell r="AL121">
            <v>646229</v>
          </cell>
          <cell r="AM121">
            <v>2621860</v>
          </cell>
          <cell r="AN121">
            <v>7000</v>
          </cell>
        </row>
        <row r="122">
          <cell r="B122">
            <v>108</v>
          </cell>
          <cell r="C122">
            <v>38368</v>
          </cell>
          <cell r="D122">
            <v>16</v>
          </cell>
          <cell r="E122">
            <v>3327854</v>
          </cell>
          <cell r="F122">
            <v>30</v>
          </cell>
          <cell r="H122">
            <v>698994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2000</v>
          </cell>
          <cell r="N122">
            <v>0</v>
          </cell>
          <cell r="O122">
            <v>5000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698994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2000</v>
          </cell>
          <cell r="AC122">
            <v>0</v>
          </cell>
          <cell r="AD122">
            <v>5000</v>
          </cell>
          <cell r="AE122">
            <v>0</v>
          </cell>
          <cell r="AF122">
            <v>0</v>
          </cell>
          <cell r="AG122">
            <v>0</v>
          </cell>
          <cell r="AI122">
            <v>2</v>
          </cell>
          <cell r="AJ122">
            <v>16</v>
          </cell>
          <cell r="AL122">
            <v>705994</v>
          </cell>
          <cell r="AM122">
            <v>2621860</v>
          </cell>
          <cell r="AN122">
            <v>7000</v>
          </cell>
        </row>
        <row r="123">
          <cell r="B123">
            <v>109</v>
          </cell>
          <cell r="C123">
            <v>38369</v>
          </cell>
          <cell r="D123">
            <v>17</v>
          </cell>
          <cell r="E123">
            <v>3378642</v>
          </cell>
          <cell r="F123">
            <v>27</v>
          </cell>
          <cell r="H123">
            <v>749782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2000</v>
          </cell>
          <cell r="N123">
            <v>0</v>
          </cell>
          <cell r="O123">
            <v>5000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749782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2000</v>
          </cell>
          <cell r="AC123">
            <v>0</v>
          </cell>
          <cell r="AD123">
            <v>5000</v>
          </cell>
          <cell r="AE123">
            <v>0</v>
          </cell>
          <cell r="AF123">
            <v>0</v>
          </cell>
          <cell r="AG123">
            <v>0</v>
          </cell>
          <cell r="AI123">
            <v>2</v>
          </cell>
          <cell r="AJ123">
            <v>17</v>
          </cell>
          <cell r="AL123">
            <v>756782</v>
          </cell>
          <cell r="AM123">
            <v>2621860</v>
          </cell>
          <cell r="AN123">
            <v>7000</v>
          </cell>
        </row>
        <row r="124">
          <cell r="B124">
            <v>110</v>
          </cell>
          <cell r="C124">
            <v>38370</v>
          </cell>
          <cell r="D124">
            <v>18</v>
          </cell>
          <cell r="E124">
            <v>3278421</v>
          </cell>
          <cell r="F124">
            <v>25</v>
          </cell>
          <cell r="H124">
            <v>649561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2000</v>
          </cell>
          <cell r="N124">
            <v>0</v>
          </cell>
          <cell r="O124">
            <v>5000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649561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2000</v>
          </cell>
          <cell r="AC124">
            <v>0</v>
          </cell>
          <cell r="AD124">
            <v>5000</v>
          </cell>
          <cell r="AE124">
            <v>0</v>
          </cell>
          <cell r="AF124">
            <v>0</v>
          </cell>
          <cell r="AG124">
            <v>0</v>
          </cell>
          <cell r="AI124">
            <v>2</v>
          </cell>
          <cell r="AJ124">
            <v>18</v>
          </cell>
          <cell r="AL124">
            <v>656561</v>
          </cell>
          <cell r="AM124">
            <v>2621860</v>
          </cell>
          <cell r="AN124">
            <v>7000</v>
          </cell>
        </row>
        <row r="125">
          <cell r="B125">
            <v>111</v>
          </cell>
          <cell r="C125">
            <v>38371</v>
          </cell>
          <cell r="D125">
            <v>19</v>
          </cell>
          <cell r="E125">
            <v>3527753</v>
          </cell>
          <cell r="F125">
            <v>24</v>
          </cell>
          <cell r="H125">
            <v>898893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2000</v>
          </cell>
          <cell r="N125">
            <v>0</v>
          </cell>
          <cell r="O125">
            <v>5000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898893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2000</v>
          </cell>
          <cell r="AC125">
            <v>0</v>
          </cell>
          <cell r="AD125">
            <v>5000</v>
          </cell>
          <cell r="AE125">
            <v>0</v>
          </cell>
          <cell r="AF125">
            <v>0</v>
          </cell>
          <cell r="AG125">
            <v>0</v>
          </cell>
          <cell r="AI125">
            <v>2</v>
          </cell>
          <cell r="AJ125">
            <v>19</v>
          </cell>
          <cell r="AL125">
            <v>905893</v>
          </cell>
          <cell r="AM125">
            <v>2621860</v>
          </cell>
          <cell r="AN125">
            <v>7000</v>
          </cell>
        </row>
        <row r="126">
          <cell r="B126">
            <v>112</v>
          </cell>
          <cell r="C126">
            <v>38372</v>
          </cell>
          <cell r="D126">
            <v>20</v>
          </cell>
          <cell r="E126">
            <v>3837164</v>
          </cell>
          <cell r="F126">
            <v>23</v>
          </cell>
          <cell r="H126">
            <v>908618</v>
          </cell>
          <cell r="I126">
            <v>0</v>
          </cell>
          <cell r="J126">
            <v>0</v>
          </cell>
          <cell r="K126">
            <v>0</v>
          </cell>
          <cell r="L126">
            <v>299686</v>
          </cell>
          <cell r="M126">
            <v>2000</v>
          </cell>
          <cell r="N126">
            <v>0</v>
          </cell>
          <cell r="O126">
            <v>5000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908618</v>
          </cell>
          <cell r="X126">
            <v>0</v>
          </cell>
          <cell r="Y126">
            <v>0</v>
          </cell>
          <cell r="Z126">
            <v>0</v>
          </cell>
          <cell r="AA126">
            <v>299686</v>
          </cell>
          <cell r="AB126">
            <v>2000</v>
          </cell>
          <cell r="AC126">
            <v>0</v>
          </cell>
          <cell r="AD126">
            <v>5000</v>
          </cell>
          <cell r="AE126">
            <v>0</v>
          </cell>
          <cell r="AF126">
            <v>0</v>
          </cell>
          <cell r="AG126">
            <v>0</v>
          </cell>
          <cell r="AI126">
            <v>2</v>
          </cell>
          <cell r="AJ126">
            <v>20</v>
          </cell>
          <cell r="AL126">
            <v>1215304</v>
          </cell>
          <cell r="AM126">
            <v>2621860</v>
          </cell>
          <cell r="AN126">
            <v>7000</v>
          </cell>
        </row>
        <row r="127">
          <cell r="B127">
            <v>113</v>
          </cell>
          <cell r="C127">
            <v>38373</v>
          </cell>
          <cell r="D127">
            <v>21</v>
          </cell>
          <cell r="E127">
            <v>4352141</v>
          </cell>
          <cell r="F127">
            <v>21</v>
          </cell>
          <cell r="H127">
            <v>853580</v>
          </cell>
          <cell r="I127">
            <v>0</v>
          </cell>
          <cell r="J127">
            <v>0</v>
          </cell>
          <cell r="K127">
            <v>0</v>
          </cell>
          <cell r="L127">
            <v>460300</v>
          </cell>
          <cell r="M127">
            <v>2000</v>
          </cell>
          <cell r="N127">
            <v>0</v>
          </cell>
          <cell r="O127">
            <v>5000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853580</v>
          </cell>
          <cell r="X127">
            <v>0</v>
          </cell>
          <cell r="Y127">
            <v>0</v>
          </cell>
          <cell r="Z127">
            <v>0</v>
          </cell>
          <cell r="AA127">
            <v>460300</v>
          </cell>
          <cell r="AB127">
            <v>2000</v>
          </cell>
          <cell r="AC127">
            <v>0</v>
          </cell>
          <cell r="AD127">
            <v>5000</v>
          </cell>
          <cell r="AE127">
            <v>0</v>
          </cell>
          <cell r="AF127">
            <v>0</v>
          </cell>
          <cell r="AG127">
            <v>0</v>
          </cell>
          <cell r="AI127">
            <v>2</v>
          </cell>
          <cell r="AJ127">
            <v>21</v>
          </cell>
          <cell r="AL127">
            <v>1320880</v>
          </cell>
          <cell r="AM127">
            <v>3031261</v>
          </cell>
          <cell r="AN127">
            <v>7000</v>
          </cell>
        </row>
        <row r="128">
          <cell r="B128">
            <v>114</v>
          </cell>
          <cell r="C128">
            <v>38374</v>
          </cell>
          <cell r="D128">
            <v>22</v>
          </cell>
          <cell r="E128">
            <v>4132928</v>
          </cell>
          <cell r="F128">
            <v>20</v>
          </cell>
          <cell r="H128">
            <v>801876</v>
          </cell>
          <cell r="I128">
            <v>0</v>
          </cell>
          <cell r="J128">
            <v>0</v>
          </cell>
          <cell r="K128">
            <v>0</v>
          </cell>
          <cell r="L128">
            <v>460300</v>
          </cell>
          <cell r="M128">
            <v>2000</v>
          </cell>
          <cell r="N128">
            <v>0</v>
          </cell>
          <cell r="O128">
            <v>5000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801876</v>
          </cell>
          <cell r="X128">
            <v>0</v>
          </cell>
          <cell r="Y128">
            <v>0</v>
          </cell>
          <cell r="Z128">
            <v>0</v>
          </cell>
          <cell r="AA128">
            <v>460300</v>
          </cell>
          <cell r="AB128">
            <v>2000</v>
          </cell>
          <cell r="AC128">
            <v>0</v>
          </cell>
          <cell r="AD128">
            <v>5000</v>
          </cell>
          <cell r="AE128">
            <v>0</v>
          </cell>
          <cell r="AF128">
            <v>0</v>
          </cell>
          <cell r="AG128">
            <v>0</v>
          </cell>
          <cell r="AI128">
            <v>2</v>
          </cell>
          <cell r="AJ128">
            <v>22</v>
          </cell>
          <cell r="AL128">
            <v>1269176</v>
          </cell>
          <cell r="AM128">
            <v>2863752</v>
          </cell>
          <cell r="AN128">
            <v>7000</v>
          </cell>
        </row>
        <row r="129">
          <cell r="B129">
            <v>115</v>
          </cell>
          <cell r="C129">
            <v>38375</v>
          </cell>
          <cell r="D129">
            <v>23</v>
          </cell>
          <cell r="E129">
            <v>3101391</v>
          </cell>
          <cell r="F129">
            <v>19</v>
          </cell>
          <cell r="H129">
            <v>472531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2000</v>
          </cell>
          <cell r="N129">
            <v>0</v>
          </cell>
          <cell r="O129">
            <v>5000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472531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2000</v>
          </cell>
          <cell r="AC129">
            <v>0</v>
          </cell>
          <cell r="AD129">
            <v>5000</v>
          </cell>
          <cell r="AE129">
            <v>0</v>
          </cell>
          <cell r="AF129">
            <v>0</v>
          </cell>
          <cell r="AG129">
            <v>0</v>
          </cell>
          <cell r="AI129">
            <v>2</v>
          </cell>
          <cell r="AJ129">
            <v>23</v>
          </cell>
          <cell r="AL129">
            <v>479531</v>
          </cell>
          <cell r="AM129">
            <v>2621860</v>
          </cell>
          <cell r="AN129">
            <v>7000</v>
          </cell>
        </row>
        <row r="130">
          <cell r="B130">
            <v>116</v>
          </cell>
          <cell r="C130">
            <v>38376</v>
          </cell>
          <cell r="D130">
            <v>24</v>
          </cell>
          <cell r="E130">
            <v>3658648</v>
          </cell>
          <cell r="F130">
            <v>18</v>
          </cell>
          <cell r="H130">
            <v>724681</v>
          </cell>
          <cell r="I130">
            <v>0</v>
          </cell>
          <cell r="J130">
            <v>0</v>
          </cell>
          <cell r="K130">
            <v>0</v>
          </cell>
          <cell r="L130">
            <v>305107</v>
          </cell>
          <cell r="M130">
            <v>2000</v>
          </cell>
          <cell r="N130">
            <v>0</v>
          </cell>
          <cell r="O130">
            <v>5000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724681</v>
          </cell>
          <cell r="X130">
            <v>0</v>
          </cell>
          <cell r="Y130">
            <v>0</v>
          </cell>
          <cell r="Z130">
            <v>0</v>
          </cell>
          <cell r="AA130">
            <v>305107</v>
          </cell>
          <cell r="AB130">
            <v>2000</v>
          </cell>
          <cell r="AC130">
            <v>0</v>
          </cell>
          <cell r="AD130">
            <v>5000</v>
          </cell>
          <cell r="AE130">
            <v>0</v>
          </cell>
          <cell r="AF130">
            <v>0</v>
          </cell>
          <cell r="AG130">
            <v>0</v>
          </cell>
          <cell r="AI130">
            <v>2</v>
          </cell>
          <cell r="AJ130">
            <v>24</v>
          </cell>
          <cell r="AL130">
            <v>1036788</v>
          </cell>
          <cell r="AM130">
            <v>2621860</v>
          </cell>
          <cell r="AN130">
            <v>7000</v>
          </cell>
        </row>
        <row r="131">
          <cell r="B131">
            <v>117</v>
          </cell>
          <cell r="C131">
            <v>38377</v>
          </cell>
          <cell r="D131">
            <v>25</v>
          </cell>
          <cell r="E131">
            <v>3609837</v>
          </cell>
          <cell r="F131">
            <v>17</v>
          </cell>
          <cell r="H131">
            <v>680785</v>
          </cell>
          <cell r="I131">
            <v>0</v>
          </cell>
          <cell r="J131">
            <v>0</v>
          </cell>
          <cell r="K131">
            <v>0</v>
          </cell>
          <cell r="L131">
            <v>25818</v>
          </cell>
          <cell r="M131">
            <v>2000</v>
          </cell>
          <cell r="N131">
            <v>0</v>
          </cell>
          <cell r="O131">
            <v>5000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680785</v>
          </cell>
          <cell r="X131">
            <v>0</v>
          </cell>
          <cell r="Y131">
            <v>0</v>
          </cell>
          <cell r="Z131">
            <v>0</v>
          </cell>
          <cell r="AA131">
            <v>25818</v>
          </cell>
          <cell r="AB131">
            <v>2000</v>
          </cell>
          <cell r="AC131">
            <v>0</v>
          </cell>
          <cell r="AD131">
            <v>5000</v>
          </cell>
          <cell r="AE131">
            <v>0</v>
          </cell>
          <cell r="AF131">
            <v>0</v>
          </cell>
          <cell r="AG131">
            <v>0</v>
          </cell>
          <cell r="AI131">
            <v>2</v>
          </cell>
          <cell r="AJ131">
            <v>25</v>
          </cell>
          <cell r="AL131">
            <v>713603</v>
          </cell>
          <cell r="AM131">
            <v>2896234</v>
          </cell>
          <cell r="AN131">
            <v>7000</v>
          </cell>
        </row>
        <row r="132">
          <cell r="B132">
            <v>118</v>
          </cell>
          <cell r="C132">
            <v>38378</v>
          </cell>
          <cell r="D132">
            <v>26</v>
          </cell>
          <cell r="E132">
            <v>3539345</v>
          </cell>
          <cell r="F132">
            <v>16</v>
          </cell>
          <cell r="H132">
            <v>636634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2000</v>
          </cell>
          <cell r="N132">
            <v>0</v>
          </cell>
          <cell r="O132">
            <v>5000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636634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2000</v>
          </cell>
          <cell r="AC132">
            <v>0</v>
          </cell>
          <cell r="AD132">
            <v>5000</v>
          </cell>
          <cell r="AE132">
            <v>0</v>
          </cell>
          <cell r="AF132">
            <v>0</v>
          </cell>
          <cell r="AG132">
            <v>0</v>
          </cell>
          <cell r="AI132">
            <v>2</v>
          </cell>
          <cell r="AJ132">
            <v>26</v>
          </cell>
          <cell r="AL132">
            <v>643634</v>
          </cell>
          <cell r="AM132">
            <v>2895711</v>
          </cell>
          <cell r="AN132">
            <v>7000</v>
          </cell>
        </row>
        <row r="133">
          <cell r="B133">
            <v>119</v>
          </cell>
          <cell r="C133">
            <v>38379</v>
          </cell>
          <cell r="D133">
            <v>27</v>
          </cell>
          <cell r="E133">
            <v>3310505</v>
          </cell>
          <cell r="F133">
            <v>15</v>
          </cell>
          <cell r="H133">
            <v>595316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2000</v>
          </cell>
          <cell r="N133">
            <v>0</v>
          </cell>
          <cell r="O133">
            <v>5000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595316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2000</v>
          </cell>
          <cell r="AC133">
            <v>0</v>
          </cell>
          <cell r="AD133">
            <v>5000</v>
          </cell>
          <cell r="AE133">
            <v>0</v>
          </cell>
          <cell r="AF133">
            <v>0</v>
          </cell>
          <cell r="AG133">
            <v>0</v>
          </cell>
          <cell r="AI133">
            <v>2</v>
          </cell>
          <cell r="AJ133">
            <v>27</v>
          </cell>
          <cell r="AL133">
            <v>602316</v>
          </cell>
          <cell r="AM133">
            <v>2708189</v>
          </cell>
          <cell r="AN133">
            <v>7000</v>
          </cell>
        </row>
        <row r="134">
          <cell r="B134">
            <v>120</v>
          </cell>
          <cell r="C134">
            <v>38380</v>
          </cell>
          <cell r="D134">
            <v>28</v>
          </cell>
          <cell r="E134">
            <v>3040922</v>
          </cell>
          <cell r="F134">
            <v>12</v>
          </cell>
          <cell r="H134">
            <v>412062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2000</v>
          </cell>
          <cell r="N134">
            <v>0</v>
          </cell>
          <cell r="O134">
            <v>5000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412062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2000</v>
          </cell>
          <cell r="AC134">
            <v>0</v>
          </cell>
          <cell r="AD134">
            <v>5000</v>
          </cell>
          <cell r="AE134">
            <v>0</v>
          </cell>
          <cell r="AF134">
            <v>0</v>
          </cell>
          <cell r="AG134">
            <v>0</v>
          </cell>
          <cell r="AI134">
            <v>2</v>
          </cell>
          <cell r="AJ134">
            <v>28</v>
          </cell>
          <cell r="AL134">
            <v>419062</v>
          </cell>
          <cell r="AM134">
            <v>2621860</v>
          </cell>
          <cell r="AN134">
            <v>7000</v>
          </cell>
        </row>
        <row r="135">
          <cell r="B135">
            <v>121</v>
          </cell>
          <cell r="C135">
            <v>38381</v>
          </cell>
          <cell r="D135">
            <v>1</v>
          </cell>
          <cell r="E135">
            <v>2751844</v>
          </cell>
          <cell r="F135">
            <v>7</v>
          </cell>
          <cell r="H135">
            <v>122984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2000</v>
          </cell>
          <cell r="N135">
            <v>0</v>
          </cell>
          <cell r="O135">
            <v>5000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122984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2000</v>
          </cell>
          <cell r="AC135">
            <v>0</v>
          </cell>
          <cell r="AD135">
            <v>5000</v>
          </cell>
          <cell r="AE135">
            <v>0</v>
          </cell>
          <cell r="AF135">
            <v>0</v>
          </cell>
          <cell r="AG135">
            <v>0</v>
          </cell>
          <cell r="AI135">
            <v>3</v>
          </cell>
          <cell r="AJ135">
            <v>1</v>
          </cell>
          <cell r="AL135">
            <v>129984</v>
          </cell>
          <cell r="AM135">
            <v>2621860</v>
          </cell>
          <cell r="AN135">
            <v>7000</v>
          </cell>
        </row>
        <row r="136">
          <cell r="B136">
            <v>122</v>
          </cell>
          <cell r="C136">
            <v>38382</v>
          </cell>
          <cell r="D136">
            <v>2</v>
          </cell>
          <cell r="E136">
            <v>3638464</v>
          </cell>
          <cell r="F136">
            <v>10</v>
          </cell>
          <cell r="H136">
            <v>521956</v>
          </cell>
          <cell r="I136">
            <v>0</v>
          </cell>
          <cell r="J136">
            <v>0</v>
          </cell>
          <cell r="K136">
            <v>0</v>
          </cell>
          <cell r="L136">
            <v>213274</v>
          </cell>
          <cell r="M136">
            <v>2000</v>
          </cell>
          <cell r="N136">
            <v>0</v>
          </cell>
          <cell r="O136">
            <v>5000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521956</v>
          </cell>
          <cell r="X136">
            <v>0</v>
          </cell>
          <cell r="Y136">
            <v>0</v>
          </cell>
          <cell r="Z136">
            <v>0</v>
          </cell>
          <cell r="AA136">
            <v>213274</v>
          </cell>
          <cell r="AB136">
            <v>2000</v>
          </cell>
          <cell r="AC136">
            <v>0</v>
          </cell>
          <cell r="AD136">
            <v>5000</v>
          </cell>
          <cell r="AE136">
            <v>0</v>
          </cell>
          <cell r="AF136">
            <v>0</v>
          </cell>
          <cell r="AG136">
            <v>0</v>
          </cell>
          <cell r="AI136">
            <v>3</v>
          </cell>
          <cell r="AJ136">
            <v>2</v>
          </cell>
          <cell r="AL136">
            <v>742230</v>
          </cell>
          <cell r="AM136">
            <v>2896234</v>
          </cell>
          <cell r="AN136">
            <v>7000</v>
          </cell>
        </row>
        <row r="137">
          <cell r="B137">
            <v>123</v>
          </cell>
          <cell r="C137">
            <v>38383</v>
          </cell>
          <cell r="D137">
            <v>3</v>
          </cell>
          <cell r="E137">
            <v>3752879</v>
          </cell>
          <cell r="F137">
            <v>12</v>
          </cell>
          <cell r="H137">
            <v>488081</v>
          </cell>
          <cell r="I137">
            <v>0</v>
          </cell>
          <cell r="J137">
            <v>0</v>
          </cell>
          <cell r="K137">
            <v>0</v>
          </cell>
          <cell r="L137">
            <v>361564</v>
          </cell>
          <cell r="M137">
            <v>2000</v>
          </cell>
          <cell r="N137">
            <v>0</v>
          </cell>
          <cell r="O137">
            <v>5000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488081</v>
          </cell>
          <cell r="X137">
            <v>0</v>
          </cell>
          <cell r="Y137">
            <v>0</v>
          </cell>
          <cell r="Z137">
            <v>0</v>
          </cell>
          <cell r="AA137">
            <v>361564</v>
          </cell>
          <cell r="AB137">
            <v>2000</v>
          </cell>
          <cell r="AC137">
            <v>0</v>
          </cell>
          <cell r="AD137">
            <v>5000</v>
          </cell>
          <cell r="AE137">
            <v>0</v>
          </cell>
          <cell r="AF137">
            <v>0</v>
          </cell>
          <cell r="AG137">
            <v>0</v>
          </cell>
          <cell r="AI137">
            <v>3</v>
          </cell>
          <cell r="AJ137">
            <v>3</v>
          </cell>
          <cell r="AL137">
            <v>856645</v>
          </cell>
          <cell r="AM137">
            <v>2896234</v>
          </cell>
          <cell r="AN137">
            <v>7000</v>
          </cell>
        </row>
        <row r="138">
          <cell r="B138">
            <v>124</v>
          </cell>
          <cell r="C138">
            <v>38384</v>
          </cell>
          <cell r="D138">
            <v>4</v>
          </cell>
          <cell r="E138">
            <v>3471947</v>
          </cell>
          <cell r="F138">
            <v>13</v>
          </cell>
          <cell r="H138">
            <v>456405</v>
          </cell>
          <cell r="I138">
            <v>0</v>
          </cell>
          <cell r="J138">
            <v>0</v>
          </cell>
          <cell r="K138">
            <v>0</v>
          </cell>
          <cell r="L138">
            <v>406948</v>
          </cell>
          <cell r="M138">
            <v>2000</v>
          </cell>
          <cell r="N138">
            <v>0</v>
          </cell>
          <cell r="O138">
            <v>5000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456405</v>
          </cell>
          <cell r="X138">
            <v>0</v>
          </cell>
          <cell r="Y138">
            <v>0</v>
          </cell>
          <cell r="Z138">
            <v>0</v>
          </cell>
          <cell r="AA138">
            <v>406948</v>
          </cell>
          <cell r="AB138">
            <v>2000</v>
          </cell>
          <cell r="AC138">
            <v>0</v>
          </cell>
          <cell r="AD138">
            <v>5000</v>
          </cell>
          <cell r="AE138">
            <v>0</v>
          </cell>
          <cell r="AF138">
            <v>0</v>
          </cell>
          <cell r="AG138">
            <v>0</v>
          </cell>
          <cell r="AI138">
            <v>3</v>
          </cell>
          <cell r="AJ138">
            <v>4</v>
          </cell>
          <cell r="AL138">
            <v>870353</v>
          </cell>
          <cell r="AM138">
            <v>2601594</v>
          </cell>
          <cell r="AN138">
            <v>7000</v>
          </cell>
        </row>
        <row r="139">
          <cell r="B139">
            <v>125</v>
          </cell>
          <cell r="C139">
            <v>38385</v>
          </cell>
          <cell r="D139">
            <v>5</v>
          </cell>
          <cell r="E139">
            <v>3416892</v>
          </cell>
          <cell r="F139">
            <v>14</v>
          </cell>
          <cell r="H139">
            <v>426784</v>
          </cell>
          <cell r="I139">
            <v>0</v>
          </cell>
          <cell r="J139">
            <v>0</v>
          </cell>
          <cell r="K139">
            <v>0</v>
          </cell>
          <cell r="L139">
            <v>390227</v>
          </cell>
          <cell r="M139">
            <v>2000</v>
          </cell>
          <cell r="N139">
            <v>0</v>
          </cell>
          <cell r="O139">
            <v>5000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426784</v>
          </cell>
          <cell r="X139">
            <v>0</v>
          </cell>
          <cell r="Y139">
            <v>0</v>
          </cell>
          <cell r="Z139">
            <v>0</v>
          </cell>
          <cell r="AA139">
            <v>390227</v>
          </cell>
          <cell r="AB139">
            <v>2000</v>
          </cell>
          <cell r="AC139">
            <v>0</v>
          </cell>
          <cell r="AD139">
            <v>5000</v>
          </cell>
          <cell r="AE139">
            <v>0</v>
          </cell>
          <cell r="AF139">
            <v>0</v>
          </cell>
          <cell r="AG139">
            <v>0</v>
          </cell>
          <cell r="AI139">
            <v>3</v>
          </cell>
          <cell r="AJ139">
            <v>5</v>
          </cell>
          <cell r="AL139">
            <v>824011</v>
          </cell>
          <cell r="AM139">
            <v>2592881</v>
          </cell>
          <cell r="AN139">
            <v>7000</v>
          </cell>
        </row>
        <row r="140">
          <cell r="B140">
            <v>126</v>
          </cell>
          <cell r="C140">
            <v>38386</v>
          </cell>
          <cell r="D140">
            <v>6</v>
          </cell>
          <cell r="E140">
            <v>3366201</v>
          </cell>
          <cell r="F140">
            <v>15</v>
          </cell>
          <cell r="H140">
            <v>399086</v>
          </cell>
          <cell r="I140">
            <v>0</v>
          </cell>
          <cell r="J140">
            <v>0</v>
          </cell>
          <cell r="K140">
            <v>0</v>
          </cell>
          <cell r="L140">
            <v>374194</v>
          </cell>
          <cell r="M140">
            <v>2000</v>
          </cell>
          <cell r="N140">
            <v>0</v>
          </cell>
          <cell r="O140">
            <v>5000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399086</v>
          </cell>
          <cell r="X140">
            <v>0</v>
          </cell>
          <cell r="Y140">
            <v>0</v>
          </cell>
          <cell r="Z140">
            <v>0</v>
          </cell>
          <cell r="AA140">
            <v>374194</v>
          </cell>
          <cell r="AB140">
            <v>2000</v>
          </cell>
          <cell r="AC140">
            <v>0</v>
          </cell>
          <cell r="AD140">
            <v>5000</v>
          </cell>
          <cell r="AE140">
            <v>0</v>
          </cell>
          <cell r="AF140">
            <v>0</v>
          </cell>
          <cell r="AG140">
            <v>0</v>
          </cell>
          <cell r="AI140">
            <v>3</v>
          </cell>
          <cell r="AJ140">
            <v>6</v>
          </cell>
          <cell r="AL140">
            <v>780280</v>
          </cell>
          <cell r="AM140">
            <v>2585921</v>
          </cell>
          <cell r="AN140">
            <v>7000</v>
          </cell>
        </row>
        <row r="141">
          <cell r="B141">
            <v>127</v>
          </cell>
          <cell r="C141">
            <v>38387</v>
          </cell>
          <cell r="D141">
            <v>7</v>
          </cell>
          <cell r="E141">
            <v>3511216</v>
          </cell>
          <cell r="F141">
            <v>16</v>
          </cell>
          <cell r="H141">
            <v>373185</v>
          </cell>
          <cell r="I141">
            <v>0</v>
          </cell>
          <cell r="J141">
            <v>0</v>
          </cell>
          <cell r="K141">
            <v>0</v>
          </cell>
          <cell r="L141">
            <v>76427</v>
          </cell>
          <cell r="M141">
            <v>2000</v>
          </cell>
          <cell r="N141">
            <v>0</v>
          </cell>
          <cell r="O141">
            <v>5000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373185</v>
          </cell>
          <cell r="X141">
            <v>0</v>
          </cell>
          <cell r="Y141">
            <v>0</v>
          </cell>
          <cell r="Z141">
            <v>0</v>
          </cell>
          <cell r="AA141">
            <v>76427</v>
          </cell>
          <cell r="AB141">
            <v>2000</v>
          </cell>
          <cell r="AC141">
            <v>0</v>
          </cell>
          <cell r="AD141">
            <v>5000</v>
          </cell>
          <cell r="AE141">
            <v>0</v>
          </cell>
          <cell r="AF141">
            <v>0</v>
          </cell>
          <cell r="AG141">
            <v>0</v>
          </cell>
          <cell r="AI141">
            <v>3</v>
          </cell>
          <cell r="AJ141">
            <v>7</v>
          </cell>
          <cell r="AL141">
            <v>456612</v>
          </cell>
          <cell r="AM141">
            <v>3054604</v>
          </cell>
          <cell r="AN141">
            <v>7000</v>
          </cell>
        </row>
        <row r="142">
          <cell r="B142">
            <v>128</v>
          </cell>
          <cell r="C142">
            <v>38388</v>
          </cell>
          <cell r="D142">
            <v>8</v>
          </cell>
          <cell r="E142">
            <v>3648355</v>
          </cell>
          <cell r="F142">
            <v>17</v>
          </cell>
          <cell r="H142">
            <v>348965</v>
          </cell>
          <cell r="I142">
            <v>0</v>
          </cell>
          <cell r="J142">
            <v>0</v>
          </cell>
          <cell r="K142">
            <v>0</v>
          </cell>
          <cell r="L142">
            <v>64558</v>
          </cell>
          <cell r="M142">
            <v>2000</v>
          </cell>
          <cell r="N142">
            <v>0</v>
          </cell>
          <cell r="O142">
            <v>5000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348965</v>
          </cell>
          <cell r="X142">
            <v>0</v>
          </cell>
          <cell r="Y142">
            <v>0</v>
          </cell>
          <cell r="Z142">
            <v>0</v>
          </cell>
          <cell r="AA142">
            <v>64558</v>
          </cell>
          <cell r="AB142">
            <v>2000</v>
          </cell>
          <cell r="AC142">
            <v>0</v>
          </cell>
          <cell r="AD142">
            <v>5000</v>
          </cell>
          <cell r="AE142">
            <v>0</v>
          </cell>
          <cell r="AF142">
            <v>0</v>
          </cell>
          <cell r="AG142">
            <v>0</v>
          </cell>
          <cell r="AI142">
            <v>3</v>
          </cell>
          <cell r="AJ142">
            <v>8</v>
          </cell>
          <cell r="AL142">
            <v>420523</v>
          </cell>
          <cell r="AM142">
            <v>3227832</v>
          </cell>
          <cell r="AN142">
            <v>7000</v>
          </cell>
        </row>
        <row r="143">
          <cell r="B143">
            <v>129</v>
          </cell>
          <cell r="C143">
            <v>38389</v>
          </cell>
          <cell r="D143">
            <v>9</v>
          </cell>
          <cell r="E143">
            <v>3287472</v>
          </cell>
          <cell r="F143">
            <v>17</v>
          </cell>
          <cell r="H143">
            <v>327166</v>
          </cell>
          <cell r="I143">
            <v>0</v>
          </cell>
          <cell r="J143">
            <v>0</v>
          </cell>
          <cell r="K143">
            <v>0</v>
          </cell>
          <cell r="L143">
            <v>64559</v>
          </cell>
          <cell r="M143">
            <v>2000</v>
          </cell>
          <cell r="N143">
            <v>0</v>
          </cell>
          <cell r="O143">
            <v>5000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327166</v>
          </cell>
          <cell r="X143">
            <v>0</v>
          </cell>
          <cell r="Y143">
            <v>0</v>
          </cell>
          <cell r="Z143">
            <v>0</v>
          </cell>
          <cell r="AA143">
            <v>64559</v>
          </cell>
          <cell r="AB143">
            <v>2000</v>
          </cell>
          <cell r="AC143">
            <v>0</v>
          </cell>
          <cell r="AD143">
            <v>5000</v>
          </cell>
          <cell r="AE143">
            <v>0</v>
          </cell>
          <cell r="AF143">
            <v>0</v>
          </cell>
          <cell r="AG143">
            <v>0</v>
          </cell>
          <cell r="AI143">
            <v>3</v>
          </cell>
          <cell r="AJ143">
            <v>9</v>
          </cell>
          <cell r="AL143">
            <v>398725</v>
          </cell>
          <cell r="AM143">
            <v>2888747</v>
          </cell>
          <cell r="AN143">
            <v>7000</v>
          </cell>
        </row>
        <row r="144">
          <cell r="B144">
            <v>130</v>
          </cell>
          <cell r="C144">
            <v>38390</v>
          </cell>
          <cell r="D144">
            <v>10</v>
          </cell>
          <cell r="E144">
            <v>3263686</v>
          </cell>
          <cell r="F144">
            <v>18</v>
          </cell>
          <cell r="H144">
            <v>314427</v>
          </cell>
          <cell r="I144">
            <v>0</v>
          </cell>
          <cell r="J144">
            <v>0</v>
          </cell>
          <cell r="K144">
            <v>0</v>
          </cell>
          <cell r="L144">
            <v>64559</v>
          </cell>
          <cell r="M144">
            <v>2000</v>
          </cell>
          <cell r="N144">
            <v>0</v>
          </cell>
          <cell r="O144">
            <v>5000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314427</v>
          </cell>
          <cell r="X144">
            <v>0</v>
          </cell>
          <cell r="Y144">
            <v>0</v>
          </cell>
          <cell r="Z144">
            <v>0</v>
          </cell>
          <cell r="AA144">
            <v>64559</v>
          </cell>
          <cell r="AB144">
            <v>2000</v>
          </cell>
          <cell r="AC144">
            <v>0</v>
          </cell>
          <cell r="AD144">
            <v>5000</v>
          </cell>
          <cell r="AE144">
            <v>0</v>
          </cell>
          <cell r="AF144">
            <v>0</v>
          </cell>
          <cell r="AG144">
            <v>0</v>
          </cell>
          <cell r="AI144">
            <v>3</v>
          </cell>
          <cell r="AJ144">
            <v>10</v>
          </cell>
          <cell r="AL144">
            <v>385986</v>
          </cell>
          <cell r="AM144">
            <v>2877700</v>
          </cell>
          <cell r="AN144">
            <v>7000</v>
          </cell>
        </row>
        <row r="145">
          <cell r="B145">
            <v>131</v>
          </cell>
          <cell r="C145">
            <v>38391</v>
          </cell>
          <cell r="D145">
            <v>11</v>
          </cell>
          <cell r="E145">
            <v>3568492</v>
          </cell>
          <cell r="F145">
            <v>19</v>
          </cell>
          <cell r="H145">
            <v>302183</v>
          </cell>
          <cell r="I145">
            <v>0</v>
          </cell>
          <cell r="J145">
            <v>0</v>
          </cell>
          <cell r="K145">
            <v>0</v>
          </cell>
          <cell r="L145">
            <v>64559</v>
          </cell>
          <cell r="M145">
            <v>2000</v>
          </cell>
          <cell r="N145">
            <v>0</v>
          </cell>
          <cell r="O145">
            <v>5000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302183</v>
          </cell>
          <cell r="X145">
            <v>0</v>
          </cell>
          <cell r="Y145">
            <v>0</v>
          </cell>
          <cell r="Z145">
            <v>0</v>
          </cell>
          <cell r="AA145">
            <v>64559</v>
          </cell>
          <cell r="AB145">
            <v>2000</v>
          </cell>
          <cell r="AC145">
            <v>0</v>
          </cell>
          <cell r="AD145">
            <v>5000</v>
          </cell>
          <cell r="AE145">
            <v>0</v>
          </cell>
          <cell r="AF145">
            <v>0</v>
          </cell>
          <cell r="AG145">
            <v>0</v>
          </cell>
          <cell r="AI145">
            <v>3</v>
          </cell>
          <cell r="AJ145">
            <v>11</v>
          </cell>
          <cell r="AL145">
            <v>373742</v>
          </cell>
          <cell r="AM145">
            <v>3194750</v>
          </cell>
          <cell r="AN145">
            <v>7000</v>
          </cell>
        </row>
        <row r="146">
          <cell r="B146">
            <v>132</v>
          </cell>
          <cell r="C146">
            <v>38392</v>
          </cell>
          <cell r="D146">
            <v>12</v>
          </cell>
          <cell r="E146">
            <v>3966845</v>
          </cell>
          <cell r="F146">
            <v>19</v>
          </cell>
          <cell r="H146">
            <v>290416</v>
          </cell>
          <cell r="I146">
            <v>0</v>
          </cell>
          <cell r="J146">
            <v>0</v>
          </cell>
          <cell r="K146">
            <v>0</v>
          </cell>
          <cell r="L146">
            <v>64558</v>
          </cell>
          <cell r="M146">
            <v>2000</v>
          </cell>
          <cell r="N146">
            <v>0</v>
          </cell>
          <cell r="O146">
            <v>47857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290416</v>
          </cell>
          <cell r="X146">
            <v>0</v>
          </cell>
          <cell r="Y146">
            <v>0</v>
          </cell>
          <cell r="Z146">
            <v>0</v>
          </cell>
          <cell r="AA146">
            <v>64558</v>
          </cell>
          <cell r="AB146">
            <v>2000</v>
          </cell>
          <cell r="AC146">
            <v>0</v>
          </cell>
          <cell r="AD146">
            <v>47857</v>
          </cell>
          <cell r="AE146">
            <v>0</v>
          </cell>
          <cell r="AF146">
            <v>0</v>
          </cell>
          <cell r="AG146">
            <v>0</v>
          </cell>
          <cell r="AI146">
            <v>3</v>
          </cell>
          <cell r="AJ146">
            <v>12</v>
          </cell>
          <cell r="AL146">
            <v>404831</v>
          </cell>
          <cell r="AM146">
            <v>3562014</v>
          </cell>
          <cell r="AN146">
            <v>7000</v>
          </cell>
        </row>
        <row r="147">
          <cell r="B147">
            <v>133</v>
          </cell>
          <cell r="C147">
            <v>38393</v>
          </cell>
          <cell r="D147">
            <v>13</v>
          </cell>
          <cell r="E147">
            <v>3540663</v>
          </cell>
          <cell r="F147">
            <v>20</v>
          </cell>
          <cell r="H147">
            <v>279107</v>
          </cell>
          <cell r="I147">
            <v>0</v>
          </cell>
          <cell r="J147">
            <v>0</v>
          </cell>
          <cell r="K147">
            <v>0</v>
          </cell>
          <cell r="L147">
            <v>64559</v>
          </cell>
          <cell r="M147">
            <v>2000</v>
          </cell>
          <cell r="N147">
            <v>0</v>
          </cell>
          <cell r="O147">
            <v>117857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279107</v>
          </cell>
          <cell r="X147">
            <v>0</v>
          </cell>
          <cell r="Y147">
            <v>0</v>
          </cell>
          <cell r="Z147">
            <v>0</v>
          </cell>
          <cell r="AA147">
            <v>64559</v>
          </cell>
          <cell r="AB147">
            <v>2000</v>
          </cell>
          <cell r="AC147">
            <v>0</v>
          </cell>
          <cell r="AD147">
            <v>117857</v>
          </cell>
          <cell r="AE147">
            <v>0</v>
          </cell>
          <cell r="AF147">
            <v>0</v>
          </cell>
          <cell r="AG147">
            <v>0</v>
          </cell>
          <cell r="AI147">
            <v>3</v>
          </cell>
          <cell r="AJ147">
            <v>13</v>
          </cell>
          <cell r="AL147">
            <v>463523</v>
          </cell>
          <cell r="AM147">
            <v>3077140</v>
          </cell>
          <cell r="AN147">
            <v>7000</v>
          </cell>
        </row>
        <row r="148">
          <cell r="B148">
            <v>134</v>
          </cell>
          <cell r="C148">
            <v>38394</v>
          </cell>
          <cell r="D148">
            <v>14</v>
          </cell>
          <cell r="E148">
            <v>3502386</v>
          </cell>
          <cell r="F148">
            <v>21</v>
          </cell>
          <cell r="H148">
            <v>268239</v>
          </cell>
          <cell r="I148">
            <v>0</v>
          </cell>
          <cell r="J148">
            <v>0</v>
          </cell>
          <cell r="K148">
            <v>0</v>
          </cell>
          <cell r="L148">
            <v>64559</v>
          </cell>
          <cell r="M148">
            <v>2000</v>
          </cell>
          <cell r="N148">
            <v>0</v>
          </cell>
          <cell r="O148">
            <v>117857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268239</v>
          </cell>
          <cell r="X148">
            <v>0</v>
          </cell>
          <cell r="Y148">
            <v>0</v>
          </cell>
          <cell r="Z148">
            <v>0</v>
          </cell>
          <cell r="AA148">
            <v>64559</v>
          </cell>
          <cell r="AB148">
            <v>2000</v>
          </cell>
          <cell r="AC148">
            <v>0</v>
          </cell>
          <cell r="AD148">
            <v>117857</v>
          </cell>
          <cell r="AE148">
            <v>0</v>
          </cell>
          <cell r="AF148">
            <v>0</v>
          </cell>
          <cell r="AG148">
            <v>0</v>
          </cell>
          <cell r="AI148">
            <v>3</v>
          </cell>
          <cell r="AJ148">
            <v>14</v>
          </cell>
          <cell r="AL148">
            <v>452655</v>
          </cell>
          <cell r="AM148">
            <v>3049731</v>
          </cell>
          <cell r="AN148">
            <v>7000</v>
          </cell>
        </row>
        <row r="149">
          <cell r="B149">
            <v>135</v>
          </cell>
          <cell r="C149">
            <v>38395</v>
          </cell>
          <cell r="D149">
            <v>15</v>
          </cell>
          <cell r="E149">
            <v>3650045</v>
          </cell>
          <cell r="F149">
            <v>22</v>
          </cell>
          <cell r="H149">
            <v>257793</v>
          </cell>
          <cell r="I149">
            <v>0</v>
          </cell>
          <cell r="J149">
            <v>0</v>
          </cell>
          <cell r="K149">
            <v>0</v>
          </cell>
          <cell r="L149">
            <v>64559</v>
          </cell>
          <cell r="M149">
            <v>2000</v>
          </cell>
          <cell r="N149">
            <v>34133</v>
          </cell>
          <cell r="O149">
            <v>117857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257793</v>
          </cell>
          <cell r="X149">
            <v>0</v>
          </cell>
          <cell r="Y149">
            <v>0</v>
          </cell>
          <cell r="Z149">
            <v>0</v>
          </cell>
          <cell r="AA149">
            <v>64559</v>
          </cell>
          <cell r="AB149">
            <v>2000</v>
          </cell>
          <cell r="AC149">
            <v>34133</v>
          </cell>
          <cell r="AD149">
            <v>117857</v>
          </cell>
          <cell r="AE149">
            <v>0</v>
          </cell>
          <cell r="AF149">
            <v>0</v>
          </cell>
          <cell r="AG149">
            <v>0</v>
          </cell>
          <cell r="AI149">
            <v>3</v>
          </cell>
          <cell r="AJ149">
            <v>15</v>
          </cell>
          <cell r="AL149">
            <v>476342</v>
          </cell>
          <cell r="AM149">
            <v>3173703</v>
          </cell>
          <cell r="AN149">
            <v>7000</v>
          </cell>
        </row>
        <row r="150">
          <cell r="B150">
            <v>136</v>
          </cell>
          <cell r="C150">
            <v>38396</v>
          </cell>
          <cell r="D150">
            <v>16</v>
          </cell>
          <cell r="E150">
            <v>4020182</v>
          </cell>
          <cell r="F150">
            <v>28</v>
          </cell>
          <cell r="H150">
            <v>247755</v>
          </cell>
          <cell r="I150">
            <v>0</v>
          </cell>
          <cell r="J150">
            <v>0</v>
          </cell>
          <cell r="K150">
            <v>0</v>
          </cell>
          <cell r="L150">
            <v>64558</v>
          </cell>
          <cell r="M150">
            <v>2000</v>
          </cell>
          <cell r="N150">
            <v>73052</v>
          </cell>
          <cell r="O150">
            <v>117858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247755</v>
          </cell>
          <cell r="X150">
            <v>0</v>
          </cell>
          <cell r="Y150">
            <v>0</v>
          </cell>
          <cell r="Z150">
            <v>0</v>
          </cell>
          <cell r="AA150">
            <v>64558</v>
          </cell>
          <cell r="AB150">
            <v>2000</v>
          </cell>
          <cell r="AC150">
            <v>73052</v>
          </cell>
          <cell r="AD150">
            <v>117858</v>
          </cell>
          <cell r="AE150">
            <v>0</v>
          </cell>
          <cell r="AF150">
            <v>0</v>
          </cell>
          <cell r="AG150">
            <v>0</v>
          </cell>
          <cell r="AI150">
            <v>3</v>
          </cell>
          <cell r="AJ150">
            <v>16</v>
          </cell>
          <cell r="AL150">
            <v>505223</v>
          </cell>
          <cell r="AM150">
            <v>3514959</v>
          </cell>
          <cell r="AN150">
            <v>7000</v>
          </cell>
        </row>
        <row r="151">
          <cell r="B151">
            <v>137</v>
          </cell>
          <cell r="C151">
            <v>38397</v>
          </cell>
          <cell r="D151">
            <v>17</v>
          </cell>
          <cell r="E151">
            <v>2967786</v>
          </cell>
          <cell r="F151">
            <v>24</v>
          </cell>
          <cell r="H151">
            <v>238107</v>
          </cell>
          <cell r="I151">
            <v>0</v>
          </cell>
          <cell r="J151">
            <v>0</v>
          </cell>
          <cell r="K151">
            <v>0</v>
          </cell>
          <cell r="L151">
            <v>64559</v>
          </cell>
          <cell r="M151">
            <v>2000</v>
          </cell>
          <cell r="N151">
            <v>73052</v>
          </cell>
          <cell r="O151">
            <v>117857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238107</v>
          </cell>
          <cell r="X151">
            <v>0</v>
          </cell>
          <cell r="Y151">
            <v>0</v>
          </cell>
          <cell r="Z151">
            <v>0</v>
          </cell>
          <cell r="AA151">
            <v>64559</v>
          </cell>
          <cell r="AB151">
            <v>2000</v>
          </cell>
          <cell r="AC151">
            <v>73052</v>
          </cell>
          <cell r="AD151">
            <v>117857</v>
          </cell>
          <cell r="AE151">
            <v>0</v>
          </cell>
          <cell r="AF151">
            <v>0</v>
          </cell>
          <cell r="AG151">
            <v>0</v>
          </cell>
          <cell r="AI151">
            <v>3</v>
          </cell>
          <cell r="AJ151">
            <v>17</v>
          </cell>
          <cell r="AL151">
            <v>495575</v>
          </cell>
          <cell r="AM151">
            <v>2472211</v>
          </cell>
          <cell r="AN151">
            <v>7000</v>
          </cell>
        </row>
        <row r="152">
          <cell r="B152">
            <v>138</v>
          </cell>
          <cell r="C152">
            <v>38398</v>
          </cell>
          <cell r="D152">
            <v>18</v>
          </cell>
          <cell r="E152">
            <v>2523061</v>
          </cell>
          <cell r="F152">
            <v>22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2000</v>
          </cell>
          <cell r="N152">
            <v>0</v>
          </cell>
          <cell r="O152">
            <v>117857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2000</v>
          </cell>
          <cell r="AC152">
            <v>0</v>
          </cell>
          <cell r="AD152">
            <v>117857</v>
          </cell>
          <cell r="AE152">
            <v>0</v>
          </cell>
          <cell r="AF152">
            <v>0</v>
          </cell>
          <cell r="AG152">
            <v>0</v>
          </cell>
          <cell r="AI152">
            <v>3</v>
          </cell>
          <cell r="AJ152">
            <v>18</v>
          </cell>
          <cell r="AL152">
            <v>119857</v>
          </cell>
          <cell r="AM152">
            <v>2403204</v>
          </cell>
          <cell r="AN152">
            <v>7000</v>
          </cell>
        </row>
        <row r="153">
          <cell r="B153">
            <v>139</v>
          </cell>
          <cell r="C153">
            <v>38399</v>
          </cell>
          <cell r="D153">
            <v>19</v>
          </cell>
          <cell r="E153">
            <v>3416892</v>
          </cell>
          <cell r="F153">
            <v>20</v>
          </cell>
          <cell r="H153">
            <v>228835</v>
          </cell>
          <cell r="I153">
            <v>0</v>
          </cell>
          <cell r="J153">
            <v>0</v>
          </cell>
          <cell r="K153">
            <v>0</v>
          </cell>
          <cell r="L153">
            <v>129118</v>
          </cell>
          <cell r="M153">
            <v>2000</v>
          </cell>
          <cell r="N153">
            <v>146105</v>
          </cell>
          <cell r="O153">
            <v>117857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228835</v>
          </cell>
          <cell r="X153">
            <v>0</v>
          </cell>
          <cell r="Y153">
            <v>0</v>
          </cell>
          <cell r="Z153">
            <v>0</v>
          </cell>
          <cell r="AA153">
            <v>129118</v>
          </cell>
          <cell r="AB153">
            <v>2000</v>
          </cell>
          <cell r="AC153">
            <v>146105</v>
          </cell>
          <cell r="AD153">
            <v>117857</v>
          </cell>
          <cell r="AE153">
            <v>0</v>
          </cell>
          <cell r="AF153">
            <v>0</v>
          </cell>
          <cell r="AG153">
            <v>0</v>
          </cell>
          <cell r="AI153">
            <v>3</v>
          </cell>
          <cell r="AJ153">
            <v>19</v>
          </cell>
          <cell r="AL153">
            <v>623915</v>
          </cell>
          <cell r="AM153">
            <v>2792977</v>
          </cell>
          <cell r="AN153">
            <v>7000</v>
          </cell>
        </row>
        <row r="154">
          <cell r="B154">
            <v>140</v>
          </cell>
          <cell r="C154">
            <v>38400</v>
          </cell>
          <cell r="D154">
            <v>20</v>
          </cell>
          <cell r="E154">
            <v>3343542</v>
          </cell>
          <cell r="F154">
            <v>20</v>
          </cell>
          <cell r="H154">
            <v>219925</v>
          </cell>
          <cell r="I154">
            <v>0</v>
          </cell>
          <cell r="J154">
            <v>0</v>
          </cell>
          <cell r="K154">
            <v>0</v>
          </cell>
          <cell r="L154">
            <v>64559</v>
          </cell>
          <cell r="M154">
            <v>2000</v>
          </cell>
          <cell r="N154">
            <v>73052</v>
          </cell>
          <cell r="O154">
            <v>117857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219925</v>
          </cell>
          <cell r="X154">
            <v>0</v>
          </cell>
          <cell r="Y154">
            <v>0</v>
          </cell>
          <cell r="Z154">
            <v>0</v>
          </cell>
          <cell r="AA154">
            <v>64559</v>
          </cell>
          <cell r="AB154">
            <v>2000</v>
          </cell>
          <cell r="AC154">
            <v>73052</v>
          </cell>
          <cell r="AD154">
            <v>117857</v>
          </cell>
          <cell r="AE154">
            <v>0</v>
          </cell>
          <cell r="AF154">
            <v>0</v>
          </cell>
          <cell r="AG154">
            <v>0</v>
          </cell>
          <cell r="AI154">
            <v>3</v>
          </cell>
          <cell r="AJ154">
            <v>20</v>
          </cell>
          <cell r="AL154">
            <v>477393</v>
          </cell>
          <cell r="AM154">
            <v>2866149</v>
          </cell>
          <cell r="AN154">
            <v>7000</v>
          </cell>
        </row>
        <row r="155">
          <cell r="B155">
            <v>141</v>
          </cell>
          <cell r="C155">
            <v>38401</v>
          </cell>
          <cell r="D155">
            <v>21</v>
          </cell>
          <cell r="E155">
            <v>2954916</v>
          </cell>
          <cell r="F155">
            <v>19</v>
          </cell>
          <cell r="H155">
            <v>211361</v>
          </cell>
          <cell r="I155">
            <v>0</v>
          </cell>
          <cell r="J155">
            <v>0</v>
          </cell>
          <cell r="K155">
            <v>0</v>
          </cell>
          <cell r="L155">
            <v>64559</v>
          </cell>
          <cell r="M155">
            <v>2000</v>
          </cell>
          <cell r="N155">
            <v>73052</v>
          </cell>
          <cell r="O155">
            <v>117857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211361</v>
          </cell>
          <cell r="X155">
            <v>0</v>
          </cell>
          <cell r="Y155">
            <v>0</v>
          </cell>
          <cell r="Z155">
            <v>0</v>
          </cell>
          <cell r="AA155">
            <v>64559</v>
          </cell>
          <cell r="AB155">
            <v>2000</v>
          </cell>
          <cell r="AC155">
            <v>73052</v>
          </cell>
          <cell r="AD155">
            <v>117857</v>
          </cell>
          <cell r="AE155">
            <v>0</v>
          </cell>
          <cell r="AF155">
            <v>0</v>
          </cell>
          <cell r="AG155">
            <v>0</v>
          </cell>
          <cell r="AI155">
            <v>3</v>
          </cell>
          <cell r="AJ155">
            <v>21</v>
          </cell>
          <cell r="AL155">
            <v>468829</v>
          </cell>
          <cell r="AM155">
            <v>2486087</v>
          </cell>
          <cell r="AN155">
            <v>7000</v>
          </cell>
        </row>
        <row r="156">
          <cell r="B156">
            <v>142</v>
          </cell>
          <cell r="C156">
            <v>38402</v>
          </cell>
          <cell r="D156">
            <v>22</v>
          </cell>
          <cell r="E156">
            <v>3274904</v>
          </cell>
          <cell r="F156">
            <v>18</v>
          </cell>
          <cell r="H156">
            <v>203130</v>
          </cell>
          <cell r="I156">
            <v>0</v>
          </cell>
          <cell r="J156">
            <v>0</v>
          </cell>
          <cell r="K156">
            <v>0</v>
          </cell>
          <cell r="L156">
            <v>64559</v>
          </cell>
          <cell r="M156">
            <v>2000</v>
          </cell>
          <cell r="N156">
            <v>73052</v>
          </cell>
          <cell r="O156">
            <v>117857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203130</v>
          </cell>
          <cell r="X156">
            <v>0</v>
          </cell>
          <cell r="Y156">
            <v>0</v>
          </cell>
          <cell r="Z156">
            <v>0</v>
          </cell>
          <cell r="AA156">
            <v>64559</v>
          </cell>
          <cell r="AB156">
            <v>2000</v>
          </cell>
          <cell r="AC156">
            <v>73052</v>
          </cell>
          <cell r="AD156">
            <v>117857</v>
          </cell>
          <cell r="AE156">
            <v>0</v>
          </cell>
          <cell r="AF156">
            <v>0</v>
          </cell>
          <cell r="AG156">
            <v>0</v>
          </cell>
          <cell r="AI156">
            <v>3</v>
          </cell>
          <cell r="AJ156">
            <v>22</v>
          </cell>
          <cell r="AL156">
            <v>460598</v>
          </cell>
          <cell r="AM156">
            <v>2814306</v>
          </cell>
          <cell r="AN156">
            <v>7000</v>
          </cell>
        </row>
        <row r="157">
          <cell r="B157">
            <v>143</v>
          </cell>
          <cell r="C157">
            <v>38403</v>
          </cell>
          <cell r="D157">
            <v>23</v>
          </cell>
          <cell r="E157">
            <v>3174025</v>
          </cell>
          <cell r="F157">
            <v>17</v>
          </cell>
          <cell r="H157">
            <v>195220</v>
          </cell>
          <cell r="I157">
            <v>0</v>
          </cell>
          <cell r="J157">
            <v>0</v>
          </cell>
          <cell r="K157">
            <v>0</v>
          </cell>
          <cell r="L157">
            <v>64558</v>
          </cell>
          <cell r="M157">
            <v>2000</v>
          </cell>
          <cell r="N157">
            <v>73052</v>
          </cell>
          <cell r="O157">
            <v>117857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195220</v>
          </cell>
          <cell r="X157">
            <v>0</v>
          </cell>
          <cell r="Y157">
            <v>0</v>
          </cell>
          <cell r="Z157">
            <v>0</v>
          </cell>
          <cell r="AA157">
            <v>64558</v>
          </cell>
          <cell r="AB157">
            <v>2000</v>
          </cell>
          <cell r="AC157">
            <v>73052</v>
          </cell>
          <cell r="AD157">
            <v>117857</v>
          </cell>
          <cell r="AE157">
            <v>0</v>
          </cell>
          <cell r="AF157">
            <v>0</v>
          </cell>
          <cell r="AG157">
            <v>0</v>
          </cell>
          <cell r="AI157">
            <v>3</v>
          </cell>
          <cell r="AJ157">
            <v>23</v>
          </cell>
          <cell r="AL157">
            <v>452687</v>
          </cell>
          <cell r="AM157">
            <v>2721338</v>
          </cell>
          <cell r="AN157">
            <v>7000</v>
          </cell>
        </row>
        <row r="158">
          <cell r="B158">
            <v>144</v>
          </cell>
          <cell r="C158">
            <v>38404</v>
          </cell>
          <cell r="D158">
            <v>24</v>
          </cell>
          <cell r="E158">
            <v>2732442</v>
          </cell>
          <cell r="F158">
            <v>17</v>
          </cell>
          <cell r="H158">
            <v>144202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2000</v>
          </cell>
          <cell r="N158">
            <v>0</v>
          </cell>
          <cell r="O158">
            <v>117857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144202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2000</v>
          </cell>
          <cell r="AC158">
            <v>0</v>
          </cell>
          <cell r="AD158">
            <v>117857</v>
          </cell>
          <cell r="AE158">
            <v>0</v>
          </cell>
          <cell r="AF158">
            <v>0</v>
          </cell>
          <cell r="AG158">
            <v>0</v>
          </cell>
          <cell r="AI158">
            <v>3</v>
          </cell>
          <cell r="AJ158">
            <v>24</v>
          </cell>
          <cell r="AL158">
            <v>264059</v>
          </cell>
          <cell r="AM158">
            <v>2468383</v>
          </cell>
          <cell r="AN158">
            <v>7000</v>
          </cell>
        </row>
        <row r="159">
          <cell r="B159">
            <v>145</v>
          </cell>
          <cell r="C159">
            <v>38405</v>
          </cell>
          <cell r="D159">
            <v>25</v>
          </cell>
          <cell r="E159">
            <v>2531926</v>
          </cell>
          <cell r="F159">
            <v>16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2000</v>
          </cell>
          <cell r="N159">
            <v>0</v>
          </cell>
          <cell r="O159">
            <v>117857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2000</v>
          </cell>
          <cell r="AC159">
            <v>0</v>
          </cell>
          <cell r="AD159">
            <v>117857</v>
          </cell>
          <cell r="AE159">
            <v>0</v>
          </cell>
          <cell r="AF159">
            <v>0</v>
          </cell>
          <cell r="AG159">
            <v>0</v>
          </cell>
          <cell r="AI159">
            <v>3</v>
          </cell>
          <cell r="AJ159">
            <v>25</v>
          </cell>
          <cell r="AL159">
            <v>119857</v>
          </cell>
          <cell r="AM159">
            <v>2412069</v>
          </cell>
          <cell r="AN159">
            <v>7000</v>
          </cell>
        </row>
        <row r="160">
          <cell r="B160">
            <v>146</v>
          </cell>
          <cell r="C160">
            <v>38406</v>
          </cell>
          <cell r="D160">
            <v>26</v>
          </cell>
          <cell r="E160">
            <v>2734731</v>
          </cell>
          <cell r="F160">
            <v>15</v>
          </cell>
          <cell r="H160">
            <v>146491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2000</v>
          </cell>
          <cell r="N160">
            <v>0</v>
          </cell>
          <cell r="O160">
            <v>117857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146491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2000</v>
          </cell>
          <cell r="AC160">
            <v>0</v>
          </cell>
          <cell r="AD160">
            <v>117857</v>
          </cell>
          <cell r="AE160">
            <v>0</v>
          </cell>
          <cell r="AF160">
            <v>0</v>
          </cell>
          <cell r="AG160">
            <v>0</v>
          </cell>
          <cell r="AI160">
            <v>3</v>
          </cell>
          <cell r="AJ160">
            <v>26</v>
          </cell>
          <cell r="AL160">
            <v>266348</v>
          </cell>
          <cell r="AM160">
            <v>2468383</v>
          </cell>
          <cell r="AN160">
            <v>7000</v>
          </cell>
        </row>
        <row r="161">
          <cell r="B161">
            <v>147</v>
          </cell>
          <cell r="C161">
            <v>38407</v>
          </cell>
          <cell r="D161">
            <v>27</v>
          </cell>
          <cell r="E161">
            <v>3231612</v>
          </cell>
          <cell r="F161">
            <v>14</v>
          </cell>
          <cell r="H161">
            <v>176299</v>
          </cell>
          <cell r="I161">
            <v>0</v>
          </cell>
          <cell r="J161">
            <v>0</v>
          </cell>
          <cell r="K161">
            <v>0</v>
          </cell>
          <cell r="L161">
            <v>258236</v>
          </cell>
          <cell r="M161">
            <v>2000</v>
          </cell>
          <cell r="N161">
            <v>208837</v>
          </cell>
          <cell r="O161">
            <v>117857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176299</v>
          </cell>
          <cell r="X161">
            <v>0</v>
          </cell>
          <cell r="Y161">
            <v>0</v>
          </cell>
          <cell r="Z161">
            <v>0</v>
          </cell>
          <cell r="AA161">
            <v>258236</v>
          </cell>
          <cell r="AB161">
            <v>2000</v>
          </cell>
          <cell r="AC161">
            <v>208837</v>
          </cell>
          <cell r="AD161">
            <v>117857</v>
          </cell>
          <cell r="AE161">
            <v>0</v>
          </cell>
          <cell r="AF161">
            <v>0</v>
          </cell>
          <cell r="AG161">
            <v>0</v>
          </cell>
          <cell r="AI161">
            <v>3</v>
          </cell>
          <cell r="AJ161">
            <v>27</v>
          </cell>
          <cell r="AL161">
            <v>763229</v>
          </cell>
          <cell r="AM161">
            <v>2468383</v>
          </cell>
          <cell r="AN161">
            <v>7000</v>
          </cell>
        </row>
        <row r="162">
          <cell r="B162">
            <v>148</v>
          </cell>
          <cell r="C162">
            <v>38408</v>
          </cell>
          <cell r="D162">
            <v>28</v>
          </cell>
          <cell r="E162">
            <v>3297889</v>
          </cell>
          <cell r="F162">
            <v>13</v>
          </cell>
          <cell r="H162">
            <v>169434</v>
          </cell>
          <cell r="I162">
            <v>0</v>
          </cell>
          <cell r="J162">
            <v>0</v>
          </cell>
          <cell r="K162">
            <v>0</v>
          </cell>
          <cell r="L162">
            <v>64559</v>
          </cell>
          <cell r="M162">
            <v>2000</v>
          </cell>
          <cell r="N162">
            <v>156425</v>
          </cell>
          <cell r="O162">
            <v>117857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169434</v>
          </cell>
          <cell r="X162">
            <v>0</v>
          </cell>
          <cell r="Y162">
            <v>0</v>
          </cell>
          <cell r="Z162">
            <v>0</v>
          </cell>
          <cell r="AA162">
            <v>64559</v>
          </cell>
          <cell r="AB162">
            <v>2000</v>
          </cell>
          <cell r="AC162">
            <v>156425</v>
          </cell>
          <cell r="AD162">
            <v>117857</v>
          </cell>
          <cell r="AE162">
            <v>0</v>
          </cell>
          <cell r="AF162">
            <v>0</v>
          </cell>
          <cell r="AG162">
            <v>0</v>
          </cell>
          <cell r="AI162">
            <v>3</v>
          </cell>
          <cell r="AJ162">
            <v>28</v>
          </cell>
          <cell r="AL162">
            <v>510275</v>
          </cell>
          <cell r="AM162">
            <v>2787614</v>
          </cell>
          <cell r="AN162">
            <v>7000</v>
          </cell>
        </row>
        <row r="163">
          <cell r="B163">
            <v>149</v>
          </cell>
          <cell r="C163">
            <v>38409</v>
          </cell>
          <cell r="D163">
            <v>29</v>
          </cell>
          <cell r="E163">
            <v>3209181</v>
          </cell>
          <cell r="F163">
            <v>13</v>
          </cell>
          <cell r="H163">
            <v>162836</v>
          </cell>
          <cell r="I163">
            <v>0</v>
          </cell>
          <cell r="J163">
            <v>0</v>
          </cell>
          <cell r="K163">
            <v>0</v>
          </cell>
          <cell r="L163">
            <v>64559</v>
          </cell>
          <cell r="M163">
            <v>2000</v>
          </cell>
          <cell r="N163">
            <v>73052</v>
          </cell>
          <cell r="O163">
            <v>117857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162836</v>
          </cell>
          <cell r="X163">
            <v>0</v>
          </cell>
          <cell r="Y163">
            <v>0</v>
          </cell>
          <cell r="Z163">
            <v>0</v>
          </cell>
          <cell r="AA163">
            <v>64559</v>
          </cell>
          <cell r="AB163">
            <v>2000</v>
          </cell>
          <cell r="AC163">
            <v>73052</v>
          </cell>
          <cell r="AD163">
            <v>117857</v>
          </cell>
          <cell r="AE163">
            <v>0</v>
          </cell>
          <cell r="AF163">
            <v>0</v>
          </cell>
          <cell r="AG163">
            <v>0</v>
          </cell>
          <cell r="AI163">
            <v>3</v>
          </cell>
          <cell r="AJ163">
            <v>29</v>
          </cell>
          <cell r="AL163">
            <v>420304</v>
          </cell>
          <cell r="AM163">
            <v>2788877</v>
          </cell>
          <cell r="AN163">
            <v>7000</v>
          </cell>
        </row>
        <row r="164">
          <cell r="B164">
            <v>150</v>
          </cell>
          <cell r="C164">
            <v>38410</v>
          </cell>
          <cell r="D164">
            <v>30</v>
          </cell>
          <cell r="E164">
            <v>3098860</v>
          </cell>
          <cell r="F164">
            <v>11</v>
          </cell>
          <cell r="H164">
            <v>156495</v>
          </cell>
          <cell r="I164">
            <v>0</v>
          </cell>
          <cell r="J164">
            <v>0</v>
          </cell>
          <cell r="K164">
            <v>0</v>
          </cell>
          <cell r="L164">
            <v>64559</v>
          </cell>
          <cell r="M164">
            <v>2000</v>
          </cell>
          <cell r="N164">
            <v>73052</v>
          </cell>
          <cell r="O164">
            <v>117857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156495</v>
          </cell>
          <cell r="X164">
            <v>0</v>
          </cell>
          <cell r="Y164">
            <v>0</v>
          </cell>
          <cell r="Z164">
            <v>0</v>
          </cell>
          <cell r="AA164">
            <v>64559</v>
          </cell>
          <cell r="AB164">
            <v>2000</v>
          </cell>
          <cell r="AC164">
            <v>73052</v>
          </cell>
          <cell r="AD164">
            <v>117857</v>
          </cell>
          <cell r="AE164">
            <v>0</v>
          </cell>
          <cell r="AF164">
            <v>0</v>
          </cell>
          <cell r="AG164">
            <v>0</v>
          </cell>
          <cell r="AI164">
            <v>3</v>
          </cell>
          <cell r="AJ164">
            <v>30</v>
          </cell>
          <cell r="AL164">
            <v>413963</v>
          </cell>
          <cell r="AM164">
            <v>2684897</v>
          </cell>
          <cell r="AN164">
            <v>7000</v>
          </cell>
        </row>
        <row r="165">
          <cell r="B165">
            <v>151</v>
          </cell>
          <cell r="C165">
            <v>38411</v>
          </cell>
          <cell r="D165">
            <v>31</v>
          </cell>
          <cell r="E165">
            <v>2763970</v>
          </cell>
          <cell r="F165">
            <v>9</v>
          </cell>
          <cell r="H165">
            <v>111172</v>
          </cell>
          <cell r="I165">
            <v>0</v>
          </cell>
          <cell r="J165">
            <v>0</v>
          </cell>
          <cell r="K165">
            <v>0</v>
          </cell>
          <cell r="L165">
            <v>64558</v>
          </cell>
          <cell r="M165">
            <v>2000</v>
          </cell>
          <cell r="N165">
            <v>0</v>
          </cell>
          <cell r="O165">
            <v>117857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111172</v>
          </cell>
          <cell r="X165">
            <v>0</v>
          </cell>
          <cell r="Y165">
            <v>0</v>
          </cell>
          <cell r="Z165">
            <v>0</v>
          </cell>
          <cell r="AA165">
            <v>64558</v>
          </cell>
          <cell r="AB165">
            <v>2000</v>
          </cell>
          <cell r="AC165">
            <v>0</v>
          </cell>
          <cell r="AD165">
            <v>117857</v>
          </cell>
          <cell r="AE165">
            <v>0</v>
          </cell>
          <cell r="AF165">
            <v>0</v>
          </cell>
          <cell r="AG165">
            <v>0</v>
          </cell>
          <cell r="AI165">
            <v>3</v>
          </cell>
          <cell r="AJ165">
            <v>31</v>
          </cell>
          <cell r="AL165">
            <v>295587</v>
          </cell>
          <cell r="AM165">
            <v>2468383</v>
          </cell>
          <cell r="AN165">
            <v>7000</v>
          </cell>
        </row>
        <row r="166">
          <cell r="B166">
            <v>152</v>
          </cell>
          <cell r="C166">
            <v>38413</v>
          </cell>
          <cell r="D166">
            <v>1</v>
          </cell>
          <cell r="E166">
            <v>2659205</v>
          </cell>
          <cell r="F166">
            <v>1</v>
          </cell>
          <cell r="H166">
            <v>146072</v>
          </cell>
          <cell r="I166">
            <v>0</v>
          </cell>
          <cell r="J166">
            <v>0</v>
          </cell>
          <cell r="K166">
            <v>0</v>
          </cell>
          <cell r="L166">
            <v>64559</v>
          </cell>
          <cell r="M166">
            <v>2000</v>
          </cell>
          <cell r="N166">
            <v>111745</v>
          </cell>
          <cell r="O166">
            <v>117857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146072</v>
          </cell>
          <cell r="X166">
            <v>0</v>
          </cell>
          <cell r="Y166">
            <v>0</v>
          </cell>
          <cell r="Z166">
            <v>0</v>
          </cell>
          <cell r="AA166">
            <v>64559</v>
          </cell>
          <cell r="AB166">
            <v>2000</v>
          </cell>
          <cell r="AC166">
            <v>111745</v>
          </cell>
          <cell r="AD166">
            <v>117857</v>
          </cell>
          <cell r="AE166">
            <v>0</v>
          </cell>
          <cell r="AF166">
            <v>0</v>
          </cell>
          <cell r="AG166">
            <v>0</v>
          </cell>
          <cell r="AI166">
            <v>4</v>
          </cell>
          <cell r="AJ166">
            <v>1</v>
          </cell>
          <cell r="AL166">
            <v>442233</v>
          </cell>
          <cell r="AM166">
            <v>2216972</v>
          </cell>
          <cell r="AN166">
            <v>7000</v>
          </cell>
        </row>
        <row r="167">
          <cell r="B167">
            <v>153</v>
          </cell>
          <cell r="C167">
            <v>38414</v>
          </cell>
          <cell r="D167">
            <v>2</v>
          </cell>
          <cell r="E167">
            <v>2874389</v>
          </cell>
          <cell r="F167">
            <v>4</v>
          </cell>
          <cell r="H167">
            <v>140384</v>
          </cell>
          <cell r="I167">
            <v>0</v>
          </cell>
          <cell r="J167">
            <v>0</v>
          </cell>
          <cell r="K167">
            <v>0</v>
          </cell>
          <cell r="L167">
            <v>64559</v>
          </cell>
          <cell r="M167">
            <v>115081</v>
          </cell>
          <cell r="N167">
            <v>107412</v>
          </cell>
          <cell r="O167">
            <v>108196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140384</v>
          </cell>
          <cell r="X167">
            <v>0</v>
          </cell>
          <cell r="Y167">
            <v>0</v>
          </cell>
          <cell r="Z167">
            <v>0</v>
          </cell>
          <cell r="AA167">
            <v>64559</v>
          </cell>
          <cell r="AB167">
            <v>115081</v>
          </cell>
          <cell r="AC167">
            <v>107412</v>
          </cell>
          <cell r="AD167">
            <v>108196</v>
          </cell>
          <cell r="AE167">
            <v>0</v>
          </cell>
          <cell r="AF167">
            <v>0</v>
          </cell>
          <cell r="AG167">
            <v>0</v>
          </cell>
          <cell r="AI167">
            <v>4</v>
          </cell>
          <cell r="AJ167">
            <v>2</v>
          </cell>
          <cell r="AL167">
            <v>535632</v>
          </cell>
          <cell r="AM167">
            <v>2338757</v>
          </cell>
          <cell r="AN167">
            <v>7000</v>
          </cell>
        </row>
        <row r="168">
          <cell r="B168">
            <v>154</v>
          </cell>
          <cell r="C168">
            <v>38415</v>
          </cell>
          <cell r="D168">
            <v>3</v>
          </cell>
          <cell r="E168">
            <v>3453114</v>
          </cell>
          <cell r="F168">
            <v>6</v>
          </cell>
          <cell r="H168">
            <v>134918</v>
          </cell>
          <cell r="I168">
            <v>0</v>
          </cell>
          <cell r="J168">
            <v>0</v>
          </cell>
          <cell r="K168">
            <v>0</v>
          </cell>
          <cell r="L168">
            <v>64559</v>
          </cell>
          <cell r="M168">
            <v>40678</v>
          </cell>
          <cell r="N168">
            <v>73052</v>
          </cell>
          <cell r="O168">
            <v>108197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134918</v>
          </cell>
          <cell r="X168">
            <v>0</v>
          </cell>
          <cell r="Y168">
            <v>0</v>
          </cell>
          <cell r="Z168">
            <v>0</v>
          </cell>
          <cell r="AA168">
            <v>64559</v>
          </cell>
          <cell r="AB168">
            <v>40678</v>
          </cell>
          <cell r="AC168">
            <v>73052</v>
          </cell>
          <cell r="AD168">
            <v>108197</v>
          </cell>
          <cell r="AE168">
            <v>0</v>
          </cell>
          <cell r="AF168">
            <v>0</v>
          </cell>
          <cell r="AG168">
            <v>0</v>
          </cell>
          <cell r="AI168">
            <v>4</v>
          </cell>
          <cell r="AJ168">
            <v>3</v>
          </cell>
          <cell r="AL168">
            <v>421404</v>
          </cell>
          <cell r="AM168">
            <v>3031710</v>
          </cell>
          <cell r="AN168">
            <v>7000</v>
          </cell>
        </row>
        <row r="169">
          <cell r="B169">
            <v>155</v>
          </cell>
          <cell r="C169">
            <v>38416</v>
          </cell>
          <cell r="D169">
            <v>4</v>
          </cell>
          <cell r="E169">
            <v>2997212</v>
          </cell>
          <cell r="F169">
            <v>8</v>
          </cell>
          <cell r="H169">
            <v>129664</v>
          </cell>
          <cell r="I169">
            <v>0</v>
          </cell>
          <cell r="J169">
            <v>0</v>
          </cell>
          <cell r="K169">
            <v>0</v>
          </cell>
          <cell r="L169">
            <v>64558</v>
          </cell>
          <cell r="M169">
            <v>40677</v>
          </cell>
          <cell r="N169">
            <v>73052</v>
          </cell>
          <cell r="O169">
            <v>108196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129664</v>
          </cell>
          <cell r="X169">
            <v>0</v>
          </cell>
          <cell r="Y169">
            <v>0</v>
          </cell>
          <cell r="Z169">
            <v>0</v>
          </cell>
          <cell r="AA169">
            <v>64558</v>
          </cell>
          <cell r="AB169">
            <v>40677</v>
          </cell>
          <cell r="AC169">
            <v>73052</v>
          </cell>
          <cell r="AD169">
            <v>108196</v>
          </cell>
          <cell r="AE169">
            <v>0</v>
          </cell>
          <cell r="AF169">
            <v>0</v>
          </cell>
          <cell r="AG169">
            <v>0</v>
          </cell>
          <cell r="AI169">
            <v>4</v>
          </cell>
          <cell r="AJ169">
            <v>4</v>
          </cell>
          <cell r="AL169">
            <v>416147</v>
          </cell>
          <cell r="AM169">
            <v>2581065</v>
          </cell>
          <cell r="AN169">
            <v>7000</v>
          </cell>
        </row>
        <row r="170">
          <cell r="B170">
            <v>156</v>
          </cell>
          <cell r="C170">
            <v>38417</v>
          </cell>
          <cell r="D170">
            <v>5</v>
          </cell>
          <cell r="E170">
            <v>3158840</v>
          </cell>
          <cell r="F170">
            <v>10</v>
          </cell>
          <cell r="H170">
            <v>124615</v>
          </cell>
          <cell r="I170">
            <v>0</v>
          </cell>
          <cell r="J170">
            <v>0</v>
          </cell>
          <cell r="K170">
            <v>0</v>
          </cell>
          <cell r="L170">
            <v>64559</v>
          </cell>
          <cell r="M170">
            <v>40678</v>
          </cell>
          <cell r="N170">
            <v>73052</v>
          </cell>
          <cell r="O170">
            <v>108197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124615</v>
          </cell>
          <cell r="X170">
            <v>0</v>
          </cell>
          <cell r="Y170">
            <v>0</v>
          </cell>
          <cell r="Z170">
            <v>0</v>
          </cell>
          <cell r="AA170">
            <v>64559</v>
          </cell>
          <cell r="AB170">
            <v>40678</v>
          </cell>
          <cell r="AC170">
            <v>73052</v>
          </cell>
          <cell r="AD170">
            <v>108197</v>
          </cell>
          <cell r="AE170">
            <v>0</v>
          </cell>
          <cell r="AF170">
            <v>0</v>
          </cell>
          <cell r="AG170">
            <v>0</v>
          </cell>
          <cell r="AI170">
            <v>4</v>
          </cell>
          <cell r="AJ170">
            <v>5</v>
          </cell>
          <cell r="AL170">
            <v>411101</v>
          </cell>
          <cell r="AM170">
            <v>2747739</v>
          </cell>
          <cell r="AN170">
            <v>7000</v>
          </cell>
        </row>
        <row r="171">
          <cell r="B171">
            <v>157</v>
          </cell>
          <cell r="C171">
            <v>38418</v>
          </cell>
          <cell r="D171">
            <v>6</v>
          </cell>
          <cell r="E171">
            <v>2473590</v>
          </cell>
          <cell r="F171">
            <v>11</v>
          </cell>
          <cell r="H171">
            <v>63247</v>
          </cell>
          <cell r="I171">
            <v>0</v>
          </cell>
          <cell r="J171">
            <v>0</v>
          </cell>
          <cell r="K171">
            <v>0</v>
          </cell>
          <cell r="L171">
            <v>64559</v>
          </cell>
          <cell r="M171">
            <v>40678</v>
          </cell>
          <cell r="N171">
            <v>73052</v>
          </cell>
          <cell r="O171">
            <v>108196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63247</v>
          </cell>
          <cell r="X171">
            <v>0</v>
          </cell>
          <cell r="Y171">
            <v>0</v>
          </cell>
          <cell r="Z171">
            <v>0</v>
          </cell>
          <cell r="AA171">
            <v>64559</v>
          </cell>
          <cell r="AB171">
            <v>40678</v>
          </cell>
          <cell r="AC171">
            <v>73052</v>
          </cell>
          <cell r="AD171">
            <v>108196</v>
          </cell>
          <cell r="AE171">
            <v>0</v>
          </cell>
          <cell r="AF171">
            <v>0</v>
          </cell>
          <cell r="AG171">
            <v>0</v>
          </cell>
          <cell r="AI171">
            <v>4</v>
          </cell>
          <cell r="AJ171">
            <v>6</v>
          </cell>
          <cell r="AL171">
            <v>349732</v>
          </cell>
          <cell r="AM171">
            <v>2123858</v>
          </cell>
          <cell r="AN171">
            <v>7000</v>
          </cell>
        </row>
        <row r="172">
          <cell r="B172">
            <v>158</v>
          </cell>
          <cell r="C172">
            <v>38419</v>
          </cell>
          <cell r="D172">
            <v>7</v>
          </cell>
          <cell r="E172">
            <v>1766035</v>
          </cell>
          <cell r="F172">
            <v>12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2000</v>
          </cell>
          <cell r="N172">
            <v>0</v>
          </cell>
          <cell r="O172">
            <v>5000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2000</v>
          </cell>
          <cell r="AC172">
            <v>0</v>
          </cell>
          <cell r="AD172">
            <v>5000</v>
          </cell>
          <cell r="AE172">
            <v>0</v>
          </cell>
          <cell r="AF172">
            <v>0</v>
          </cell>
          <cell r="AG172">
            <v>0</v>
          </cell>
          <cell r="AI172">
            <v>4</v>
          </cell>
          <cell r="AJ172">
            <v>7</v>
          </cell>
          <cell r="AL172">
            <v>7000</v>
          </cell>
          <cell r="AM172">
            <v>1759035</v>
          </cell>
          <cell r="AN172">
            <v>7000</v>
          </cell>
        </row>
        <row r="173">
          <cell r="B173">
            <v>159</v>
          </cell>
          <cell r="C173">
            <v>38420</v>
          </cell>
          <cell r="D173">
            <v>8</v>
          </cell>
          <cell r="E173">
            <v>1693219</v>
          </cell>
          <cell r="F173">
            <v>13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2000</v>
          </cell>
          <cell r="N173">
            <v>0</v>
          </cell>
          <cell r="O173">
            <v>5000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2000</v>
          </cell>
          <cell r="AC173">
            <v>0</v>
          </cell>
          <cell r="AD173">
            <v>5000</v>
          </cell>
          <cell r="AE173">
            <v>0</v>
          </cell>
          <cell r="AF173">
            <v>0</v>
          </cell>
          <cell r="AG173">
            <v>0</v>
          </cell>
          <cell r="AI173">
            <v>4</v>
          </cell>
          <cell r="AJ173">
            <v>8</v>
          </cell>
          <cell r="AL173">
            <v>7000</v>
          </cell>
          <cell r="AM173">
            <v>1686219</v>
          </cell>
          <cell r="AN173">
            <v>7000</v>
          </cell>
        </row>
        <row r="174">
          <cell r="B174">
            <v>160</v>
          </cell>
          <cell r="C174">
            <v>38421</v>
          </cell>
          <cell r="D174">
            <v>9</v>
          </cell>
          <cell r="E174">
            <v>2190716</v>
          </cell>
          <cell r="F174">
            <v>14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2000</v>
          </cell>
          <cell r="N174">
            <v>0</v>
          </cell>
          <cell r="O174">
            <v>155956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2000</v>
          </cell>
          <cell r="AC174">
            <v>0</v>
          </cell>
          <cell r="AD174">
            <v>155956</v>
          </cell>
          <cell r="AE174">
            <v>0</v>
          </cell>
          <cell r="AF174">
            <v>0</v>
          </cell>
          <cell r="AG174">
            <v>0</v>
          </cell>
          <cell r="AI174">
            <v>4</v>
          </cell>
          <cell r="AJ174">
            <v>9</v>
          </cell>
          <cell r="AL174">
            <v>157956</v>
          </cell>
          <cell r="AM174">
            <v>2032760</v>
          </cell>
          <cell r="AN174">
            <v>7000</v>
          </cell>
        </row>
        <row r="175">
          <cell r="B175">
            <v>161</v>
          </cell>
          <cell r="C175">
            <v>38422</v>
          </cell>
          <cell r="D175">
            <v>10</v>
          </cell>
          <cell r="E175">
            <v>2533323</v>
          </cell>
          <cell r="F175">
            <v>15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231732</v>
          </cell>
          <cell r="M175">
            <v>2000</v>
          </cell>
          <cell r="N175">
            <v>0</v>
          </cell>
          <cell r="O175">
            <v>266831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231732</v>
          </cell>
          <cell r="AB175">
            <v>2000</v>
          </cell>
          <cell r="AC175">
            <v>0</v>
          </cell>
          <cell r="AD175">
            <v>266831</v>
          </cell>
          <cell r="AE175">
            <v>0</v>
          </cell>
          <cell r="AF175">
            <v>0</v>
          </cell>
          <cell r="AG175">
            <v>0</v>
          </cell>
          <cell r="AI175">
            <v>4</v>
          </cell>
          <cell r="AJ175">
            <v>10</v>
          </cell>
          <cell r="AL175">
            <v>500563</v>
          </cell>
          <cell r="AM175">
            <v>2032760</v>
          </cell>
          <cell r="AN175">
            <v>7000</v>
          </cell>
        </row>
        <row r="176">
          <cell r="B176">
            <v>162</v>
          </cell>
          <cell r="C176">
            <v>38423</v>
          </cell>
          <cell r="D176">
            <v>11</v>
          </cell>
          <cell r="E176">
            <v>2068882</v>
          </cell>
          <cell r="F176">
            <v>16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2000</v>
          </cell>
          <cell r="N176">
            <v>0</v>
          </cell>
          <cell r="O176">
            <v>34122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2000</v>
          </cell>
          <cell r="AC176">
            <v>0</v>
          </cell>
          <cell r="AD176">
            <v>34122</v>
          </cell>
          <cell r="AE176">
            <v>0</v>
          </cell>
          <cell r="AF176">
            <v>0</v>
          </cell>
          <cell r="AG176">
            <v>0</v>
          </cell>
          <cell r="AI176">
            <v>4</v>
          </cell>
          <cell r="AJ176">
            <v>11</v>
          </cell>
          <cell r="AL176">
            <v>36122</v>
          </cell>
          <cell r="AM176">
            <v>2032760</v>
          </cell>
          <cell r="AN176">
            <v>7000</v>
          </cell>
        </row>
        <row r="177">
          <cell r="B177">
            <v>163</v>
          </cell>
          <cell r="C177">
            <v>38424</v>
          </cell>
          <cell r="D177">
            <v>12</v>
          </cell>
          <cell r="E177">
            <v>2199985</v>
          </cell>
          <cell r="F177">
            <v>16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2000</v>
          </cell>
          <cell r="N177">
            <v>0</v>
          </cell>
          <cell r="O177">
            <v>165225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2000</v>
          </cell>
          <cell r="AC177">
            <v>0</v>
          </cell>
          <cell r="AD177">
            <v>165225</v>
          </cell>
          <cell r="AE177">
            <v>0</v>
          </cell>
          <cell r="AF177">
            <v>0</v>
          </cell>
          <cell r="AG177">
            <v>0</v>
          </cell>
          <cell r="AI177">
            <v>4</v>
          </cell>
          <cell r="AJ177">
            <v>12</v>
          </cell>
          <cell r="AL177">
            <v>167225</v>
          </cell>
          <cell r="AM177">
            <v>2032760</v>
          </cell>
          <cell r="AN177">
            <v>7000</v>
          </cell>
        </row>
        <row r="178">
          <cell r="B178">
            <v>164</v>
          </cell>
          <cell r="C178">
            <v>38425</v>
          </cell>
          <cell r="D178">
            <v>13</v>
          </cell>
          <cell r="E178">
            <v>2011493</v>
          </cell>
          <cell r="F178">
            <v>18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2000</v>
          </cell>
          <cell r="N178">
            <v>0</v>
          </cell>
          <cell r="O178">
            <v>5000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2000</v>
          </cell>
          <cell r="AC178">
            <v>0</v>
          </cell>
          <cell r="AD178">
            <v>5000</v>
          </cell>
          <cell r="AE178">
            <v>0</v>
          </cell>
          <cell r="AF178">
            <v>0</v>
          </cell>
          <cell r="AG178">
            <v>0</v>
          </cell>
          <cell r="AI178">
            <v>4</v>
          </cell>
          <cell r="AJ178">
            <v>13</v>
          </cell>
          <cell r="AL178">
            <v>7000</v>
          </cell>
          <cell r="AM178">
            <v>2004493</v>
          </cell>
          <cell r="AN178">
            <v>7000</v>
          </cell>
        </row>
        <row r="179">
          <cell r="B179">
            <v>165</v>
          </cell>
          <cell r="C179">
            <v>38426</v>
          </cell>
          <cell r="D179">
            <v>14</v>
          </cell>
          <cell r="E179">
            <v>1865904</v>
          </cell>
          <cell r="F179">
            <v>19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2000</v>
          </cell>
          <cell r="N179">
            <v>0</v>
          </cell>
          <cell r="O179">
            <v>5000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2000</v>
          </cell>
          <cell r="AC179">
            <v>0</v>
          </cell>
          <cell r="AD179">
            <v>5000</v>
          </cell>
          <cell r="AE179">
            <v>0</v>
          </cell>
          <cell r="AF179">
            <v>0</v>
          </cell>
          <cell r="AG179">
            <v>0</v>
          </cell>
          <cell r="AI179">
            <v>4</v>
          </cell>
          <cell r="AJ179">
            <v>14</v>
          </cell>
          <cell r="AL179">
            <v>7000</v>
          </cell>
          <cell r="AM179">
            <v>1858904</v>
          </cell>
          <cell r="AN179">
            <v>7000</v>
          </cell>
        </row>
        <row r="180">
          <cell r="B180">
            <v>166</v>
          </cell>
          <cell r="C180">
            <v>38427</v>
          </cell>
          <cell r="D180">
            <v>15</v>
          </cell>
          <cell r="E180">
            <v>2147337</v>
          </cell>
          <cell r="F180">
            <v>21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2000</v>
          </cell>
          <cell r="N180">
            <v>0</v>
          </cell>
          <cell r="O180">
            <v>112577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2000</v>
          </cell>
          <cell r="AC180">
            <v>0</v>
          </cell>
          <cell r="AD180">
            <v>112577</v>
          </cell>
          <cell r="AE180">
            <v>0</v>
          </cell>
          <cell r="AF180">
            <v>0</v>
          </cell>
          <cell r="AG180">
            <v>0</v>
          </cell>
          <cell r="AI180">
            <v>4</v>
          </cell>
          <cell r="AJ180">
            <v>15</v>
          </cell>
          <cell r="AL180">
            <v>114577</v>
          </cell>
          <cell r="AM180">
            <v>2032760</v>
          </cell>
          <cell r="AN180">
            <v>7000</v>
          </cell>
        </row>
        <row r="181">
          <cell r="B181">
            <v>167</v>
          </cell>
          <cell r="C181">
            <v>38428</v>
          </cell>
          <cell r="D181">
            <v>16</v>
          </cell>
          <cell r="E181">
            <v>1998522</v>
          </cell>
          <cell r="F181">
            <v>22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2000</v>
          </cell>
          <cell r="N181">
            <v>0</v>
          </cell>
          <cell r="O181">
            <v>5000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2000</v>
          </cell>
          <cell r="AC181">
            <v>0</v>
          </cell>
          <cell r="AD181">
            <v>5000</v>
          </cell>
          <cell r="AE181">
            <v>0</v>
          </cell>
          <cell r="AF181">
            <v>0</v>
          </cell>
          <cell r="AG181">
            <v>0</v>
          </cell>
          <cell r="AI181">
            <v>4</v>
          </cell>
          <cell r="AJ181">
            <v>16</v>
          </cell>
          <cell r="AL181">
            <v>7000</v>
          </cell>
          <cell r="AM181">
            <v>1991522</v>
          </cell>
          <cell r="AN181">
            <v>7000</v>
          </cell>
        </row>
        <row r="182">
          <cell r="B182">
            <v>168</v>
          </cell>
          <cell r="C182">
            <v>38429</v>
          </cell>
          <cell r="D182">
            <v>17</v>
          </cell>
          <cell r="E182">
            <v>1884799</v>
          </cell>
          <cell r="F182">
            <v>19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2000</v>
          </cell>
          <cell r="N182">
            <v>0</v>
          </cell>
          <cell r="O182">
            <v>5000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2000</v>
          </cell>
          <cell r="AC182">
            <v>0</v>
          </cell>
          <cell r="AD182">
            <v>5000</v>
          </cell>
          <cell r="AE182">
            <v>0</v>
          </cell>
          <cell r="AF182">
            <v>0</v>
          </cell>
          <cell r="AG182">
            <v>0</v>
          </cell>
          <cell r="AI182">
            <v>4</v>
          </cell>
          <cell r="AJ182">
            <v>17</v>
          </cell>
          <cell r="AL182">
            <v>7000</v>
          </cell>
          <cell r="AM182">
            <v>1877799</v>
          </cell>
          <cell r="AN182">
            <v>7000</v>
          </cell>
        </row>
        <row r="183">
          <cell r="B183">
            <v>169</v>
          </cell>
          <cell r="C183">
            <v>38430</v>
          </cell>
          <cell r="D183">
            <v>18</v>
          </cell>
          <cell r="E183">
            <v>2672436</v>
          </cell>
          <cell r="F183">
            <v>18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266580</v>
          </cell>
          <cell r="M183">
            <v>109480</v>
          </cell>
          <cell r="N183">
            <v>0</v>
          </cell>
          <cell r="O183">
            <v>263616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266580</v>
          </cell>
          <cell r="AB183">
            <v>109480</v>
          </cell>
          <cell r="AC183">
            <v>0</v>
          </cell>
          <cell r="AD183">
            <v>263616</v>
          </cell>
          <cell r="AE183">
            <v>0</v>
          </cell>
          <cell r="AF183">
            <v>0</v>
          </cell>
          <cell r="AG183">
            <v>0</v>
          </cell>
          <cell r="AI183">
            <v>4</v>
          </cell>
          <cell r="AJ183">
            <v>18</v>
          </cell>
          <cell r="AL183">
            <v>639676</v>
          </cell>
          <cell r="AM183">
            <v>2032760</v>
          </cell>
          <cell r="AN183">
            <v>7000</v>
          </cell>
        </row>
        <row r="184">
          <cell r="B184">
            <v>170</v>
          </cell>
          <cell r="C184">
            <v>38431</v>
          </cell>
          <cell r="D184">
            <v>19</v>
          </cell>
          <cell r="E184">
            <v>2600046</v>
          </cell>
          <cell r="F184">
            <v>17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255627</v>
          </cell>
          <cell r="M184">
            <v>48043</v>
          </cell>
          <cell r="N184">
            <v>0</v>
          </cell>
          <cell r="O184">
            <v>263616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255627</v>
          </cell>
          <cell r="AB184">
            <v>48043</v>
          </cell>
          <cell r="AC184">
            <v>0</v>
          </cell>
          <cell r="AD184">
            <v>263616</v>
          </cell>
          <cell r="AE184">
            <v>0</v>
          </cell>
          <cell r="AF184">
            <v>0</v>
          </cell>
          <cell r="AG184">
            <v>0</v>
          </cell>
          <cell r="AI184">
            <v>4</v>
          </cell>
          <cell r="AJ184">
            <v>19</v>
          </cell>
          <cell r="AL184">
            <v>567286</v>
          </cell>
          <cell r="AM184">
            <v>2032760</v>
          </cell>
          <cell r="AN184">
            <v>7000</v>
          </cell>
        </row>
        <row r="185">
          <cell r="B185">
            <v>171</v>
          </cell>
          <cell r="C185">
            <v>38432</v>
          </cell>
          <cell r="D185">
            <v>20</v>
          </cell>
          <cell r="E185">
            <v>1836811</v>
          </cell>
          <cell r="F185">
            <v>16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2000</v>
          </cell>
          <cell r="N185">
            <v>0</v>
          </cell>
          <cell r="O185">
            <v>5000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2000</v>
          </cell>
          <cell r="AC185">
            <v>0</v>
          </cell>
          <cell r="AD185">
            <v>5000</v>
          </cell>
          <cell r="AE185">
            <v>0</v>
          </cell>
          <cell r="AF185">
            <v>0</v>
          </cell>
          <cell r="AG185">
            <v>0</v>
          </cell>
          <cell r="AI185">
            <v>4</v>
          </cell>
          <cell r="AJ185">
            <v>20</v>
          </cell>
          <cell r="AL185">
            <v>7000</v>
          </cell>
          <cell r="AM185">
            <v>1829811</v>
          </cell>
          <cell r="AN185">
            <v>7000</v>
          </cell>
        </row>
        <row r="186">
          <cell r="B186">
            <v>172</v>
          </cell>
          <cell r="C186">
            <v>38433</v>
          </cell>
          <cell r="D186">
            <v>21</v>
          </cell>
          <cell r="E186">
            <v>1377210</v>
          </cell>
          <cell r="F186">
            <v>15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2000</v>
          </cell>
          <cell r="N186">
            <v>0</v>
          </cell>
          <cell r="O186">
            <v>5000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2000</v>
          </cell>
          <cell r="AC186">
            <v>0</v>
          </cell>
          <cell r="AD186">
            <v>5000</v>
          </cell>
          <cell r="AE186">
            <v>0</v>
          </cell>
          <cell r="AF186">
            <v>0</v>
          </cell>
          <cell r="AG186">
            <v>0</v>
          </cell>
          <cell r="AI186">
            <v>4</v>
          </cell>
          <cell r="AJ186">
            <v>21</v>
          </cell>
          <cell r="AL186">
            <v>7000</v>
          </cell>
          <cell r="AM186">
            <v>1370210</v>
          </cell>
          <cell r="AN186">
            <v>7000</v>
          </cell>
        </row>
        <row r="187">
          <cell r="B187">
            <v>173</v>
          </cell>
          <cell r="C187">
            <v>38434</v>
          </cell>
          <cell r="D187">
            <v>22</v>
          </cell>
          <cell r="E187">
            <v>1381141</v>
          </cell>
          <cell r="F187">
            <v>14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2000</v>
          </cell>
          <cell r="N187">
            <v>0</v>
          </cell>
          <cell r="O187">
            <v>5000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2000</v>
          </cell>
          <cell r="AC187">
            <v>0</v>
          </cell>
          <cell r="AD187">
            <v>5000</v>
          </cell>
          <cell r="AE187">
            <v>0</v>
          </cell>
          <cell r="AF187">
            <v>0</v>
          </cell>
          <cell r="AG187">
            <v>0</v>
          </cell>
          <cell r="AI187">
            <v>4</v>
          </cell>
          <cell r="AJ187">
            <v>22</v>
          </cell>
          <cell r="AL187">
            <v>7000</v>
          </cell>
          <cell r="AM187">
            <v>1374141</v>
          </cell>
          <cell r="AN187">
            <v>7000</v>
          </cell>
        </row>
        <row r="188">
          <cell r="B188">
            <v>174</v>
          </cell>
          <cell r="C188">
            <v>38435</v>
          </cell>
          <cell r="D188">
            <v>23</v>
          </cell>
          <cell r="E188">
            <v>1565232</v>
          </cell>
          <cell r="F188">
            <v>13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2000</v>
          </cell>
          <cell r="N188">
            <v>0</v>
          </cell>
          <cell r="O188">
            <v>5000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2000</v>
          </cell>
          <cell r="AC188">
            <v>0</v>
          </cell>
          <cell r="AD188">
            <v>5000</v>
          </cell>
          <cell r="AE188">
            <v>0</v>
          </cell>
          <cell r="AF188">
            <v>0</v>
          </cell>
          <cell r="AG188">
            <v>0</v>
          </cell>
          <cell r="AI188">
            <v>4</v>
          </cell>
          <cell r="AJ188">
            <v>23</v>
          </cell>
          <cell r="AL188">
            <v>7000</v>
          </cell>
          <cell r="AM188">
            <v>1558232</v>
          </cell>
          <cell r="AN188">
            <v>7000</v>
          </cell>
        </row>
        <row r="189">
          <cell r="B189">
            <v>175</v>
          </cell>
          <cell r="C189">
            <v>38436</v>
          </cell>
          <cell r="D189">
            <v>24</v>
          </cell>
          <cell r="E189">
            <v>2152544</v>
          </cell>
          <cell r="F189">
            <v>13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2000</v>
          </cell>
          <cell r="N189">
            <v>0</v>
          </cell>
          <cell r="O189">
            <v>117784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2000</v>
          </cell>
          <cell r="AC189">
            <v>0</v>
          </cell>
          <cell r="AD189">
            <v>117784</v>
          </cell>
          <cell r="AE189">
            <v>0</v>
          </cell>
          <cell r="AF189">
            <v>0</v>
          </cell>
          <cell r="AG189">
            <v>0</v>
          </cell>
          <cell r="AI189">
            <v>4</v>
          </cell>
          <cell r="AJ189">
            <v>24</v>
          </cell>
          <cell r="AL189">
            <v>119784</v>
          </cell>
          <cell r="AM189">
            <v>2032760</v>
          </cell>
          <cell r="AN189">
            <v>7000</v>
          </cell>
        </row>
        <row r="190">
          <cell r="B190">
            <v>176</v>
          </cell>
          <cell r="C190">
            <v>38437</v>
          </cell>
          <cell r="D190">
            <v>25</v>
          </cell>
          <cell r="E190">
            <v>2828200</v>
          </cell>
          <cell r="F190">
            <v>12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245124</v>
          </cell>
          <cell r="M190">
            <v>286700</v>
          </cell>
          <cell r="N190">
            <v>0</v>
          </cell>
          <cell r="O190">
            <v>263616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245124</v>
          </cell>
          <cell r="AB190">
            <v>286700</v>
          </cell>
          <cell r="AC190">
            <v>0</v>
          </cell>
          <cell r="AD190">
            <v>263616</v>
          </cell>
          <cell r="AE190">
            <v>0</v>
          </cell>
          <cell r="AF190">
            <v>0</v>
          </cell>
          <cell r="AG190">
            <v>0</v>
          </cell>
          <cell r="AI190">
            <v>4</v>
          </cell>
          <cell r="AJ190">
            <v>25</v>
          </cell>
          <cell r="AL190">
            <v>795440</v>
          </cell>
          <cell r="AM190">
            <v>2032760</v>
          </cell>
          <cell r="AN190">
            <v>7000</v>
          </cell>
        </row>
        <row r="191">
          <cell r="B191">
            <v>177</v>
          </cell>
          <cell r="C191">
            <v>38438</v>
          </cell>
          <cell r="D191">
            <v>26</v>
          </cell>
          <cell r="E191">
            <v>2846013</v>
          </cell>
          <cell r="F191">
            <v>10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2000</v>
          </cell>
          <cell r="N191">
            <v>547637</v>
          </cell>
          <cell r="O191">
            <v>263616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2000</v>
          </cell>
          <cell r="AC191">
            <v>547637</v>
          </cell>
          <cell r="AD191">
            <v>263616</v>
          </cell>
          <cell r="AE191">
            <v>0</v>
          </cell>
          <cell r="AF191">
            <v>0</v>
          </cell>
          <cell r="AG191">
            <v>0</v>
          </cell>
          <cell r="AI191">
            <v>4</v>
          </cell>
          <cell r="AJ191">
            <v>26</v>
          </cell>
          <cell r="AL191">
            <v>813253</v>
          </cell>
          <cell r="AM191">
            <v>2032760</v>
          </cell>
          <cell r="AN191">
            <v>7000</v>
          </cell>
        </row>
        <row r="192">
          <cell r="B192">
            <v>178</v>
          </cell>
          <cell r="C192">
            <v>38439</v>
          </cell>
          <cell r="D192">
            <v>27</v>
          </cell>
          <cell r="E192">
            <v>2190640</v>
          </cell>
          <cell r="F192">
            <v>9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2000</v>
          </cell>
          <cell r="N192">
            <v>0</v>
          </cell>
          <cell r="O192">
            <v>155880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2000</v>
          </cell>
          <cell r="AC192">
            <v>0</v>
          </cell>
          <cell r="AD192">
            <v>155880</v>
          </cell>
          <cell r="AE192">
            <v>0</v>
          </cell>
          <cell r="AF192">
            <v>0</v>
          </cell>
          <cell r="AG192">
            <v>0</v>
          </cell>
          <cell r="AI192">
            <v>4</v>
          </cell>
          <cell r="AJ192">
            <v>27</v>
          </cell>
          <cell r="AL192">
            <v>157880</v>
          </cell>
          <cell r="AM192">
            <v>2032760</v>
          </cell>
          <cell r="AN192">
            <v>7000</v>
          </cell>
        </row>
        <row r="193">
          <cell r="B193">
            <v>179</v>
          </cell>
          <cell r="C193">
            <v>38440</v>
          </cell>
          <cell r="D193">
            <v>28</v>
          </cell>
          <cell r="E193">
            <v>1748234</v>
          </cell>
          <cell r="F193">
            <v>8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2000</v>
          </cell>
          <cell r="N193">
            <v>0</v>
          </cell>
          <cell r="O193">
            <v>5000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2000</v>
          </cell>
          <cell r="AC193">
            <v>0</v>
          </cell>
          <cell r="AD193">
            <v>5000</v>
          </cell>
          <cell r="AE193">
            <v>0</v>
          </cell>
          <cell r="AF193">
            <v>0</v>
          </cell>
          <cell r="AG193">
            <v>0</v>
          </cell>
          <cell r="AI193">
            <v>4</v>
          </cell>
          <cell r="AJ193">
            <v>28</v>
          </cell>
          <cell r="AL193">
            <v>7000</v>
          </cell>
          <cell r="AM193">
            <v>1741234</v>
          </cell>
          <cell r="AN193">
            <v>7000</v>
          </cell>
        </row>
        <row r="194">
          <cell r="B194">
            <v>180</v>
          </cell>
          <cell r="C194">
            <v>38441</v>
          </cell>
          <cell r="D194">
            <v>29</v>
          </cell>
          <cell r="E194">
            <v>1411665</v>
          </cell>
          <cell r="F194">
            <v>6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2000</v>
          </cell>
          <cell r="N194">
            <v>0</v>
          </cell>
          <cell r="O194">
            <v>5000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2000</v>
          </cell>
          <cell r="AC194">
            <v>0</v>
          </cell>
          <cell r="AD194">
            <v>5000</v>
          </cell>
          <cell r="AE194">
            <v>0</v>
          </cell>
          <cell r="AF194">
            <v>0</v>
          </cell>
          <cell r="AG194">
            <v>0</v>
          </cell>
          <cell r="AI194">
            <v>4</v>
          </cell>
          <cell r="AJ194">
            <v>29</v>
          </cell>
          <cell r="AL194">
            <v>7000</v>
          </cell>
          <cell r="AM194">
            <v>1404665</v>
          </cell>
          <cell r="AN194">
            <v>7000</v>
          </cell>
        </row>
        <row r="195">
          <cell r="B195">
            <v>181</v>
          </cell>
          <cell r="C195">
            <v>38442</v>
          </cell>
          <cell r="D195">
            <v>30</v>
          </cell>
          <cell r="E195">
            <v>2488327</v>
          </cell>
          <cell r="F195">
            <v>3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191951</v>
          </cell>
          <cell r="N195">
            <v>0</v>
          </cell>
          <cell r="O195">
            <v>263616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191951</v>
          </cell>
          <cell r="AC195">
            <v>0</v>
          </cell>
          <cell r="AD195">
            <v>263616</v>
          </cell>
          <cell r="AE195">
            <v>0</v>
          </cell>
          <cell r="AF195">
            <v>0</v>
          </cell>
          <cell r="AG195">
            <v>0</v>
          </cell>
          <cell r="AI195">
            <v>4</v>
          </cell>
          <cell r="AJ195">
            <v>30</v>
          </cell>
          <cell r="AL195">
            <v>455567</v>
          </cell>
          <cell r="AM195">
            <v>2032760</v>
          </cell>
          <cell r="AN195">
            <v>7000</v>
          </cell>
        </row>
        <row r="196">
          <cell r="B196">
            <v>182</v>
          </cell>
          <cell r="C196">
            <v>38443</v>
          </cell>
          <cell r="D196">
            <v>1</v>
          </cell>
          <cell r="E196">
            <v>2783579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235052</v>
          </cell>
          <cell r="M196">
            <v>252151</v>
          </cell>
          <cell r="N196">
            <v>0</v>
          </cell>
          <cell r="O196">
            <v>263616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235052</v>
          </cell>
          <cell r="AB196">
            <v>252151</v>
          </cell>
          <cell r="AC196">
            <v>0</v>
          </cell>
          <cell r="AD196">
            <v>263616</v>
          </cell>
          <cell r="AE196">
            <v>0</v>
          </cell>
          <cell r="AF196">
            <v>0</v>
          </cell>
          <cell r="AG196">
            <v>0</v>
          </cell>
          <cell r="AI196">
            <v>5</v>
          </cell>
          <cell r="AJ196">
            <v>1</v>
          </cell>
          <cell r="AL196">
            <v>750819</v>
          </cell>
          <cell r="AM196">
            <v>2032760</v>
          </cell>
          <cell r="AN196">
            <v>7000</v>
          </cell>
        </row>
        <row r="197">
          <cell r="B197">
            <v>183</v>
          </cell>
          <cell r="C197">
            <v>38444</v>
          </cell>
          <cell r="D197">
            <v>2</v>
          </cell>
          <cell r="E197">
            <v>2534612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225395</v>
          </cell>
          <cell r="M197">
            <v>129300</v>
          </cell>
          <cell r="N197">
            <v>601000</v>
          </cell>
          <cell r="O197">
            <v>163043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225395</v>
          </cell>
          <cell r="AB197">
            <v>129300</v>
          </cell>
          <cell r="AC197">
            <v>601000</v>
          </cell>
          <cell r="AD197">
            <v>163043</v>
          </cell>
          <cell r="AE197">
            <v>0</v>
          </cell>
          <cell r="AF197">
            <v>0</v>
          </cell>
          <cell r="AG197">
            <v>0</v>
          </cell>
          <cell r="AI197">
            <v>5</v>
          </cell>
          <cell r="AJ197">
            <v>2</v>
          </cell>
          <cell r="AL197">
            <v>1118738</v>
          </cell>
          <cell r="AM197">
            <v>1415874</v>
          </cell>
          <cell r="AN197">
            <v>7000</v>
          </cell>
        </row>
        <row r="198">
          <cell r="B198">
            <v>184</v>
          </cell>
          <cell r="C198">
            <v>38445</v>
          </cell>
          <cell r="D198">
            <v>3</v>
          </cell>
          <cell r="E198">
            <v>1682182</v>
          </cell>
          <cell r="F198">
            <v>1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156301</v>
          </cell>
          <cell r="N198">
            <v>148995</v>
          </cell>
          <cell r="O198">
            <v>108196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156301</v>
          </cell>
          <cell r="AC198">
            <v>148995</v>
          </cell>
          <cell r="AD198">
            <v>108196</v>
          </cell>
          <cell r="AE198">
            <v>0</v>
          </cell>
          <cell r="AF198">
            <v>0</v>
          </cell>
          <cell r="AG198">
            <v>0</v>
          </cell>
          <cell r="AI198">
            <v>5</v>
          </cell>
          <cell r="AJ198">
            <v>3</v>
          </cell>
          <cell r="AL198">
            <v>413492</v>
          </cell>
          <cell r="AM198">
            <v>1268690</v>
          </cell>
          <cell r="AN198">
            <v>7000</v>
          </cell>
        </row>
        <row r="199">
          <cell r="B199">
            <v>185</v>
          </cell>
          <cell r="C199">
            <v>38446</v>
          </cell>
          <cell r="D199">
            <v>4</v>
          </cell>
          <cell r="E199">
            <v>1236404</v>
          </cell>
          <cell r="F199">
            <v>2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2000</v>
          </cell>
          <cell r="N199">
            <v>0</v>
          </cell>
          <cell r="O199">
            <v>5000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2000</v>
          </cell>
          <cell r="AC199">
            <v>0</v>
          </cell>
          <cell r="AD199">
            <v>5000</v>
          </cell>
          <cell r="AE199">
            <v>0</v>
          </cell>
          <cell r="AF199">
            <v>0</v>
          </cell>
          <cell r="AG199">
            <v>0</v>
          </cell>
          <cell r="AI199">
            <v>5</v>
          </cell>
          <cell r="AJ199">
            <v>4</v>
          </cell>
          <cell r="AL199">
            <v>7000</v>
          </cell>
          <cell r="AM199">
            <v>1229404</v>
          </cell>
          <cell r="AN199">
            <v>7000</v>
          </cell>
        </row>
        <row r="200">
          <cell r="B200">
            <v>186</v>
          </cell>
          <cell r="C200">
            <v>38447</v>
          </cell>
          <cell r="D200">
            <v>5</v>
          </cell>
          <cell r="E200">
            <v>1675927</v>
          </cell>
          <cell r="F200">
            <v>4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142740</v>
          </cell>
          <cell r="M200">
            <v>53104</v>
          </cell>
          <cell r="N200">
            <v>0</v>
          </cell>
          <cell r="O200">
            <v>211393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142740</v>
          </cell>
          <cell r="AB200">
            <v>53104</v>
          </cell>
          <cell r="AC200">
            <v>0</v>
          </cell>
          <cell r="AD200">
            <v>211393</v>
          </cell>
          <cell r="AE200">
            <v>0</v>
          </cell>
          <cell r="AF200">
            <v>0</v>
          </cell>
          <cell r="AG200">
            <v>0</v>
          </cell>
          <cell r="AI200">
            <v>5</v>
          </cell>
          <cell r="AJ200">
            <v>5</v>
          </cell>
          <cell r="AL200">
            <v>407237</v>
          </cell>
          <cell r="AM200">
            <v>1268690</v>
          </cell>
          <cell r="AN200">
            <v>7000</v>
          </cell>
        </row>
        <row r="201">
          <cell r="B201">
            <v>187</v>
          </cell>
          <cell r="C201">
            <v>38448</v>
          </cell>
          <cell r="D201">
            <v>6</v>
          </cell>
          <cell r="E201">
            <v>2176303</v>
          </cell>
          <cell r="F201">
            <v>5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42116</v>
          </cell>
          <cell r="M201">
            <v>156301</v>
          </cell>
          <cell r="N201">
            <v>601000</v>
          </cell>
          <cell r="O201">
            <v>108196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42116</v>
          </cell>
          <cell r="AB201">
            <v>156301</v>
          </cell>
          <cell r="AC201">
            <v>601000</v>
          </cell>
          <cell r="AD201">
            <v>108196</v>
          </cell>
          <cell r="AE201">
            <v>0</v>
          </cell>
          <cell r="AF201">
            <v>0</v>
          </cell>
          <cell r="AG201">
            <v>0</v>
          </cell>
          <cell r="AI201">
            <v>5</v>
          </cell>
          <cell r="AJ201">
            <v>6</v>
          </cell>
          <cell r="AL201">
            <v>907613</v>
          </cell>
          <cell r="AM201">
            <v>1268690</v>
          </cell>
          <cell r="AN201">
            <v>7000</v>
          </cell>
        </row>
        <row r="202">
          <cell r="B202">
            <v>188</v>
          </cell>
          <cell r="C202">
            <v>38449</v>
          </cell>
          <cell r="D202">
            <v>7</v>
          </cell>
          <cell r="E202">
            <v>1784422</v>
          </cell>
          <cell r="F202">
            <v>7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34165</v>
          </cell>
          <cell r="M202">
            <v>156301</v>
          </cell>
          <cell r="N202">
            <v>734</v>
          </cell>
          <cell r="O202">
            <v>108196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34165</v>
          </cell>
          <cell r="AB202">
            <v>156301</v>
          </cell>
          <cell r="AC202">
            <v>734</v>
          </cell>
          <cell r="AD202">
            <v>108196</v>
          </cell>
          <cell r="AE202">
            <v>0</v>
          </cell>
          <cell r="AF202">
            <v>0</v>
          </cell>
          <cell r="AG202">
            <v>0</v>
          </cell>
          <cell r="AI202">
            <v>5</v>
          </cell>
          <cell r="AJ202">
            <v>7</v>
          </cell>
          <cell r="AL202">
            <v>299396</v>
          </cell>
          <cell r="AM202">
            <v>1485026</v>
          </cell>
          <cell r="AN202">
            <v>7000</v>
          </cell>
        </row>
        <row r="203">
          <cell r="B203">
            <v>189</v>
          </cell>
          <cell r="C203">
            <v>38450</v>
          </cell>
          <cell r="D203">
            <v>8</v>
          </cell>
          <cell r="E203">
            <v>1901128</v>
          </cell>
          <cell r="F203">
            <v>8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156301</v>
          </cell>
          <cell r="N203">
            <v>0</v>
          </cell>
          <cell r="O203">
            <v>108196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156301</v>
          </cell>
          <cell r="AC203">
            <v>0</v>
          </cell>
          <cell r="AD203">
            <v>108196</v>
          </cell>
          <cell r="AE203">
            <v>0</v>
          </cell>
          <cell r="AF203">
            <v>0</v>
          </cell>
          <cell r="AG203">
            <v>0</v>
          </cell>
          <cell r="AI203">
            <v>5</v>
          </cell>
          <cell r="AJ203">
            <v>8</v>
          </cell>
          <cell r="AL203">
            <v>264497</v>
          </cell>
          <cell r="AM203">
            <v>1636631</v>
          </cell>
          <cell r="AN203">
            <v>7000</v>
          </cell>
        </row>
        <row r="204">
          <cell r="B204">
            <v>190</v>
          </cell>
          <cell r="C204">
            <v>38451</v>
          </cell>
          <cell r="D204">
            <v>9</v>
          </cell>
          <cell r="E204">
            <v>1806157</v>
          </cell>
          <cell r="F204">
            <v>9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2000</v>
          </cell>
          <cell r="N204">
            <v>0</v>
          </cell>
          <cell r="O204">
            <v>108196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2000</v>
          </cell>
          <cell r="AC204">
            <v>0</v>
          </cell>
          <cell r="AD204">
            <v>108196</v>
          </cell>
          <cell r="AE204">
            <v>0</v>
          </cell>
          <cell r="AF204">
            <v>0</v>
          </cell>
          <cell r="AG204">
            <v>0</v>
          </cell>
          <cell r="AI204">
            <v>5</v>
          </cell>
          <cell r="AJ204">
            <v>9</v>
          </cell>
          <cell r="AL204">
            <v>110196</v>
          </cell>
          <cell r="AM204">
            <v>1695961</v>
          </cell>
          <cell r="AN204">
            <v>7000</v>
          </cell>
        </row>
        <row r="205">
          <cell r="B205">
            <v>191</v>
          </cell>
          <cell r="C205">
            <v>38452</v>
          </cell>
          <cell r="D205">
            <v>10</v>
          </cell>
          <cell r="E205">
            <v>1381409</v>
          </cell>
          <cell r="F205">
            <v>10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2000</v>
          </cell>
          <cell r="N205">
            <v>0</v>
          </cell>
          <cell r="O205">
            <v>108196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2000</v>
          </cell>
          <cell r="AC205">
            <v>0</v>
          </cell>
          <cell r="AD205">
            <v>108196</v>
          </cell>
          <cell r="AE205">
            <v>0</v>
          </cell>
          <cell r="AF205">
            <v>0</v>
          </cell>
          <cell r="AG205">
            <v>0</v>
          </cell>
          <cell r="AI205">
            <v>5</v>
          </cell>
          <cell r="AJ205">
            <v>10</v>
          </cell>
          <cell r="AL205">
            <v>110196</v>
          </cell>
          <cell r="AM205">
            <v>1271213</v>
          </cell>
          <cell r="AN205">
            <v>7000</v>
          </cell>
        </row>
        <row r="206">
          <cell r="B206">
            <v>192</v>
          </cell>
          <cell r="C206">
            <v>38453</v>
          </cell>
          <cell r="D206">
            <v>11</v>
          </cell>
          <cell r="E206">
            <v>1108447</v>
          </cell>
          <cell r="F206">
            <v>10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2000</v>
          </cell>
          <cell r="N206">
            <v>0</v>
          </cell>
          <cell r="O206">
            <v>5000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2000</v>
          </cell>
          <cell r="AC206">
            <v>0</v>
          </cell>
          <cell r="AD206">
            <v>5000</v>
          </cell>
          <cell r="AE206">
            <v>0</v>
          </cell>
          <cell r="AF206">
            <v>0</v>
          </cell>
          <cell r="AG206">
            <v>0</v>
          </cell>
          <cell r="AI206">
            <v>5</v>
          </cell>
          <cell r="AJ206">
            <v>11</v>
          </cell>
          <cell r="AL206">
            <v>7000</v>
          </cell>
          <cell r="AM206">
            <v>1101447</v>
          </cell>
          <cell r="AN206">
            <v>7000</v>
          </cell>
        </row>
        <row r="207">
          <cell r="B207">
            <v>193</v>
          </cell>
          <cell r="C207">
            <v>38454</v>
          </cell>
          <cell r="D207">
            <v>12</v>
          </cell>
          <cell r="E207">
            <v>1083094</v>
          </cell>
          <cell r="F207">
            <v>11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2000</v>
          </cell>
          <cell r="N207">
            <v>0</v>
          </cell>
          <cell r="O207">
            <v>5000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2000</v>
          </cell>
          <cell r="AC207">
            <v>0</v>
          </cell>
          <cell r="AD207">
            <v>5000</v>
          </cell>
          <cell r="AE207">
            <v>0</v>
          </cell>
          <cell r="AF207">
            <v>0</v>
          </cell>
          <cell r="AG207">
            <v>0</v>
          </cell>
          <cell r="AI207">
            <v>5</v>
          </cell>
          <cell r="AJ207">
            <v>12</v>
          </cell>
          <cell r="AL207">
            <v>7000</v>
          </cell>
          <cell r="AM207">
            <v>1076094</v>
          </cell>
          <cell r="AN207">
            <v>7000</v>
          </cell>
        </row>
        <row r="208">
          <cell r="B208">
            <v>194</v>
          </cell>
          <cell r="C208">
            <v>38455</v>
          </cell>
          <cell r="D208">
            <v>13</v>
          </cell>
          <cell r="E208">
            <v>1522599</v>
          </cell>
          <cell r="F208">
            <v>12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2000</v>
          </cell>
          <cell r="N208">
            <v>0</v>
          </cell>
          <cell r="O208">
            <v>251909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2000</v>
          </cell>
          <cell r="AC208">
            <v>0</v>
          </cell>
          <cell r="AD208">
            <v>251909</v>
          </cell>
          <cell r="AE208">
            <v>0</v>
          </cell>
          <cell r="AF208">
            <v>0</v>
          </cell>
          <cell r="AG208">
            <v>0</v>
          </cell>
          <cell r="AI208">
            <v>5</v>
          </cell>
          <cell r="AJ208">
            <v>13</v>
          </cell>
          <cell r="AL208">
            <v>253909</v>
          </cell>
          <cell r="AM208">
            <v>1268690</v>
          </cell>
          <cell r="AN208">
            <v>7000</v>
          </cell>
        </row>
        <row r="209">
          <cell r="B209">
            <v>195</v>
          </cell>
          <cell r="C209">
            <v>38456</v>
          </cell>
          <cell r="D209">
            <v>14</v>
          </cell>
          <cell r="E209">
            <v>1737414</v>
          </cell>
          <cell r="F209">
            <v>13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2000</v>
          </cell>
          <cell r="N209">
            <v>0</v>
          </cell>
          <cell r="O209">
            <v>170878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2000</v>
          </cell>
          <cell r="AC209">
            <v>0</v>
          </cell>
          <cell r="AD209">
            <v>170878</v>
          </cell>
          <cell r="AE209">
            <v>0</v>
          </cell>
          <cell r="AF209">
            <v>0</v>
          </cell>
          <cell r="AG209">
            <v>0</v>
          </cell>
          <cell r="AI209">
            <v>5</v>
          </cell>
          <cell r="AJ209">
            <v>14</v>
          </cell>
          <cell r="AL209">
            <v>172878</v>
          </cell>
          <cell r="AM209">
            <v>1564536</v>
          </cell>
          <cell r="AN209">
            <v>7000</v>
          </cell>
        </row>
        <row r="210">
          <cell r="B210">
            <v>196</v>
          </cell>
          <cell r="C210">
            <v>38457</v>
          </cell>
          <cell r="D210">
            <v>15</v>
          </cell>
          <cell r="E210">
            <v>2248002</v>
          </cell>
          <cell r="F210">
            <v>14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2000</v>
          </cell>
          <cell r="N210">
            <v>0</v>
          </cell>
          <cell r="O210">
            <v>108196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2000</v>
          </cell>
          <cell r="AC210">
            <v>0</v>
          </cell>
          <cell r="AD210">
            <v>108196</v>
          </cell>
          <cell r="AE210">
            <v>0</v>
          </cell>
          <cell r="AF210">
            <v>0</v>
          </cell>
          <cell r="AG210">
            <v>0</v>
          </cell>
          <cell r="AI210">
            <v>5</v>
          </cell>
          <cell r="AJ210">
            <v>15</v>
          </cell>
          <cell r="AL210">
            <v>110196</v>
          </cell>
          <cell r="AM210">
            <v>2137806</v>
          </cell>
          <cell r="AN210">
            <v>7000</v>
          </cell>
        </row>
        <row r="211">
          <cell r="B211">
            <v>197</v>
          </cell>
          <cell r="C211">
            <v>38458</v>
          </cell>
          <cell r="D211">
            <v>16</v>
          </cell>
          <cell r="E211">
            <v>2422320</v>
          </cell>
          <cell r="F211">
            <v>17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2000</v>
          </cell>
          <cell r="N211">
            <v>0</v>
          </cell>
          <cell r="O211">
            <v>108197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2000</v>
          </cell>
          <cell r="AC211">
            <v>0</v>
          </cell>
          <cell r="AD211">
            <v>108197</v>
          </cell>
          <cell r="AE211">
            <v>0</v>
          </cell>
          <cell r="AF211">
            <v>0</v>
          </cell>
          <cell r="AG211">
            <v>0</v>
          </cell>
          <cell r="AI211">
            <v>5</v>
          </cell>
          <cell r="AJ211">
            <v>16</v>
          </cell>
          <cell r="AL211">
            <v>110197</v>
          </cell>
          <cell r="AM211">
            <v>2312123</v>
          </cell>
          <cell r="AN211">
            <v>7000</v>
          </cell>
        </row>
        <row r="212">
          <cell r="B212">
            <v>198</v>
          </cell>
          <cell r="C212">
            <v>38459</v>
          </cell>
          <cell r="D212">
            <v>17</v>
          </cell>
          <cell r="E212">
            <v>1899072</v>
          </cell>
          <cell r="F212">
            <v>16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2000</v>
          </cell>
          <cell r="N212">
            <v>0</v>
          </cell>
          <cell r="O212">
            <v>5000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2000</v>
          </cell>
          <cell r="AC212">
            <v>0</v>
          </cell>
          <cell r="AD212">
            <v>5000</v>
          </cell>
          <cell r="AE212">
            <v>0</v>
          </cell>
          <cell r="AF212">
            <v>0</v>
          </cell>
          <cell r="AG212">
            <v>0</v>
          </cell>
          <cell r="AI212">
            <v>5</v>
          </cell>
          <cell r="AJ212">
            <v>17</v>
          </cell>
          <cell r="AL212">
            <v>7000</v>
          </cell>
          <cell r="AM212">
            <v>1892072</v>
          </cell>
          <cell r="AN212">
            <v>7000</v>
          </cell>
        </row>
        <row r="213">
          <cell r="B213">
            <v>199</v>
          </cell>
          <cell r="C213">
            <v>38460</v>
          </cell>
          <cell r="D213">
            <v>18</v>
          </cell>
          <cell r="E213">
            <v>1808749</v>
          </cell>
          <cell r="F213">
            <v>13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2000</v>
          </cell>
          <cell r="N213">
            <v>0</v>
          </cell>
          <cell r="O213">
            <v>5000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2000</v>
          </cell>
          <cell r="AC213">
            <v>0</v>
          </cell>
          <cell r="AD213">
            <v>5000</v>
          </cell>
          <cell r="AE213">
            <v>0</v>
          </cell>
          <cell r="AF213">
            <v>0</v>
          </cell>
          <cell r="AG213">
            <v>0</v>
          </cell>
          <cell r="AI213">
            <v>5</v>
          </cell>
          <cell r="AJ213">
            <v>18</v>
          </cell>
          <cell r="AL213">
            <v>7000</v>
          </cell>
          <cell r="AM213">
            <v>1801749</v>
          </cell>
          <cell r="AN213">
            <v>7000</v>
          </cell>
        </row>
        <row r="214">
          <cell r="B214">
            <v>200</v>
          </cell>
          <cell r="C214">
            <v>38461</v>
          </cell>
          <cell r="D214">
            <v>19</v>
          </cell>
          <cell r="E214">
            <v>2099529</v>
          </cell>
          <cell r="F214">
            <v>12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2000</v>
          </cell>
          <cell r="N214">
            <v>0</v>
          </cell>
          <cell r="O214">
            <v>5000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2000</v>
          </cell>
          <cell r="AC214">
            <v>0</v>
          </cell>
          <cell r="AD214">
            <v>5000</v>
          </cell>
          <cell r="AE214">
            <v>0</v>
          </cell>
          <cell r="AF214">
            <v>0</v>
          </cell>
          <cell r="AG214">
            <v>0</v>
          </cell>
          <cell r="AI214">
            <v>5</v>
          </cell>
          <cell r="AJ214">
            <v>19</v>
          </cell>
          <cell r="AL214">
            <v>7000</v>
          </cell>
          <cell r="AM214">
            <v>2092529</v>
          </cell>
          <cell r="AN214">
            <v>7000</v>
          </cell>
        </row>
        <row r="215">
          <cell r="B215">
            <v>201</v>
          </cell>
          <cell r="C215">
            <v>38462</v>
          </cell>
          <cell r="D215">
            <v>20</v>
          </cell>
          <cell r="E215">
            <v>2342075</v>
          </cell>
          <cell r="F215">
            <v>11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2000</v>
          </cell>
          <cell r="N215">
            <v>0</v>
          </cell>
          <cell r="O215">
            <v>5000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2000</v>
          </cell>
          <cell r="AC215">
            <v>0</v>
          </cell>
          <cell r="AD215">
            <v>5000</v>
          </cell>
          <cell r="AE215">
            <v>0</v>
          </cell>
          <cell r="AF215">
            <v>0</v>
          </cell>
          <cell r="AG215">
            <v>0</v>
          </cell>
          <cell r="AI215">
            <v>5</v>
          </cell>
          <cell r="AJ215">
            <v>20</v>
          </cell>
          <cell r="AL215">
            <v>7000</v>
          </cell>
          <cell r="AM215">
            <v>2335075</v>
          </cell>
          <cell r="AN215">
            <v>7000</v>
          </cell>
        </row>
        <row r="216">
          <cell r="B216">
            <v>202</v>
          </cell>
          <cell r="C216">
            <v>38463</v>
          </cell>
          <cell r="D216">
            <v>21</v>
          </cell>
          <cell r="E216">
            <v>2671831</v>
          </cell>
          <cell r="F216">
            <v>11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2000</v>
          </cell>
          <cell r="N216">
            <v>0</v>
          </cell>
          <cell r="O216">
            <v>5000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2000</v>
          </cell>
          <cell r="AC216">
            <v>0</v>
          </cell>
          <cell r="AD216">
            <v>5000</v>
          </cell>
          <cell r="AE216">
            <v>0</v>
          </cell>
          <cell r="AF216">
            <v>0</v>
          </cell>
          <cell r="AG216">
            <v>0</v>
          </cell>
          <cell r="AI216">
            <v>5</v>
          </cell>
          <cell r="AJ216">
            <v>21</v>
          </cell>
          <cell r="AL216">
            <v>7000</v>
          </cell>
          <cell r="AM216">
            <v>2664831</v>
          </cell>
          <cell r="AN216">
            <v>7000</v>
          </cell>
        </row>
        <row r="217">
          <cell r="B217">
            <v>203</v>
          </cell>
          <cell r="C217">
            <v>38464</v>
          </cell>
          <cell r="D217">
            <v>22</v>
          </cell>
          <cell r="E217">
            <v>2125160</v>
          </cell>
          <cell r="F217">
            <v>10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2000</v>
          </cell>
          <cell r="N217">
            <v>0</v>
          </cell>
          <cell r="O217">
            <v>5000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2000</v>
          </cell>
          <cell r="AC217">
            <v>0</v>
          </cell>
          <cell r="AD217">
            <v>5000</v>
          </cell>
          <cell r="AE217">
            <v>0</v>
          </cell>
          <cell r="AF217">
            <v>0</v>
          </cell>
          <cell r="AG217">
            <v>0</v>
          </cell>
          <cell r="AI217">
            <v>5</v>
          </cell>
          <cell r="AJ217">
            <v>22</v>
          </cell>
          <cell r="AL217">
            <v>7000</v>
          </cell>
          <cell r="AM217">
            <v>2118160</v>
          </cell>
          <cell r="AN217">
            <v>7000</v>
          </cell>
        </row>
        <row r="218">
          <cell r="B218">
            <v>204</v>
          </cell>
          <cell r="C218">
            <v>38465</v>
          </cell>
          <cell r="D218">
            <v>23</v>
          </cell>
          <cell r="E218">
            <v>1770015</v>
          </cell>
          <cell r="F218">
            <v>9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2000</v>
          </cell>
          <cell r="N218">
            <v>0</v>
          </cell>
          <cell r="O218">
            <v>5000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2000</v>
          </cell>
          <cell r="AC218">
            <v>0</v>
          </cell>
          <cell r="AD218">
            <v>5000</v>
          </cell>
          <cell r="AE218">
            <v>0</v>
          </cell>
          <cell r="AF218">
            <v>0</v>
          </cell>
          <cell r="AG218">
            <v>0</v>
          </cell>
          <cell r="AI218">
            <v>5</v>
          </cell>
          <cell r="AJ218">
            <v>23</v>
          </cell>
          <cell r="AL218">
            <v>7000</v>
          </cell>
          <cell r="AM218">
            <v>1763015</v>
          </cell>
          <cell r="AN218">
            <v>7000</v>
          </cell>
        </row>
        <row r="219">
          <cell r="B219">
            <v>205</v>
          </cell>
          <cell r="C219">
            <v>38466</v>
          </cell>
          <cell r="D219">
            <v>24</v>
          </cell>
          <cell r="E219">
            <v>2023231</v>
          </cell>
          <cell r="F219">
            <v>8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2000</v>
          </cell>
          <cell r="N219">
            <v>0</v>
          </cell>
          <cell r="O219">
            <v>5000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2000</v>
          </cell>
          <cell r="AC219">
            <v>0</v>
          </cell>
          <cell r="AD219">
            <v>5000</v>
          </cell>
          <cell r="AE219">
            <v>0</v>
          </cell>
          <cell r="AF219">
            <v>0</v>
          </cell>
          <cell r="AG219">
            <v>0</v>
          </cell>
          <cell r="AI219">
            <v>5</v>
          </cell>
          <cell r="AJ219">
            <v>24</v>
          </cell>
          <cell r="AL219">
            <v>7000</v>
          </cell>
          <cell r="AM219">
            <v>2016231</v>
          </cell>
          <cell r="AN219">
            <v>7000</v>
          </cell>
        </row>
        <row r="220">
          <cell r="B220">
            <v>206</v>
          </cell>
          <cell r="C220">
            <v>38467</v>
          </cell>
          <cell r="D220">
            <v>25</v>
          </cell>
          <cell r="E220">
            <v>1732352</v>
          </cell>
          <cell r="F220">
            <v>7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2000</v>
          </cell>
          <cell r="N220">
            <v>0</v>
          </cell>
          <cell r="O220">
            <v>5000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2000</v>
          </cell>
          <cell r="AC220">
            <v>0</v>
          </cell>
          <cell r="AD220">
            <v>5000</v>
          </cell>
          <cell r="AE220">
            <v>0</v>
          </cell>
          <cell r="AF220">
            <v>0</v>
          </cell>
          <cell r="AG220">
            <v>0</v>
          </cell>
          <cell r="AI220">
            <v>5</v>
          </cell>
          <cell r="AJ220">
            <v>25</v>
          </cell>
          <cell r="AL220">
            <v>7000</v>
          </cell>
          <cell r="AM220">
            <v>1725352</v>
          </cell>
          <cell r="AN220">
            <v>7000</v>
          </cell>
        </row>
        <row r="221">
          <cell r="B221">
            <v>207</v>
          </cell>
          <cell r="C221">
            <v>38468</v>
          </cell>
          <cell r="D221">
            <v>26</v>
          </cell>
          <cell r="E221">
            <v>1234411</v>
          </cell>
          <cell r="F221">
            <v>6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2000</v>
          </cell>
          <cell r="N221">
            <v>0</v>
          </cell>
          <cell r="O221">
            <v>5000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2000</v>
          </cell>
          <cell r="AC221">
            <v>0</v>
          </cell>
          <cell r="AD221">
            <v>5000</v>
          </cell>
          <cell r="AE221">
            <v>0</v>
          </cell>
          <cell r="AF221">
            <v>0</v>
          </cell>
          <cell r="AG221">
            <v>0</v>
          </cell>
          <cell r="AI221">
            <v>5</v>
          </cell>
          <cell r="AJ221">
            <v>26</v>
          </cell>
          <cell r="AL221">
            <v>7000</v>
          </cell>
          <cell r="AM221">
            <v>1227411</v>
          </cell>
          <cell r="AN221">
            <v>7000</v>
          </cell>
        </row>
        <row r="222">
          <cell r="B222">
            <v>208</v>
          </cell>
          <cell r="C222">
            <v>38469</v>
          </cell>
          <cell r="D222">
            <v>27</v>
          </cell>
          <cell r="E222">
            <v>1115979</v>
          </cell>
          <cell r="F222">
            <v>5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2000</v>
          </cell>
          <cell r="N222">
            <v>0</v>
          </cell>
          <cell r="O222">
            <v>5000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2000</v>
          </cell>
          <cell r="AC222">
            <v>0</v>
          </cell>
          <cell r="AD222">
            <v>5000</v>
          </cell>
          <cell r="AE222">
            <v>0</v>
          </cell>
          <cell r="AF222">
            <v>0</v>
          </cell>
          <cell r="AG222">
            <v>0</v>
          </cell>
          <cell r="AI222">
            <v>5</v>
          </cell>
          <cell r="AJ222">
            <v>27</v>
          </cell>
          <cell r="AL222">
            <v>7000</v>
          </cell>
          <cell r="AM222">
            <v>1108979</v>
          </cell>
          <cell r="AN222">
            <v>7000</v>
          </cell>
        </row>
        <row r="223">
          <cell r="B223">
            <v>209</v>
          </cell>
          <cell r="C223">
            <v>38470</v>
          </cell>
          <cell r="D223">
            <v>28</v>
          </cell>
          <cell r="E223">
            <v>1307748</v>
          </cell>
          <cell r="F223">
            <v>3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2000</v>
          </cell>
          <cell r="N223">
            <v>0</v>
          </cell>
          <cell r="O223">
            <v>5000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2000</v>
          </cell>
          <cell r="AC223">
            <v>0</v>
          </cell>
          <cell r="AD223">
            <v>5000</v>
          </cell>
          <cell r="AE223">
            <v>0</v>
          </cell>
          <cell r="AF223">
            <v>0</v>
          </cell>
          <cell r="AG223">
            <v>0</v>
          </cell>
          <cell r="AI223">
            <v>5</v>
          </cell>
          <cell r="AJ223">
            <v>28</v>
          </cell>
          <cell r="AL223">
            <v>7000</v>
          </cell>
          <cell r="AM223">
            <v>1300748</v>
          </cell>
          <cell r="AN223">
            <v>7000</v>
          </cell>
        </row>
        <row r="224">
          <cell r="B224">
            <v>210</v>
          </cell>
          <cell r="C224">
            <v>38471</v>
          </cell>
          <cell r="D224">
            <v>29</v>
          </cell>
          <cell r="E224">
            <v>1454149</v>
          </cell>
          <cell r="F224">
            <v>2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2000</v>
          </cell>
          <cell r="N224">
            <v>0</v>
          </cell>
          <cell r="O224">
            <v>5000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2000</v>
          </cell>
          <cell r="AC224">
            <v>0</v>
          </cell>
          <cell r="AD224">
            <v>5000</v>
          </cell>
          <cell r="AE224">
            <v>0</v>
          </cell>
          <cell r="AF224">
            <v>0</v>
          </cell>
          <cell r="AG224">
            <v>0</v>
          </cell>
          <cell r="AI224">
            <v>5</v>
          </cell>
          <cell r="AJ224">
            <v>29</v>
          </cell>
          <cell r="AL224">
            <v>7000</v>
          </cell>
          <cell r="AM224">
            <v>1447149</v>
          </cell>
          <cell r="AN224">
            <v>7000</v>
          </cell>
        </row>
        <row r="225">
          <cell r="B225">
            <v>211</v>
          </cell>
          <cell r="C225">
            <v>38472</v>
          </cell>
          <cell r="D225">
            <v>30</v>
          </cell>
          <cell r="E225">
            <v>1268038</v>
          </cell>
          <cell r="F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2000</v>
          </cell>
          <cell r="N225">
            <v>0</v>
          </cell>
          <cell r="O225">
            <v>5000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2000</v>
          </cell>
          <cell r="AC225">
            <v>0</v>
          </cell>
          <cell r="AD225">
            <v>5000</v>
          </cell>
          <cell r="AE225">
            <v>0</v>
          </cell>
          <cell r="AF225">
            <v>0</v>
          </cell>
          <cell r="AG225">
            <v>0</v>
          </cell>
          <cell r="AI225">
            <v>5</v>
          </cell>
          <cell r="AJ225">
            <v>30</v>
          </cell>
          <cell r="AL225">
            <v>7000</v>
          </cell>
          <cell r="AM225">
            <v>1261038</v>
          </cell>
          <cell r="AN225">
            <v>7000</v>
          </cell>
        </row>
        <row r="226">
          <cell r="B226">
            <v>212</v>
          </cell>
          <cell r="C226">
            <v>38473</v>
          </cell>
          <cell r="D226">
            <v>31</v>
          </cell>
          <cell r="E226">
            <v>1041027</v>
          </cell>
          <cell r="F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2000</v>
          </cell>
          <cell r="N226">
            <v>0</v>
          </cell>
          <cell r="O226">
            <v>5000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2000</v>
          </cell>
          <cell r="AC226">
            <v>0</v>
          </cell>
          <cell r="AD226">
            <v>5000</v>
          </cell>
          <cell r="AE226">
            <v>0</v>
          </cell>
          <cell r="AF226">
            <v>0</v>
          </cell>
          <cell r="AG226">
            <v>0</v>
          </cell>
          <cell r="AI226">
            <v>5</v>
          </cell>
          <cell r="AJ226">
            <v>31</v>
          </cell>
          <cell r="AL226">
            <v>7000</v>
          </cell>
          <cell r="AM226">
            <v>1034027</v>
          </cell>
          <cell r="AN226">
            <v>7000</v>
          </cell>
        </row>
        <row r="227">
          <cell r="B227">
            <v>213</v>
          </cell>
          <cell r="C227">
            <v>38474</v>
          </cell>
          <cell r="D227">
            <v>1</v>
          </cell>
          <cell r="E227">
            <v>924602</v>
          </cell>
          <cell r="F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2000</v>
          </cell>
          <cell r="N227">
            <v>0</v>
          </cell>
          <cell r="O227">
            <v>5000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2000</v>
          </cell>
          <cell r="AC227">
            <v>0</v>
          </cell>
          <cell r="AD227">
            <v>5000</v>
          </cell>
          <cell r="AE227">
            <v>0</v>
          </cell>
          <cell r="AF227">
            <v>0</v>
          </cell>
          <cell r="AG227">
            <v>0</v>
          </cell>
          <cell r="AI227">
            <v>6</v>
          </cell>
          <cell r="AJ227">
            <v>1</v>
          </cell>
          <cell r="AL227">
            <v>7000</v>
          </cell>
          <cell r="AM227">
            <v>917602</v>
          </cell>
          <cell r="AN227">
            <v>7000</v>
          </cell>
        </row>
        <row r="228">
          <cell r="B228">
            <v>214</v>
          </cell>
          <cell r="C228">
            <v>38475</v>
          </cell>
          <cell r="D228">
            <v>2</v>
          </cell>
          <cell r="E228">
            <v>936748</v>
          </cell>
          <cell r="F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2000</v>
          </cell>
          <cell r="N228">
            <v>0</v>
          </cell>
          <cell r="O228">
            <v>5000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2000</v>
          </cell>
          <cell r="AC228">
            <v>0</v>
          </cell>
          <cell r="AD228">
            <v>5000</v>
          </cell>
          <cell r="AE228">
            <v>0</v>
          </cell>
          <cell r="AF228">
            <v>0</v>
          </cell>
          <cell r="AG228">
            <v>0</v>
          </cell>
          <cell r="AI228">
            <v>6</v>
          </cell>
          <cell r="AJ228">
            <v>2</v>
          </cell>
          <cell r="AL228">
            <v>7000</v>
          </cell>
          <cell r="AM228">
            <v>929748</v>
          </cell>
          <cell r="AN228">
            <v>7000</v>
          </cell>
        </row>
        <row r="229">
          <cell r="B229">
            <v>215</v>
          </cell>
          <cell r="C229">
            <v>38476</v>
          </cell>
          <cell r="D229">
            <v>3</v>
          </cell>
          <cell r="E229">
            <v>1037876</v>
          </cell>
          <cell r="F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2000</v>
          </cell>
          <cell r="N229">
            <v>0</v>
          </cell>
          <cell r="O229">
            <v>5000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2000</v>
          </cell>
          <cell r="AC229">
            <v>0</v>
          </cell>
          <cell r="AD229">
            <v>5000</v>
          </cell>
          <cell r="AE229">
            <v>0</v>
          </cell>
          <cell r="AF229">
            <v>0</v>
          </cell>
          <cell r="AG229">
            <v>0</v>
          </cell>
          <cell r="AI229">
            <v>6</v>
          </cell>
          <cell r="AJ229">
            <v>3</v>
          </cell>
          <cell r="AL229">
            <v>7000</v>
          </cell>
          <cell r="AM229">
            <v>1030876</v>
          </cell>
          <cell r="AN229">
            <v>7000</v>
          </cell>
        </row>
        <row r="230">
          <cell r="B230">
            <v>216</v>
          </cell>
          <cell r="C230">
            <v>38477</v>
          </cell>
          <cell r="D230">
            <v>4</v>
          </cell>
          <cell r="E230">
            <v>1180261</v>
          </cell>
          <cell r="F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2000</v>
          </cell>
          <cell r="N230">
            <v>0</v>
          </cell>
          <cell r="O230">
            <v>5000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2000</v>
          </cell>
          <cell r="AC230">
            <v>0</v>
          </cell>
          <cell r="AD230">
            <v>5000</v>
          </cell>
          <cell r="AE230">
            <v>0</v>
          </cell>
          <cell r="AF230">
            <v>0</v>
          </cell>
          <cell r="AG230">
            <v>0</v>
          </cell>
          <cell r="AI230">
            <v>6</v>
          </cell>
          <cell r="AJ230">
            <v>4</v>
          </cell>
          <cell r="AL230">
            <v>7000</v>
          </cell>
          <cell r="AM230">
            <v>1173261</v>
          </cell>
          <cell r="AN230">
            <v>7000</v>
          </cell>
        </row>
        <row r="231">
          <cell r="B231">
            <v>217</v>
          </cell>
          <cell r="C231">
            <v>38478</v>
          </cell>
          <cell r="D231">
            <v>5</v>
          </cell>
          <cell r="E231">
            <v>1361866</v>
          </cell>
          <cell r="F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2000</v>
          </cell>
          <cell r="N231">
            <v>0</v>
          </cell>
          <cell r="O231">
            <v>5000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2000</v>
          </cell>
          <cell r="AC231">
            <v>0</v>
          </cell>
          <cell r="AD231">
            <v>5000</v>
          </cell>
          <cell r="AE231">
            <v>0</v>
          </cell>
          <cell r="AF231">
            <v>0</v>
          </cell>
          <cell r="AG231">
            <v>0</v>
          </cell>
          <cell r="AI231">
            <v>6</v>
          </cell>
          <cell r="AJ231">
            <v>5</v>
          </cell>
          <cell r="AL231">
            <v>7000</v>
          </cell>
          <cell r="AM231">
            <v>1354866</v>
          </cell>
          <cell r="AN231">
            <v>7000</v>
          </cell>
        </row>
        <row r="232">
          <cell r="B232">
            <v>218</v>
          </cell>
          <cell r="C232">
            <v>38479</v>
          </cell>
          <cell r="D232">
            <v>6</v>
          </cell>
          <cell r="E232">
            <v>1218208</v>
          </cell>
          <cell r="F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2000</v>
          </cell>
          <cell r="N232">
            <v>0</v>
          </cell>
          <cell r="O232">
            <v>5000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2000</v>
          </cell>
          <cell r="AC232">
            <v>0</v>
          </cell>
          <cell r="AD232">
            <v>5000</v>
          </cell>
          <cell r="AE232">
            <v>0</v>
          </cell>
          <cell r="AF232">
            <v>0</v>
          </cell>
          <cell r="AG232">
            <v>0</v>
          </cell>
          <cell r="AI232">
            <v>6</v>
          </cell>
          <cell r="AJ232">
            <v>6</v>
          </cell>
          <cell r="AL232">
            <v>7000</v>
          </cell>
          <cell r="AM232">
            <v>1211208</v>
          </cell>
          <cell r="AN232">
            <v>7000</v>
          </cell>
        </row>
        <row r="233">
          <cell r="B233">
            <v>219</v>
          </cell>
          <cell r="C233">
            <v>38480</v>
          </cell>
          <cell r="D233">
            <v>7</v>
          </cell>
          <cell r="E233">
            <v>1174628</v>
          </cell>
          <cell r="F233">
            <v>1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2000</v>
          </cell>
          <cell r="N233">
            <v>0</v>
          </cell>
          <cell r="O233">
            <v>5000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2000</v>
          </cell>
          <cell r="AC233">
            <v>0</v>
          </cell>
          <cell r="AD233">
            <v>5000</v>
          </cell>
          <cell r="AE233">
            <v>0</v>
          </cell>
          <cell r="AF233">
            <v>0</v>
          </cell>
          <cell r="AG233">
            <v>0</v>
          </cell>
          <cell r="AI233">
            <v>6</v>
          </cell>
          <cell r="AJ233">
            <v>7</v>
          </cell>
          <cell r="AL233">
            <v>7000</v>
          </cell>
          <cell r="AM233">
            <v>1167628</v>
          </cell>
          <cell r="AN233">
            <v>7000</v>
          </cell>
        </row>
        <row r="234">
          <cell r="B234">
            <v>220</v>
          </cell>
          <cell r="C234">
            <v>38481</v>
          </cell>
          <cell r="D234">
            <v>8</v>
          </cell>
          <cell r="E234">
            <v>1234923</v>
          </cell>
          <cell r="F234">
            <v>2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2000</v>
          </cell>
          <cell r="N234">
            <v>0</v>
          </cell>
          <cell r="O234">
            <v>5000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2000</v>
          </cell>
          <cell r="AC234">
            <v>0</v>
          </cell>
          <cell r="AD234">
            <v>5000</v>
          </cell>
          <cell r="AE234">
            <v>0</v>
          </cell>
          <cell r="AF234">
            <v>0</v>
          </cell>
          <cell r="AG234">
            <v>0</v>
          </cell>
          <cell r="AI234">
            <v>6</v>
          </cell>
          <cell r="AJ234">
            <v>8</v>
          </cell>
          <cell r="AL234">
            <v>7000</v>
          </cell>
          <cell r="AM234">
            <v>1227923</v>
          </cell>
          <cell r="AN234">
            <v>7000</v>
          </cell>
        </row>
        <row r="235">
          <cell r="B235">
            <v>221</v>
          </cell>
          <cell r="C235">
            <v>38482</v>
          </cell>
          <cell r="D235">
            <v>9</v>
          </cell>
          <cell r="E235">
            <v>1249174</v>
          </cell>
          <cell r="F235">
            <v>3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2000</v>
          </cell>
          <cell r="N235">
            <v>0</v>
          </cell>
          <cell r="O235">
            <v>5000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2000</v>
          </cell>
          <cell r="AC235">
            <v>0</v>
          </cell>
          <cell r="AD235">
            <v>5000</v>
          </cell>
          <cell r="AE235">
            <v>0</v>
          </cell>
          <cell r="AF235">
            <v>0</v>
          </cell>
          <cell r="AG235">
            <v>0</v>
          </cell>
          <cell r="AI235">
            <v>6</v>
          </cell>
          <cell r="AJ235">
            <v>9</v>
          </cell>
          <cell r="AL235">
            <v>7000</v>
          </cell>
          <cell r="AM235">
            <v>1242174</v>
          </cell>
          <cell r="AN235">
            <v>7000</v>
          </cell>
        </row>
        <row r="236">
          <cell r="B236">
            <v>222</v>
          </cell>
          <cell r="C236">
            <v>38483</v>
          </cell>
          <cell r="D236">
            <v>10</v>
          </cell>
          <cell r="E236">
            <v>1705748</v>
          </cell>
          <cell r="F236">
            <v>3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2000</v>
          </cell>
          <cell r="N236">
            <v>0</v>
          </cell>
          <cell r="O236">
            <v>5000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2000</v>
          </cell>
          <cell r="AC236">
            <v>0</v>
          </cell>
          <cell r="AD236">
            <v>5000</v>
          </cell>
          <cell r="AE236">
            <v>0</v>
          </cell>
          <cell r="AF236">
            <v>0</v>
          </cell>
          <cell r="AG236">
            <v>0</v>
          </cell>
          <cell r="AI236">
            <v>6</v>
          </cell>
          <cell r="AJ236">
            <v>10</v>
          </cell>
          <cell r="AL236">
            <v>7000</v>
          </cell>
          <cell r="AM236">
            <v>1698748</v>
          </cell>
          <cell r="AN236">
            <v>7000</v>
          </cell>
        </row>
        <row r="237">
          <cell r="B237">
            <v>223</v>
          </cell>
          <cell r="C237">
            <v>38484</v>
          </cell>
          <cell r="D237">
            <v>11</v>
          </cell>
          <cell r="E237">
            <v>1571581</v>
          </cell>
          <cell r="F237">
            <v>4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2000</v>
          </cell>
          <cell r="N237">
            <v>0</v>
          </cell>
          <cell r="O237">
            <v>5000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2000</v>
          </cell>
          <cell r="AC237">
            <v>0</v>
          </cell>
          <cell r="AD237">
            <v>5000</v>
          </cell>
          <cell r="AE237">
            <v>0</v>
          </cell>
          <cell r="AF237">
            <v>0</v>
          </cell>
          <cell r="AG237">
            <v>0</v>
          </cell>
          <cell r="AI237">
            <v>6</v>
          </cell>
          <cell r="AJ237">
            <v>11</v>
          </cell>
          <cell r="AL237">
            <v>7000</v>
          </cell>
          <cell r="AM237">
            <v>1564581</v>
          </cell>
          <cell r="AN237">
            <v>7000</v>
          </cell>
        </row>
        <row r="238">
          <cell r="B238">
            <v>224</v>
          </cell>
          <cell r="C238">
            <v>38485</v>
          </cell>
          <cell r="D238">
            <v>12</v>
          </cell>
          <cell r="E238">
            <v>1559134</v>
          </cell>
          <cell r="F238">
            <v>5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2000</v>
          </cell>
          <cell r="N238">
            <v>0</v>
          </cell>
          <cell r="O238">
            <v>5000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2000</v>
          </cell>
          <cell r="AC238">
            <v>0</v>
          </cell>
          <cell r="AD238">
            <v>5000</v>
          </cell>
          <cell r="AE238">
            <v>0</v>
          </cell>
          <cell r="AF238">
            <v>0</v>
          </cell>
          <cell r="AG238">
            <v>0</v>
          </cell>
          <cell r="AI238">
            <v>6</v>
          </cell>
          <cell r="AJ238">
            <v>12</v>
          </cell>
          <cell r="AL238">
            <v>7000</v>
          </cell>
          <cell r="AM238">
            <v>1552134</v>
          </cell>
          <cell r="AN238">
            <v>7000</v>
          </cell>
        </row>
        <row r="239">
          <cell r="B239">
            <v>225</v>
          </cell>
          <cell r="C239">
            <v>38486</v>
          </cell>
          <cell r="D239">
            <v>13</v>
          </cell>
          <cell r="E239">
            <v>1339262</v>
          </cell>
          <cell r="F239">
            <v>6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2000</v>
          </cell>
          <cell r="N239">
            <v>0</v>
          </cell>
          <cell r="O239">
            <v>5000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2000</v>
          </cell>
          <cell r="AC239">
            <v>0</v>
          </cell>
          <cell r="AD239">
            <v>5000</v>
          </cell>
          <cell r="AE239">
            <v>0</v>
          </cell>
          <cell r="AF239">
            <v>0</v>
          </cell>
          <cell r="AG239">
            <v>0</v>
          </cell>
          <cell r="AI239">
            <v>6</v>
          </cell>
          <cell r="AJ239">
            <v>13</v>
          </cell>
          <cell r="AL239">
            <v>7000</v>
          </cell>
          <cell r="AM239">
            <v>1332262</v>
          </cell>
          <cell r="AN239">
            <v>7000</v>
          </cell>
        </row>
        <row r="240">
          <cell r="B240">
            <v>226</v>
          </cell>
          <cell r="C240">
            <v>38487</v>
          </cell>
          <cell r="D240">
            <v>14</v>
          </cell>
          <cell r="E240">
            <v>1210726</v>
          </cell>
          <cell r="F240">
            <v>7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2000</v>
          </cell>
          <cell r="N240">
            <v>0</v>
          </cell>
          <cell r="O240">
            <v>5000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2000</v>
          </cell>
          <cell r="AC240">
            <v>0</v>
          </cell>
          <cell r="AD240">
            <v>5000</v>
          </cell>
          <cell r="AE240">
            <v>0</v>
          </cell>
          <cell r="AF240">
            <v>0</v>
          </cell>
          <cell r="AG240">
            <v>0</v>
          </cell>
          <cell r="AI240">
            <v>6</v>
          </cell>
          <cell r="AJ240">
            <v>14</v>
          </cell>
          <cell r="AL240">
            <v>7000</v>
          </cell>
          <cell r="AM240">
            <v>1203726</v>
          </cell>
          <cell r="AN240">
            <v>7000</v>
          </cell>
        </row>
        <row r="241">
          <cell r="B241">
            <v>227</v>
          </cell>
          <cell r="C241">
            <v>38488</v>
          </cell>
          <cell r="D241">
            <v>15</v>
          </cell>
          <cell r="E241">
            <v>1347838</v>
          </cell>
          <cell r="F241">
            <v>9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2000</v>
          </cell>
          <cell r="N241">
            <v>0</v>
          </cell>
          <cell r="O241">
            <v>5000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2000</v>
          </cell>
          <cell r="AC241">
            <v>0</v>
          </cell>
          <cell r="AD241">
            <v>5000</v>
          </cell>
          <cell r="AE241">
            <v>0</v>
          </cell>
          <cell r="AF241">
            <v>0</v>
          </cell>
          <cell r="AG241">
            <v>0</v>
          </cell>
          <cell r="AI241">
            <v>6</v>
          </cell>
          <cell r="AJ241">
            <v>15</v>
          </cell>
          <cell r="AL241">
            <v>7000</v>
          </cell>
          <cell r="AM241">
            <v>1340838</v>
          </cell>
          <cell r="AN241">
            <v>7000</v>
          </cell>
        </row>
        <row r="242">
          <cell r="B242">
            <v>228</v>
          </cell>
          <cell r="C242">
            <v>38489</v>
          </cell>
          <cell r="D242">
            <v>16</v>
          </cell>
          <cell r="E242">
            <v>1217152</v>
          </cell>
          <cell r="F242">
            <v>11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2000</v>
          </cell>
          <cell r="N242">
            <v>0</v>
          </cell>
          <cell r="O242">
            <v>5000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2000</v>
          </cell>
          <cell r="AC242">
            <v>0</v>
          </cell>
          <cell r="AD242">
            <v>5000</v>
          </cell>
          <cell r="AE242">
            <v>0</v>
          </cell>
          <cell r="AF242">
            <v>0</v>
          </cell>
          <cell r="AG242">
            <v>0</v>
          </cell>
          <cell r="AI242">
            <v>6</v>
          </cell>
          <cell r="AJ242">
            <v>16</v>
          </cell>
          <cell r="AL242">
            <v>7000</v>
          </cell>
          <cell r="AM242">
            <v>1210152</v>
          </cell>
          <cell r="AN242">
            <v>7000</v>
          </cell>
        </row>
        <row r="243">
          <cell r="B243">
            <v>229</v>
          </cell>
          <cell r="C243">
            <v>38490</v>
          </cell>
          <cell r="D243">
            <v>17</v>
          </cell>
          <cell r="E243">
            <v>1184311</v>
          </cell>
          <cell r="F243">
            <v>8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2000</v>
          </cell>
          <cell r="N243">
            <v>0</v>
          </cell>
          <cell r="O243">
            <v>5000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2000</v>
          </cell>
          <cell r="AC243">
            <v>0</v>
          </cell>
          <cell r="AD243">
            <v>5000</v>
          </cell>
          <cell r="AE243">
            <v>0</v>
          </cell>
          <cell r="AF243">
            <v>0</v>
          </cell>
          <cell r="AG243">
            <v>0</v>
          </cell>
          <cell r="AI243">
            <v>6</v>
          </cell>
          <cell r="AJ243">
            <v>17</v>
          </cell>
          <cell r="AL243">
            <v>7000</v>
          </cell>
          <cell r="AM243">
            <v>1177311</v>
          </cell>
          <cell r="AN243">
            <v>7000</v>
          </cell>
        </row>
        <row r="244">
          <cell r="B244">
            <v>230</v>
          </cell>
          <cell r="C244">
            <v>38491</v>
          </cell>
          <cell r="D244">
            <v>18</v>
          </cell>
          <cell r="E244">
            <v>1241795</v>
          </cell>
          <cell r="F244">
            <v>7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2000</v>
          </cell>
          <cell r="N244">
            <v>0</v>
          </cell>
          <cell r="O244">
            <v>5000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2000</v>
          </cell>
          <cell r="AC244">
            <v>0</v>
          </cell>
          <cell r="AD244">
            <v>5000</v>
          </cell>
          <cell r="AE244">
            <v>0</v>
          </cell>
          <cell r="AF244">
            <v>0</v>
          </cell>
          <cell r="AG244">
            <v>0</v>
          </cell>
          <cell r="AI244">
            <v>6</v>
          </cell>
          <cell r="AJ244">
            <v>18</v>
          </cell>
          <cell r="AL244">
            <v>7000</v>
          </cell>
          <cell r="AM244">
            <v>1234795</v>
          </cell>
          <cell r="AN244">
            <v>7000</v>
          </cell>
        </row>
        <row r="245">
          <cell r="B245">
            <v>231</v>
          </cell>
          <cell r="C245">
            <v>38492</v>
          </cell>
          <cell r="D245">
            <v>19</v>
          </cell>
          <cell r="E245">
            <v>1358109</v>
          </cell>
          <cell r="F245">
            <v>6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2000</v>
          </cell>
          <cell r="N245">
            <v>0</v>
          </cell>
          <cell r="O245">
            <v>5000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2000</v>
          </cell>
          <cell r="AC245">
            <v>0</v>
          </cell>
          <cell r="AD245">
            <v>5000</v>
          </cell>
          <cell r="AE245">
            <v>0</v>
          </cell>
          <cell r="AF245">
            <v>0</v>
          </cell>
          <cell r="AG245">
            <v>0</v>
          </cell>
          <cell r="AI245">
            <v>6</v>
          </cell>
          <cell r="AJ245">
            <v>19</v>
          </cell>
          <cell r="AL245">
            <v>7000</v>
          </cell>
          <cell r="AM245">
            <v>1351109</v>
          </cell>
          <cell r="AN245">
            <v>7000</v>
          </cell>
        </row>
        <row r="246">
          <cell r="B246">
            <v>232</v>
          </cell>
          <cell r="C246">
            <v>38493</v>
          </cell>
          <cell r="D246">
            <v>20</v>
          </cell>
          <cell r="E246">
            <v>1272994</v>
          </cell>
          <cell r="F246">
            <v>5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2000</v>
          </cell>
          <cell r="N246">
            <v>0</v>
          </cell>
          <cell r="O246">
            <v>5000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2000</v>
          </cell>
          <cell r="AC246">
            <v>0</v>
          </cell>
          <cell r="AD246">
            <v>5000</v>
          </cell>
          <cell r="AE246">
            <v>0</v>
          </cell>
          <cell r="AF246">
            <v>0</v>
          </cell>
          <cell r="AG246">
            <v>0</v>
          </cell>
          <cell r="AI246">
            <v>6</v>
          </cell>
          <cell r="AJ246">
            <v>20</v>
          </cell>
          <cell r="AL246">
            <v>7000</v>
          </cell>
          <cell r="AM246">
            <v>1265994</v>
          </cell>
          <cell r="AN246">
            <v>7000</v>
          </cell>
        </row>
        <row r="247">
          <cell r="B247">
            <v>233</v>
          </cell>
          <cell r="C247">
            <v>38494</v>
          </cell>
          <cell r="D247">
            <v>21</v>
          </cell>
          <cell r="E247">
            <v>1449566</v>
          </cell>
          <cell r="F247">
            <v>4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2000</v>
          </cell>
          <cell r="N247">
            <v>0</v>
          </cell>
          <cell r="O247">
            <v>5000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2000</v>
          </cell>
          <cell r="AC247">
            <v>0</v>
          </cell>
          <cell r="AD247">
            <v>5000</v>
          </cell>
          <cell r="AE247">
            <v>0</v>
          </cell>
          <cell r="AF247">
            <v>0</v>
          </cell>
          <cell r="AG247">
            <v>0</v>
          </cell>
          <cell r="AI247">
            <v>6</v>
          </cell>
          <cell r="AJ247">
            <v>21</v>
          </cell>
          <cell r="AL247">
            <v>7000</v>
          </cell>
          <cell r="AM247">
            <v>1442566</v>
          </cell>
          <cell r="AN247">
            <v>7000</v>
          </cell>
        </row>
        <row r="248">
          <cell r="B248">
            <v>234</v>
          </cell>
          <cell r="C248">
            <v>38495</v>
          </cell>
          <cell r="D248">
            <v>22</v>
          </cell>
          <cell r="E248">
            <v>1425314</v>
          </cell>
          <cell r="F248">
            <v>3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2000</v>
          </cell>
          <cell r="N248">
            <v>0</v>
          </cell>
          <cell r="O248">
            <v>5000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2000</v>
          </cell>
          <cell r="AC248">
            <v>0</v>
          </cell>
          <cell r="AD248">
            <v>5000</v>
          </cell>
          <cell r="AE248">
            <v>0</v>
          </cell>
          <cell r="AF248">
            <v>0</v>
          </cell>
          <cell r="AG248">
            <v>0</v>
          </cell>
          <cell r="AI248">
            <v>6</v>
          </cell>
          <cell r="AJ248">
            <v>22</v>
          </cell>
          <cell r="AL248">
            <v>7000</v>
          </cell>
          <cell r="AM248">
            <v>1418314</v>
          </cell>
          <cell r="AN248">
            <v>7000</v>
          </cell>
        </row>
        <row r="249">
          <cell r="B249">
            <v>235</v>
          </cell>
          <cell r="C249">
            <v>38496</v>
          </cell>
          <cell r="D249">
            <v>23</v>
          </cell>
          <cell r="E249">
            <v>1225616</v>
          </cell>
          <cell r="F249">
            <v>2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2000</v>
          </cell>
          <cell r="N249">
            <v>0</v>
          </cell>
          <cell r="O249">
            <v>5000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2000</v>
          </cell>
          <cell r="AC249">
            <v>0</v>
          </cell>
          <cell r="AD249">
            <v>5000</v>
          </cell>
          <cell r="AE249">
            <v>0</v>
          </cell>
          <cell r="AF249">
            <v>0</v>
          </cell>
          <cell r="AG249">
            <v>0</v>
          </cell>
          <cell r="AI249">
            <v>6</v>
          </cell>
          <cell r="AJ249">
            <v>23</v>
          </cell>
          <cell r="AL249">
            <v>7000</v>
          </cell>
          <cell r="AM249">
            <v>1218616</v>
          </cell>
          <cell r="AN249">
            <v>7000</v>
          </cell>
        </row>
        <row r="250">
          <cell r="B250">
            <v>236</v>
          </cell>
          <cell r="C250">
            <v>38497</v>
          </cell>
          <cell r="D250">
            <v>24</v>
          </cell>
          <cell r="E250">
            <v>1241272</v>
          </cell>
          <cell r="F250">
            <v>1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2000</v>
          </cell>
          <cell r="N250">
            <v>0</v>
          </cell>
          <cell r="O250">
            <v>5000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2000</v>
          </cell>
          <cell r="AC250">
            <v>0</v>
          </cell>
          <cell r="AD250">
            <v>5000</v>
          </cell>
          <cell r="AE250">
            <v>0</v>
          </cell>
          <cell r="AF250">
            <v>0</v>
          </cell>
          <cell r="AG250">
            <v>0</v>
          </cell>
          <cell r="AI250">
            <v>6</v>
          </cell>
          <cell r="AJ250">
            <v>24</v>
          </cell>
          <cell r="AL250">
            <v>7000</v>
          </cell>
          <cell r="AM250">
            <v>1234272</v>
          </cell>
          <cell r="AN250">
            <v>7000</v>
          </cell>
        </row>
        <row r="251">
          <cell r="B251">
            <v>237</v>
          </cell>
          <cell r="C251">
            <v>38498</v>
          </cell>
          <cell r="D251">
            <v>25</v>
          </cell>
          <cell r="E251">
            <v>1050564</v>
          </cell>
          <cell r="F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2000</v>
          </cell>
          <cell r="N251">
            <v>0</v>
          </cell>
          <cell r="O251">
            <v>5000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2000</v>
          </cell>
          <cell r="AC251">
            <v>0</v>
          </cell>
          <cell r="AD251">
            <v>5000</v>
          </cell>
          <cell r="AE251">
            <v>0</v>
          </cell>
          <cell r="AF251">
            <v>0</v>
          </cell>
          <cell r="AG251">
            <v>0</v>
          </cell>
          <cell r="AI251">
            <v>6</v>
          </cell>
          <cell r="AJ251">
            <v>25</v>
          </cell>
          <cell r="AL251">
            <v>7000</v>
          </cell>
          <cell r="AM251">
            <v>1043564</v>
          </cell>
          <cell r="AN251">
            <v>7000</v>
          </cell>
        </row>
        <row r="252">
          <cell r="B252">
            <v>238</v>
          </cell>
          <cell r="C252">
            <v>38499</v>
          </cell>
          <cell r="D252">
            <v>26</v>
          </cell>
          <cell r="E252">
            <v>1147742</v>
          </cell>
          <cell r="F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2000</v>
          </cell>
          <cell r="N252">
            <v>0</v>
          </cell>
          <cell r="O252">
            <v>5000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2000</v>
          </cell>
          <cell r="AC252">
            <v>0</v>
          </cell>
          <cell r="AD252">
            <v>5000</v>
          </cell>
          <cell r="AE252">
            <v>0</v>
          </cell>
          <cell r="AF252">
            <v>0</v>
          </cell>
          <cell r="AG252">
            <v>0</v>
          </cell>
          <cell r="AI252">
            <v>6</v>
          </cell>
          <cell r="AJ252">
            <v>26</v>
          </cell>
          <cell r="AL252">
            <v>7000</v>
          </cell>
          <cell r="AM252">
            <v>1140742</v>
          </cell>
          <cell r="AN252">
            <v>7000</v>
          </cell>
        </row>
        <row r="253">
          <cell r="B253">
            <v>239</v>
          </cell>
          <cell r="C253">
            <v>38500</v>
          </cell>
          <cell r="D253">
            <v>27</v>
          </cell>
          <cell r="E253">
            <v>1395980</v>
          </cell>
          <cell r="F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2000</v>
          </cell>
          <cell r="N253">
            <v>0</v>
          </cell>
          <cell r="O253">
            <v>5000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2000</v>
          </cell>
          <cell r="AC253">
            <v>0</v>
          </cell>
          <cell r="AD253">
            <v>5000</v>
          </cell>
          <cell r="AE253">
            <v>0</v>
          </cell>
          <cell r="AF253">
            <v>0</v>
          </cell>
          <cell r="AG253">
            <v>0</v>
          </cell>
          <cell r="AI253">
            <v>6</v>
          </cell>
          <cell r="AJ253">
            <v>27</v>
          </cell>
          <cell r="AL253">
            <v>7000</v>
          </cell>
          <cell r="AM253">
            <v>1388980</v>
          </cell>
          <cell r="AN253">
            <v>7000</v>
          </cell>
        </row>
        <row r="254">
          <cell r="B254">
            <v>240</v>
          </cell>
          <cell r="C254">
            <v>38501</v>
          </cell>
          <cell r="D254">
            <v>28</v>
          </cell>
          <cell r="E254">
            <v>1397689</v>
          </cell>
          <cell r="F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2000</v>
          </cell>
          <cell r="N254">
            <v>0</v>
          </cell>
          <cell r="O254">
            <v>5000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2000</v>
          </cell>
          <cell r="AC254">
            <v>0</v>
          </cell>
          <cell r="AD254">
            <v>5000</v>
          </cell>
          <cell r="AE254">
            <v>0</v>
          </cell>
          <cell r="AF254">
            <v>0</v>
          </cell>
          <cell r="AG254">
            <v>0</v>
          </cell>
          <cell r="AI254">
            <v>6</v>
          </cell>
          <cell r="AJ254">
            <v>28</v>
          </cell>
          <cell r="AL254">
            <v>7000</v>
          </cell>
          <cell r="AM254">
            <v>1390689</v>
          </cell>
          <cell r="AN254">
            <v>7000</v>
          </cell>
        </row>
        <row r="255">
          <cell r="B255">
            <v>241</v>
          </cell>
          <cell r="C255">
            <v>38502</v>
          </cell>
          <cell r="D255">
            <v>29</v>
          </cell>
          <cell r="E255">
            <v>1415329</v>
          </cell>
          <cell r="F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2000</v>
          </cell>
          <cell r="N255">
            <v>0</v>
          </cell>
          <cell r="O255">
            <v>5000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2000</v>
          </cell>
          <cell r="AC255">
            <v>0</v>
          </cell>
          <cell r="AD255">
            <v>5000</v>
          </cell>
          <cell r="AE255">
            <v>0</v>
          </cell>
          <cell r="AF255">
            <v>0</v>
          </cell>
          <cell r="AG255">
            <v>0</v>
          </cell>
          <cell r="AI255">
            <v>6</v>
          </cell>
          <cell r="AJ255">
            <v>29</v>
          </cell>
          <cell r="AL255">
            <v>7000</v>
          </cell>
          <cell r="AM255">
            <v>1408329</v>
          </cell>
          <cell r="AN255">
            <v>7000</v>
          </cell>
        </row>
        <row r="256">
          <cell r="B256">
            <v>242</v>
          </cell>
          <cell r="C256">
            <v>38503</v>
          </cell>
          <cell r="D256">
            <v>30</v>
          </cell>
          <cell r="E256">
            <v>1148600</v>
          </cell>
          <cell r="F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2000</v>
          </cell>
          <cell r="N256">
            <v>0</v>
          </cell>
          <cell r="O256">
            <v>5000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2000</v>
          </cell>
          <cell r="AC256">
            <v>0</v>
          </cell>
          <cell r="AD256">
            <v>5000</v>
          </cell>
          <cell r="AE256">
            <v>0</v>
          </cell>
          <cell r="AF256">
            <v>0</v>
          </cell>
          <cell r="AG256">
            <v>0</v>
          </cell>
          <cell r="AI256">
            <v>6</v>
          </cell>
          <cell r="AJ256">
            <v>30</v>
          </cell>
          <cell r="AL256">
            <v>7000</v>
          </cell>
          <cell r="AM256">
            <v>1141600</v>
          </cell>
          <cell r="AN256">
            <v>7000</v>
          </cell>
        </row>
        <row r="257">
          <cell r="B257">
            <v>243</v>
          </cell>
          <cell r="C257">
            <v>38504</v>
          </cell>
          <cell r="D257">
            <v>1</v>
          </cell>
          <cell r="E257">
            <v>1192378</v>
          </cell>
          <cell r="F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2000</v>
          </cell>
          <cell r="N257">
            <v>0</v>
          </cell>
          <cell r="O257">
            <v>5000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2000</v>
          </cell>
          <cell r="AC257">
            <v>0</v>
          </cell>
          <cell r="AD257">
            <v>5000</v>
          </cell>
          <cell r="AE257">
            <v>0</v>
          </cell>
          <cell r="AF257">
            <v>0</v>
          </cell>
          <cell r="AG257">
            <v>0</v>
          </cell>
          <cell r="AI257">
            <v>7</v>
          </cell>
          <cell r="AJ257">
            <v>1</v>
          </cell>
          <cell r="AL257">
            <v>7000</v>
          </cell>
          <cell r="AM257">
            <v>1185378</v>
          </cell>
          <cell r="AN257">
            <v>7000</v>
          </cell>
        </row>
        <row r="258">
          <cell r="B258">
            <v>244</v>
          </cell>
          <cell r="C258">
            <v>38505</v>
          </cell>
          <cell r="D258">
            <v>2</v>
          </cell>
          <cell r="E258">
            <v>1236091</v>
          </cell>
          <cell r="F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2000</v>
          </cell>
          <cell r="N258">
            <v>0</v>
          </cell>
          <cell r="O258">
            <v>5000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2000</v>
          </cell>
          <cell r="AC258">
            <v>0</v>
          </cell>
          <cell r="AD258">
            <v>5000</v>
          </cell>
          <cell r="AE258">
            <v>0</v>
          </cell>
          <cell r="AF258">
            <v>0</v>
          </cell>
          <cell r="AG258">
            <v>0</v>
          </cell>
          <cell r="AI258">
            <v>7</v>
          </cell>
          <cell r="AJ258">
            <v>2</v>
          </cell>
          <cell r="AL258">
            <v>7000</v>
          </cell>
          <cell r="AM258">
            <v>1229091</v>
          </cell>
          <cell r="AN258">
            <v>7000</v>
          </cell>
        </row>
        <row r="259">
          <cell r="B259">
            <v>245</v>
          </cell>
          <cell r="C259">
            <v>38506</v>
          </cell>
          <cell r="D259">
            <v>3</v>
          </cell>
          <cell r="E259">
            <v>1178282</v>
          </cell>
          <cell r="F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2000</v>
          </cell>
          <cell r="N259">
            <v>0</v>
          </cell>
          <cell r="O259">
            <v>5000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2000</v>
          </cell>
          <cell r="AC259">
            <v>0</v>
          </cell>
          <cell r="AD259">
            <v>5000</v>
          </cell>
          <cell r="AE259">
            <v>0</v>
          </cell>
          <cell r="AF259">
            <v>0</v>
          </cell>
          <cell r="AG259">
            <v>0</v>
          </cell>
          <cell r="AI259">
            <v>7</v>
          </cell>
          <cell r="AJ259">
            <v>3</v>
          </cell>
          <cell r="AL259">
            <v>7000</v>
          </cell>
          <cell r="AM259">
            <v>1171282</v>
          </cell>
          <cell r="AN259">
            <v>7000</v>
          </cell>
        </row>
        <row r="260">
          <cell r="B260">
            <v>246</v>
          </cell>
          <cell r="C260">
            <v>38507</v>
          </cell>
          <cell r="D260">
            <v>4</v>
          </cell>
          <cell r="E260">
            <v>1115891</v>
          </cell>
          <cell r="F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2000</v>
          </cell>
          <cell r="N260">
            <v>0</v>
          </cell>
          <cell r="O260">
            <v>5000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2000</v>
          </cell>
          <cell r="AC260">
            <v>0</v>
          </cell>
          <cell r="AD260">
            <v>5000</v>
          </cell>
          <cell r="AE260">
            <v>0</v>
          </cell>
          <cell r="AF260">
            <v>0</v>
          </cell>
          <cell r="AG260">
            <v>0</v>
          </cell>
          <cell r="AI260">
            <v>7</v>
          </cell>
          <cell r="AJ260">
            <v>4</v>
          </cell>
          <cell r="AL260">
            <v>7000</v>
          </cell>
          <cell r="AM260">
            <v>1108891</v>
          </cell>
          <cell r="AN260">
            <v>7000</v>
          </cell>
        </row>
        <row r="261">
          <cell r="B261">
            <v>247</v>
          </cell>
          <cell r="C261">
            <v>38508</v>
          </cell>
          <cell r="D261">
            <v>5</v>
          </cell>
          <cell r="E261">
            <v>1047792</v>
          </cell>
          <cell r="F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2000</v>
          </cell>
          <cell r="N261">
            <v>0</v>
          </cell>
          <cell r="O261">
            <v>5000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2000</v>
          </cell>
          <cell r="AC261">
            <v>0</v>
          </cell>
          <cell r="AD261">
            <v>5000</v>
          </cell>
          <cell r="AE261">
            <v>0</v>
          </cell>
          <cell r="AF261">
            <v>0</v>
          </cell>
          <cell r="AG261">
            <v>0</v>
          </cell>
          <cell r="AI261">
            <v>7</v>
          </cell>
          <cell r="AJ261">
            <v>5</v>
          </cell>
          <cell r="AL261">
            <v>7000</v>
          </cell>
          <cell r="AM261">
            <v>1040792</v>
          </cell>
          <cell r="AN261">
            <v>7000</v>
          </cell>
        </row>
        <row r="262">
          <cell r="B262">
            <v>248</v>
          </cell>
          <cell r="C262">
            <v>38509</v>
          </cell>
          <cell r="D262">
            <v>6</v>
          </cell>
          <cell r="E262">
            <v>1064486</v>
          </cell>
          <cell r="F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2000</v>
          </cell>
          <cell r="N262">
            <v>0</v>
          </cell>
          <cell r="O262">
            <v>5000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2000</v>
          </cell>
          <cell r="AC262">
            <v>0</v>
          </cell>
          <cell r="AD262">
            <v>5000</v>
          </cell>
          <cell r="AE262">
            <v>0</v>
          </cell>
          <cell r="AF262">
            <v>0</v>
          </cell>
          <cell r="AG262">
            <v>0</v>
          </cell>
          <cell r="AI262">
            <v>7</v>
          </cell>
          <cell r="AJ262">
            <v>6</v>
          </cell>
          <cell r="AL262">
            <v>7000</v>
          </cell>
          <cell r="AM262">
            <v>1057486</v>
          </cell>
          <cell r="AN262">
            <v>7000</v>
          </cell>
        </row>
        <row r="263">
          <cell r="B263">
            <v>249</v>
          </cell>
          <cell r="C263">
            <v>38510</v>
          </cell>
          <cell r="D263">
            <v>7</v>
          </cell>
          <cell r="E263">
            <v>1264997</v>
          </cell>
          <cell r="F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2000</v>
          </cell>
          <cell r="N263">
            <v>0</v>
          </cell>
          <cell r="O263">
            <v>5000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2000</v>
          </cell>
          <cell r="AC263">
            <v>0</v>
          </cell>
          <cell r="AD263">
            <v>5000</v>
          </cell>
          <cell r="AE263">
            <v>0</v>
          </cell>
          <cell r="AF263">
            <v>0</v>
          </cell>
          <cell r="AG263">
            <v>0</v>
          </cell>
          <cell r="AI263">
            <v>7</v>
          </cell>
          <cell r="AJ263">
            <v>7</v>
          </cell>
          <cell r="AL263">
            <v>7000</v>
          </cell>
          <cell r="AM263">
            <v>1257997</v>
          </cell>
          <cell r="AN263">
            <v>7000</v>
          </cell>
        </row>
        <row r="264">
          <cell r="B264">
            <v>250</v>
          </cell>
          <cell r="C264">
            <v>38511</v>
          </cell>
          <cell r="D264">
            <v>8</v>
          </cell>
          <cell r="E264">
            <v>1314261</v>
          </cell>
          <cell r="F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2000</v>
          </cell>
          <cell r="N264">
            <v>0</v>
          </cell>
          <cell r="O264">
            <v>5000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2000</v>
          </cell>
          <cell r="AC264">
            <v>0</v>
          </cell>
          <cell r="AD264">
            <v>5000</v>
          </cell>
          <cell r="AE264">
            <v>0</v>
          </cell>
          <cell r="AF264">
            <v>0</v>
          </cell>
          <cell r="AG264">
            <v>0</v>
          </cell>
          <cell r="AI264">
            <v>7</v>
          </cell>
          <cell r="AJ264">
            <v>8</v>
          </cell>
          <cell r="AL264">
            <v>7000</v>
          </cell>
          <cell r="AM264">
            <v>1307261</v>
          </cell>
          <cell r="AN264">
            <v>7000</v>
          </cell>
        </row>
        <row r="265">
          <cell r="B265">
            <v>251</v>
          </cell>
          <cell r="C265">
            <v>38512</v>
          </cell>
          <cell r="D265">
            <v>9</v>
          </cell>
          <cell r="E265">
            <v>1296750</v>
          </cell>
          <cell r="F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2000</v>
          </cell>
          <cell r="N265">
            <v>0</v>
          </cell>
          <cell r="O265">
            <v>5000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2000</v>
          </cell>
          <cell r="AC265">
            <v>0</v>
          </cell>
          <cell r="AD265">
            <v>5000</v>
          </cell>
          <cell r="AE265">
            <v>0</v>
          </cell>
          <cell r="AF265">
            <v>0</v>
          </cell>
          <cell r="AG265">
            <v>0</v>
          </cell>
          <cell r="AI265">
            <v>7</v>
          </cell>
          <cell r="AJ265">
            <v>9</v>
          </cell>
          <cell r="AL265">
            <v>7000</v>
          </cell>
          <cell r="AM265">
            <v>1289750</v>
          </cell>
          <cell r="AN265">
            <v>7000</v>
          </cell>
        </row>
        <row r="266">
          <cell r="B266">
            <v>252</v>
          </cell>
          <cell r="C266">
            <v>38513</v>
          </cell>
          <cell r="D266">
            <v>10</v>
          </cell>
          <cell r="E266">
            <v>1371778</v>
          </cell>
          <cell r="F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2000</v>
          </cell>
          <cell r="N266">
            <v>0</v>
          </cell>
          <cell r="O266">
            <v>5000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2000</v>
          </cell>
          <cell r="AC266">
            <v>0</v>
          </cell>
          <cell r="AD266">
            <v>5000</v>
          </cell>
          <cell r="AE266">
            <v>0</v>
          </cell>
          <cell r="AF266">
            <v>0</v>
          </cell>
          <cell r="AG266">
            <v>0</v>
          </cell>
          <cell r="AI266">
            <v>7</v>
          </cell>
          <cell r="AJ266">
            <v>10</v>
          </cell>
          <cell r="AL266">
            <v>7000</v>
          </cell>
          <cell r="AM266">
            <v>1364778</v>
          </cell>
          <cell r="AN266">
            <v>7000</v>
          </cell>
        </row>
        <row r="267">
          <cell r="B267">
            <v>253</v>
          </cell>
          <cell r="C267">
            <v>38514</v>
          </cell>
          <cell r="D267">
            <v>11</v>
          </cell>
          <cell r="E267">
            <v>1429395</v>
          </cell>
          <cell r="F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2000</v>
          </cell>
          <cell r="N267">
            <v>0</v>
          </cell>
          <cell r="O267">
            <v>5000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2000</v>
          </cell>
          <cell r="AC267">
            <v>0</v>
          </cell>
          <cell r="AD267">
            <v>5000</v>
          </cell>
          <cell r="AE267">
            <v>0</v>
          </cell>
          <cell r="AF267">
            <v>0</v>
          </cell>
          <cell r="AG267">
            <v>0</v>
          </cell>
          <cell r="AI267">
            <v>7</v>
          </cell>
          <cell r="AJ267">
            <v>11</v>
          </cell>
          <cell r="AL267">
            <v>7000</v>
          </cell>
          <cell r="AM267">
            <v>1422395</v>
          </cell>
          <cell r="AN267">
            <v>7000</v>
          </cell>
        </row>
        <row r="268">
          <cell r="B268">
            <v>254</v>
          </cell>
          <cell r="C268">
            <v>38515</v>
          </cell>
          <cell r="D268">
            <v>12</v>
          </cell>
          <cell r="E268">
            <v>1424525</v>
          </cell>
          <cell r="F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2000</v>
          </cell>
          <cell r="N268">
            <v>0</v>
          </cell>
          <cell r="O268">
            <v>5000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2000</v>
          </cell>
          <cell r="AC268">
            <v>0</v>
          </cell>
          <cell r="AD268">
            <v>5000</v>
          </cell>
          <cell r="AE268">
            <v>0</v>
          </cell>
          <cell r="AF268">
            <v>0</v>
          </cell>
          <cell r="AG268">
            <v>0</v>
          </cell>
          <cell r="AI268">
            <v>7</v>
          </cell>
          <cell r="AJ268">
            <v>12</v>
          </cell>
          <cell r="AL268">
            <v>7000</v>
          </cell>
          <cell r="AM268">
            <v>1417525</v>
          </cell>
          <cell r="AN268">
            <v>7000</v>
          </cell>
        </row>
        <row r="269">
          <cell r="B269">
            <v>255</v>
          </cell>
          <cell r="C269">
            <v>38516</v>
          </cell>
          <cell r="D269">
            <v>13</v>
          </cell>
          <cell r="E269">
            <v>1166840</v>
          </cell>
          <cell r="F269">
            <v>1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2000</v>
          </cell>
          <cell r="N269">
            <v>0</v>
          </cell>
          <cell r="O269">
            <v>5000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2000</v>
          </cell>
          <cell r="AC269">
            <v>0</v>
          </cell>
          <cell r="AD269">
            <v>5000</v>
          </cell>
          <cell r="AE269">
            <v>0</v>
          </cell>
          <cell r="AF269">
            <v>0</v>
          </cell>
          <cell r="AG269">
            <v>0</v>
          </cell>
          <cell r="AI269">
            <v>7</v>
          </cell>
          <cell r="AJ269">
            <v>13</v>
          </cell>
          <cell r="AL269">
            <v>7000</v>
          </cell>
          <cell r="AM269">
            <v>1159840</v>
          </cell>
          <cell r="AN269">
            <v>7000</v>
          </cell>
        </row>
        <row r="270">
          <cell r="B270">
            <v>256</v>
          </cell>
          <cell r="C270">
            <v>38517</v>
          </cell>
          <cell r="D270">
            <v>14</v>
          </cell>
          <cell r="E270">
            <v>1149249</v>
          </cell>
          <cell r="F270">
            <v>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2000</v>
          </cell>
          <cell r="N270">
            <v>0</v>
          </cell>
          <cell r="O270">
            <v>5000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2000</v>
          </cell>
          <cell r="AC270">
            <v>0</v>
          </cell>
          <cell r="AD270">
            <v>5000</v>
          </cell>
          <cell r="AE270">
            <v>0</v>
          </cell>
          <cell r="AF270">
            <v>0</v>
          </cell>
          <cell r="AG270">
            <v>0</v>
          </cell>
          <cell r="AI270">
            <v>7</v>
          </cell>
          <cell r="AJ270">
            <v>14</v>
          </cell>
          <cell r="AL270">
            <v>7000</v>
          </cell>
          <cell r="AM270">
            <v>1142249</v>
          </cell>
          <cell r="AN270">
            <v>7000</v>
          </cell>
        </row>
        <row r="271">
          <cell r="B271">
            <v>257</v>
          </cell>
          <cell r="C271">
            <v>38518</v>
          </cell>
          <cell r="D271">
            <v>15</v>
          </cell>
          <cell r="E271">
            <v>1293529</v>
          </cell>
          <cell r="F271">
            <v>3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2000</v>
          </cell>
          <cell r="N271">
            <v>0</v>
          </cell>
          <cell r="O271">
            <v>5000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2000</v>
          </cell>
          <cell r="AC271">
            <v>0</v>
          </cell>
          <cell r="AD271">
            <v>5000</v>
          </cell>
          <cell r="AE271">
            <v>0</v>
          </cell>
          <cell r="AF271">
            <v>0</v>
          </cell>
          <cell r="AG271">
            <v>0</v>
          </cell>
          <cell r="AI271">
            <v>7</v>
          </cell>
          <cell r="AJ271">
            <v>15</v>
          </cell>
          <cell r="AL271">
            <v>7000</v>
          </cell>
          <cell r="AM271">
            <v>1286529</v>
          </cell>
          <cell r="AN271">
            <v>7000</v>
          </cell>
        </row>
        <row r="272">
          <cell r="B272">
            <v>258</v>
          </cell>
          <cell r="C272">
            <v>38519</v>
          </cell>
          <cell r="D272">
            <v>16</v>
          </cell>
          <cell r="E272">
            <v>1162527</v>
          </cell>
          <cell r="F272">
            <v>6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2000</v>
          </cell>
          <cell r="N272">
            <v>0</v>
          </cell>
          <cell r="O272">
            <v>5000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2000</v>
          </cell>
          <cell r="AC272">
            <v>0</v>
          </cell>
          <cell r="AD272">
            <v>5000</v>
          </cell>
          <cell r="AE272">
            <v>0</v>
          </cell>
          <cell r="AF272">
            <v>0</v>
          </cell>
          <cell r="AG272">
            <v>0</v>
          </cell>
          <cell r="AI272">
            <v>7</v>
          </cell>
          <cell r="AJ272">
            <v>16</v>
          </cell>
          <cell r="AL272">
            <v>7000</v>
          </cell>
          <cell r="AM272">
            <v>1155527</v>
          </cell>
          <cell r="AN272">
            <v>7000</v>
          </cell>
        </row>
        <row r="273">
          <cell r="B273">
            <v>259</v>
          </cell>
          <cell r="C273">
            <v>38520</v>
          </cell>
          <cell r="D273">
            <v>17</v>
          </cell>
          <cell r="E273">
            <v>1096763</v>
          </cell>
          <cell r="F273">
            <v>4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2000</v>
          </cell>
          <cell r="N273">
            <v>0</v>
          </cell>
          <cell r="O273">
            <v>5000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2000</v>
          </cell>
          <cell r="AC273">
            <v>0</v>
          </cell>
          <cell r="AD273">
            <v>5000</v>
          </cell>
          <cell r="AE273">
            <v>0</v>
          </cell>
          <cell r="AF273">
            <v>0</v>
          </cell>
          <cell r="AG273">
            <v>0</v>
          </cell>
          <cell r="AI273">
            <v>7</v>
          </cell>
          <cell r="AJ273">
            <v>17</v>
          </cell>
          <cell r="AL273">
            <v>7000</v>
          </cell>
          <cell r="AM273">
            <v>1089763</v>
          </cell>
          <cell r="AN273">
            <v>7000</v>
          </cell>
        </row>
        <row r="274">
          <cell r="B274">
            <v>260</v>
          </cell>
          <cell r="C274">
            <v>38521</v>
          </cell>
          <cell r="D274">
            <v>18</v>
          </cell>
          <cell r="E274">
            <v>1010873</v>
          </cell>
          <cell r="F274">
            <v>3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2000</v>
          </cell>
          <cell r="N274">
            <v>0</v>
          </cell>
          <cell r="O274">
            <v>5000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2000</v>
          </cell>
          <cell r="AC274">
            <v>0</v>
          </cell>
          <cell r="AD274">
            <v>5000</v>
          </cell>
          <cell r="AE274">
            <v>0</v>
          </cell>
          <cell r="AF274">
            <v>0</v>
          </cell>
          <cell r="AG274">
            <v>0</v>
          </cell>
          <cell r="AI274">
            <v>7</v>
          </cell>
          <cell r="AJ274">
            <v>18</v>
          </cell>
          <cell r="AL274">
            <v>7000</v>
          </cell>
          <cell r="AM274">
            <v>1003873</v>
          </cell>
          <cell r="AN274">
            <v>7000</v>
          </cell>
        </row>
        <row r="275">
          <cell r="B275">
            <v>261</v>
          </cell>
          <cell r="C275">
            <v>38522</v>
          </cell>
          <cell r="D275">
            <v>19</v>
          </cell>
          <cell r="E275">
            <v>964260</v>
          </cell>
          <cell r="F275">
            <v>1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2000</v>
          </cell>
          <cell r="N275">
            <v>0</v>
          </cell>
          <cell r="O275">
            <v>5000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2000</v>
          </cell>
          <cell r="AC275">
            <v>0</v>
          </cell>
          <cell r="AD275">
            <v>5000</v>
          </cell>
          <cell r="AE275">
            <v>0</v>
          </cell>
          <cell r="AF275">
            <v>0</v>
          </cell>
          <cell r="AG275">
            <v>0</v>
          </cell>
          <cell r="AI275">
            <v>7</v>
          </cell>
          <cell r="AJ275">
            <v>19</v>
          </cell>
          <cell r="AL275">
            <v>7000</v>
          </cell>
          <cell r="AM275">
            <v>957260</v>
          </cell>
          <cell r="AN275">
            <v>7000</v>
          </cell>
        </row>
        <row r="276">
          <cell r="B276">
            <v>262</v>
          </cell>
          <cell r="C276">
            <v>38523</v>
          </cell>
          <cell r="D276">
            <v>20</v>
          </cell>
          <cell r="E276">
            <v>899911</v>
          </cell>
          <cell r="F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2000</v>
          </cell>
          <cell r="N276">
            <v>0</v>
          </cell>
          <cell r="O276">
            <v>5000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2000</v>
          </cell>
          <cell r="AC276">
            <v>0</v>
          </cell>
          <cell r="AD276">
            <v>5000</v>
          </cell>
          <cell r="AE276">
            <v>0</v>
          </cell>
          <cell r="AF276">
            <v>0</v>
          </cell>
          <cell r="AG276">
            <v>0</v>
          </cell>
          <cell r="AI276">
            <v>7</v>
          </cell>
          <cell r="AJ276">
            <v>20</v>
          </cell>
          <cell r="AL276">
            <v>7000</v>
          </cell>
          <cell r="AM276">
            <v>892911</v>
          </cell>
          <cell r="AN276">
            <v>7000</v>
          </cell>
        </row>
        <row r="277">
          <cell r="B277">
            <v>263</v>
          </cell>
          <cell r="C277">
            <v>38524</v>
          </cell>
          <cell r="D277">
            <v>21</v>
          </cell>
          <cell r="E277">
            <v>862374</v>
          </cell>
          <cell r="F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2000</v>
          </cell>
          <cell r="N277">
            <v>0</v>
          </cell>
          <cell r="O277">
            <v>5000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2000</v>
          </cell>
          <cell r="AC277">
            <v>0</v>
          </cell>
          <cell r="AD277">
            <v>5000</v>
          </cell>
          <cell r="AE277">
            <v>0</v>
          </cell>
          <cell r="AF277">
            <v>0</v>
          </cell>
          <cell r="AG277">
            <v>0</v>
          </cell>
          <cell r="AI277">
            <v>7</v>
          </cell>
          <cell r="AJ277">
            <v>21</v>
          </cell>
          <cell r="AL277">
            <v>7000</v>
          </cell>
          <cell r="AM277">
            <v>855374</v>
          </cell>
          <cell r="AN277">
            <v>7000</v>
          </cell>
        </row>
        <row r="278">
          <cell r="B278">
            <v>264</v>
          </cell>
          <cell r="C278">
            <v>38525</v>
          </cell>
          <cell r="D278">
            <v>22</v>
          </cell>
          <cell r="E278">
            <v>968506</v>
          </cell>
          <cell r="F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2000</v>
          </cell>
          <cell r="N278">
            <v>0</v>
          </cell>
          <cell r="O278">
            <v>5000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2000</v>
          </cell>
          <cell r="AC278">
            <v>0</v>
          </cell>
          <cell r="AD278">
            <v>5000</v>
          </cell>
          <cell r="AE278">
            <v>0</v>
          </cell>
          <cell r="AF278">
            <v>0</v>
          </cell>
          <cell r="AG278">
            <v>0</v>
          </cell>
          <cell r="AI278">
            <v>7</v>
          </cell>
          <cell r="AJ278">
            <v>22</v>
          </cell>
          <cell r="AL278">
            <v>7000</v>
          </cell>
          <cell r="AM278">
            <v>961506</v>
          </cell>
          <cell r="AN278">
            <v>7000</v>
          </cell>
        </row>
        <row r="279">
          <cell r="B279">
            <v>265</v>
          </cell>
          <cell r="C279">
            <v>38526</v>
          </cell>
          <cell r="D279">
            <v>23</v>
          </cell>
          <cell r="E279">
            <v>1012790</v>
          </cell>
          <cell r="F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2000</v>
          </cell>
          <cell r="N279">
            <v>0</v>
          </cell>
          <cell r="O279">
            <v>5000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2000</v>
          </cell>
          <cell r="AC279">
            <v>0</v>
          </cell>
          <cell r="AD279">
            <v>5000</v>
          </cell>
          <cell r="AE279">
            <v>0</v>
          </cell>
          <cell r="AF279">
            <v>0</v>
          </cell>
          <cell r="AG279">
            <v>0</v>
          </cell>
          <cell r="AI279">
            <v>7</v>
          </cell>
          <cell r="AJ279">
            <v>23</v>
          </cell>
          <cell r="AL279">
            <v>7000</v>
          </cell>
          <cell r="AM279">
            <v>1005790</v>
          </cell>
          <cell r="AN279">
            <v>7000</v>
          </cell>
        </row>
        <row r="280">
          <cell r="B280">
            <v>266</v>
          </cell>
          <cell r="C280">
            <v>38527</v>
          </cell>
          <cell r="D280">
            <v>24</v>
          </cell>
          <cell r="E280">
            <v>1075709</v>
          </cell>
          <cell r="F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2000</v>
          </cell>
          <cell r="N280">
            <v>0</v>
          </cell>
          <cell r="O280">
            <v>5000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2000</v>
          </cell>
          <cell r="AC280">
            <v>0</v>
          </cell>
          <cell r="AD280">
            <v>5000</v>
          </cell>
          <cell r="AE280">
            <v>0</v>
          </cell>
          <cell r="AF280">
            <v>0</v>
          </cell>
          <cell r="AG280">
            <v>0</v>
          </cell>
          <cell r="AI280">
            <v>7</v>
          </cell>
          <cell r="AJ280">
            <v>24</v>
          </cell>
          <cell r="AL280">
            <v>7000</v>
          </cell>
          <cell r="AM280">
            <v>1068709</v>
          </cell>
          <cell r="AN280">
            <v>7000</v>
          </cell>
        </row>
        <row r="281">
          <cell r="B281">
            <v>267</v>
          </cell>
          <cell r="C281">
            <v>38528</v>
          </cell>
          <cell r="D281">
            <v>25</v>
          </cell>
          <cell r="E281">
            <v>1097848</v>
          </cell>
          <cell r="F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2000</v>
          </cell>
          <cell r="N281">
            <v>0</v>
          </cell>
          <cell r="O281">
            <v>5000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2000</v>
          </cell>
          <cell r="AC281">
            <v>0</v>
          </cell>
          <cell r="AD281">
            <v>5000</v>
          </cell>
          <cell r="AE281">
            <v>0</v>
          </cell>
          <cell r="AF281">
            <v>0</v>
          </cell>
          <cell r="AG281">
            <v>0</v>
          </cell>
          <cell r="AI281">
            <v>7</v>
          </cell>
          <cell r="AJ281">
            <v>25</v>
          </cell>
          <cell r="AL281">
            <v>7000</v>
          </cell>
          <cell r="AM281">
            <v>1090848</v>
          </cell>
          <cell r="AN281">
            <v>7000</v>
          </cell>
        </row>
        <row r="282">
          <cell r="B282">
            <v>268</v>
          </cell>
          <cell r="C282">
            <v>38529</v>
          </cell>
          <cell r="D282">
            <v>26</v>
          </cell>
          <cell r="E282">
            <v>1012240</v>
          </cell>
          <cell r="F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2000</v>
          </cell>
          <cell r="N282">
            <v>0</v>
          </cell>
          <cell r="O282">
            <v>5000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2000</v>
          </cell>
          <cell r="AC282">
            <v>0</v>
          </cell>
          <cell r="AD282">
            <v>5000</v>
          </cell>
          <cell r="AE282">
            <v>0</v>
          </cell>
          <cell r="AF282">
            <v>0</v>
          </cell>
          <cell r="AG282">
            <v>0</v>
          </cell>
          <cell r="AI282">
            <v>7</v>
          </cell>
          <cell r="AJ282">
            <v>26</v>
          </cell>
          <cell r="AL282">
            <v>7000</v>
          </cell>
          <cell r="AM282">
            <v>1005240</v>
          </cell>
          <cell r="AN282">
            <v>7000</v>
          </cell>
        </row>
        <row r="283">
          <cell r="B283">
            <v>269</v>
          </cell>
          <cell r="C283">
            <v>38530</v>
          </cell>
          <cell r="D283">
            <v>27</v>
          </cell>
          <cell r="E283">
            <v>885866</v>
          </cell>
          <cell r="F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2000</v>
          </cell>
          <cell r="N283">
            <v>0</v>
          </cell>
          <cell r="O283">
            <v>5000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2000</v>
          </cell>
          <cell r="AC283">
            <v>0</v>
          </cell>
          <cell r="AD283">
            <v>5000</v>
          </cell>
          <cell r="AE283">
            <v>0</v>
          </cell>
          <cell r="AF283">
            <v>0</v>
          </cell>
          <cell r="AG283">
            <v>0</v>
          </cell>
          <cell r="AI283">
            <v>7</v>
          </cell>
          <cell r="AJ283">
            <v>27</v>
          </cell>
          <cell r="AL283">
            <v>7000</v>
          </cell>
          <cell r="AM283">
            <v>878866</v>
          </cell>
          <cell r="AN283">
            <v>7000</v>
          </cell>
        </row>
        <row r="284">
          <cell r="B284">
            <v>270</v>
          </cell>
          <cell r="C284">
            <v>38531</v>
          </cell>
          <cell r="D284">
            <v>28</v>
          </cell>
          <cell r="E284">
            <v>860412</v>
          </cell>
          <cell r="F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2000</v>
          </cell>
          <cell r="N284">
            <v>0</v>
          </cell>
          <cell r="O284">
            <v>5000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2000</v>
          </cell>
          <cell r="AC284">
            <v>0</v>
          </cell>
          <cell r="AD284">
            <v>5000</v>
          </cell>
          <cell r="AE284">
            <v>0</v>
          </cell>
          <cell r="AF284">
            <v>0</v>
          </cell>
          <cell r="AG284">
            <v>0</v>
          </cell>
          <cell r="AI284">
            <v>7</v>
          </cell>
          <cell r="AJ284">
            <v>28</v>
          </cell>
          <cell r="AL284">
            <v>7000</v>
          </cell>
          <cell r="AM284">
            <v>853412</v>
          </cell>
          <cell r="AN284">
            <v>7000</v>
          </cell>
        </row>
        <row r="285">
          <cell r="B285">
            <v>271</v>
          </cell>
          <cell r="C285">
            <v>38532</v>
          </cell>
          <cell r="D285">
            <v>29</v>
          </cell>
          <cell r="E285">
            <v>972677</v>
          </cell>
          <cell r="F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2000</v>
          </cell>
          <cell r="N285">
            <v>0</v>
          </cell>
          <cell r="O285">
            <v>5000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2000</v>
          </cell>
          <cell r="AC285">
            <v>0</v>
          </cell>
          <cell r="AD285">
            <v>5000</v>
          </cell>
          <cell r="AE285">
            <v>0</v>
          </cell>
          <cell r="AF285">
            <v>0</v>
          </cell>
          <cell r="AG285">
            <v>0</v>
          </cell>
          <cell r="AI285">
            <v>7</v>
          </cell>
          <cell r="AJ285">
            <v>29</v>
          </cell>
          <cell r="AL285">
            <v>7000</v>
          </cell>
          <cell r="AM285">
            <v>965677</v>
          </cell>
          <cell r="AN285">
            <v>7000</v>
          </cell>
        </row>
        <row r="286">
          <cell r="B286">
            <v>272</v>
          </cell>
          <cell r="C286">
            <v>38533</v>
          </cell>
          <cell r="D286">
            <v>30</v>
          </cell>
          <cell r="E286">
            <v>971754</v>
          </cell>
          <cell r="F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2000</v>
          </cell>
          <cell r="N286">
            <v>0</v>
          </cell>
          <cell r="O286">
            <v>5000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2000</v>
          </cell>
          <cell r="AC286">
            <v>0</v>
          </cell>
          <cell r="AD286">
            <v>5000</v>
          </cell>
          <cell r="AE286">
            <v>0</v>
          </cell>
          <cell r="AF286">
            <v>0</v>
          </cell>
          <cell r="AG286">
            <v>0</v>
          </cell>
          <cell r="AI286">
            <v>7</v>
          </cell>
          <cell r="AJ286">
            <v>30</v>
          </cell>
          <cell r="AL286">
            <v>7000</v>
          </cell>
          <cell r="AM286">
            <v>964754</v>
          </cell>
          <cell r="AN286">
            <v>7000</v>
          </cell>
        </row>
        <row r="287">
          <cell r="B287">
            <v>273</v>
          </cell>
          <cell r="C287">
            <v>38534</v>
          </cell>
          <cell r="D287">
            <v>31</v>
          </cell>
          <cell r="E287">
            <v>1005922</v>
          </cell>
          <cell r="F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2000</v>
          </cell>
          <cell r="N287">
            <v>0</v>
          </cell>
          <cell r="O287">
            <v>5000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2000</v>
          </cell>
          <cell r="AC287">
            <v>0</v>
          </cell>
          <cell r="AD287">
            <v>5000</v>
          </cell>
          <cell r="AE287">
            <v>0</v>
          </cell>
          <cell r="AF287">
            <v>0</v>
          </cell>
          <cell r="AG287">
            <v>0</v>
          </cell>
          <cell r="AI287">
            <v>7</v>
          </cell>
          <cell r="AJ287">
            <v>31</v>
          </cell>
          <cell r="AL287">
            <v>7000</v>
          </cell>
          <cell r="AM287">
            <v>998922</v>
          </cell>
          <cell r="AN287">
            <v>7000</v>
          </cell>
        </row>
        <row r="288">
          <cell r="B288">
            <v>274</v>
          </cell>
          <cell r="C288">
            <v>38535</v>
          </cell>
          <cell r="D288">
            <v>1</v>
          </cell>
          <cell r="E288">
            <v>850324</v>
          </cell>
          <cell r="F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2000</v>
          </cell>
          <cell r="N288">
            <v>0</v>
          </cell>
          <cell r="O288">
            <v>5000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2000</v>
          </cell>
          <cell r="AC288">
            <v>0</v>
          </cell>
          <cell r="AD288">
            <v>5000</v>
          </cell>
          <cell r="AE288">
            <v>0</v>
          </cell>
          <cell r="AF288">
            <v>0</v>
          </cell>
          <cell r="AG288">
            <v>0</v>
          </cell>
          <cell r="AI288">
            <v>8</v>
          </cell>
          <cell r="AJ288">
            <v>1</v>
          </cell>
          <cell r="AL288">
            <v>7000</v>
          </cell>
          <cell r="AM288">
            <v>843324</v>
          </cell>
          <cell r="AN288">
            <v>7000</v>
          </cell>
        </row>
        <row r="289">
          <cell r="B289">
            <v>275</v>
          </cell>
          <cell r="C289">
            <v>38536</v>
          </cell>
          <cell r="D289">
            <v>2</v>
          </cell>
          <cell r="E289">
            <v>844947</v>
          </cell>
          <cell r="F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2000</v>
          </cell>
          <cell r="N289">
            <v>0</v>
          </cell>
          <cell r="O289">
            <v>5000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2000</v>
          </cell>
          <cell r="AC289">
            <v>0</v>
          </cell>
          <cell r="AD289">
            <v>5000</v>
          </cell>
          <cell r="AE289">
            <v>0</v>
          </cell>
          <cell r="AF289">
            <v>0</v>
          </cell>
          <cell r="AG289">
            <v>0</v>
          </cell>
          <cell r="AI289">
            <v>8</v>
          </cell>
          <cell r="AJ289">
            <v>2</v>
          </cell>
          <cell r="AL289">
            <v>7000</v>
          </cell>
          <cell r="AM289">
            <v>837947</v>
          </cell>
          <cell r="AN289">
            <v>7000</v>
          </cell>
        </row>
        <row r="290">
          <cell r="B290">
            <v>276</v>
          </cell>
          <cell r="C290">
            <v>38537</v>
          </cell>
          <cell r="D290">
            <v>3</v>
          </cell>
          <cell r="E290">
            <v>738076</v>
          </cell>
          <cell r="F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2000</v>
          </cell>
          <cell r="N290">
            <v>0</v>
          </cell>
          <cell r="O290">
            <v>5000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2000</v>
          </cell>
          <cell r="AC290">
            <v>0</v>
          </cell>
          <cell r="AD290">
            <v>5000</v>
          </cell>
          <cell r="AE290">
            <v>0</v>
          </cell>
          <cell r="AF290">
            <v>0</v>
          </cell>
          <cell r="AG290">
            <v>0</v>
          </cell>
          <cell r="AI290">
            <v>8</v>
          </cell>
          <cell r="AJ290">
            <v>3</v>
          </cell>
          <cell r="AL290">
            <v>7000</v>
          </cell>
          <cell r="AM290">
            <v>731076</v>
          </cell>
          <cell r="AN290">
            <v>7000</v>
          </cell>
        </row>
        <row r="291">
          <cell r="B291">
            <v>277</v>
          </cell>
          <cell r="C291">
            <v>38538</v>
          </cell>
          <cell r="D291">
            <v>4</v>
          </cell>
          <cell r="E291">
            <v>546183</v>
          </cell>
          <cell r="F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2000</v>
          </cell>
          <cell r="N291">
            <v>0</v>
          </cell>
          <cell r="O291">
            <v>5000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2000</v>
          </cell>
          <cell r="AC291">
            <v>0</v>
          </cell>
          <cell r="AD291">
            <v>5000</v>
          </cell>
          <cell r="AE291">
            <v>0</v>
          </cell>
          <cell r="AF291">
            <v>0</v>
          </cell>
          <cell r="AG291">
            <v>0</v>
          </cell>
          <cell r="AI291">
            <v>8</v>
          </cell>
          <cell r="AJ291">
            <v>4</v>
          </cell>
          <cell r="AL291">
            <v>7000</v>
          </cell>
          <cell r="AM291">
            <v>539183</v>
          </cell>
          <cell r="AN291">
            <v>7000</v>
          </cell>
        </row>
        <row r="292">
          <cell r="B292">
            <v>278</v>
          </cell>
          <cell r="C292">
            <v>38539</v>
          </cell>
          <cell r="D292">
            <v>5</v>
          </cell>
          <cell r="E292">
            <v>586500</v>
          </cell>
          <cell r="F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2000</v>
          </cell>
          <cell r="N292">
            <v>0</v>
          </cell>
          <cell r="O292">
            <v>5000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2000</v>
          </cell>
          <cell r="AC292">
            <v>0</v>
          </cell>
          <cell r="AD292">
            <v>5000</v>
          </cell>
          <cell r="AE292">
            <v>0</v>
          </cell>
          <cell r="AF292">
            <v>0</v>
          </cell>
          <cell r="AG292">
            <v>0</v>
          </cell>
          <cell r="AI292">
            <v>8</v>
          </cell>
          <cell r="AJ292">
            <v>5</v>
          </cell>
          <cell r="AL292">
            <v>7000</v>
          </cell>
          <cell r="AM292">
            <v>579500</v>
          </cell>
          <cell r="AN292">
            <v>7000</v>
          </cell>
        </row>
        <row r="293">
          <cell r="B293">
            <v>279</v>
          </cell>
          <cell r="C293">
            <v>38540</v>
          </cell>
          <cell r="D293">
            <v>6</v>
          </cell>
          <cell r="E293">
            <v>722215</v>
          </cell>
          <cell r="F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2000</v>
          </cell>
          <cell r="N293">
            <v>0</v>
          </cell>
          <cell r="O293">
            <v>5000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2000</v>
          </cell>
          <cell r="AC293">
            <v>0</v>
          </cell>
          <cell r="AD293">
            <v>5000</v>
          </cell>
          <cell r="AE293">
            <v>0</v>
          </cell>
          <cell r="AF293">
            <v>0</v>
          </cell>
          <cell r="AG293">
            <v>0</v>
          </cell>
          <cell r="AI293">
            <v>8</v>
          </cell>
          <cell r="AJ293">
            <v>6</v>
          </cell>
          <cell r="AL293">
            <v>7000</v>
          </cell>
          <cell r="AM293">
            <v>715215</v>
          </cell>
          <cell r="AN293">
            <v>7000</v>
          </cell>
        </row>
        <row r="294">
          <cell r="B294">
            <v>280</v>
          </cell>
          <cell r="C294">
            <v>38541</v>
          </cell>
          <cell r="D294">
            <v>7</v>
          </cell>
          <cell r="E294">
            <v>840714</v>
          </cell>
          <cell r="F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2000</v>
          </cell>
          <cell r="N294">
            <v>0</v>
          </cell>
          <cell r="O294">
            <v>5000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2000</v>
          </cell>
          <cell r="AC294">
            <v>0</v>
          </cell>
          <cell r="AD294">
            <v>5000</v>
          </cell>
          <cell r="AE294">
            <v>0</v>
          </cell>
          <cell r="AF294">
            <v>0</v>
          </cell>
          <cell r="AG294">
            <v>0</v>
          </cell>
          <cell r="AI294">
            <v>8</v>
          </cell>
          <cell r="AJ294">
            <v>7</v>
          </cell>
          <cell r="AL294">
            <v>7000</v>
          </cell>
          <cell r="AM294">
            <v>833714</v>
          </cell>
          <cell r="AN294">
            <v>7000</v>
          </cell>
        </row>
        <row r="295">
          <cell r="B295">
            <v>281</v>
          </cell>
          <cell r="C295">
            <v>38542</v>
          </cell>
          <cell r="D295">
            <v>8</v>
          </cell>
          <cell r="E295">
            <v>872240</v>
          </cell>
          <cell r="F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2000</v>
          </cell>
          <cell r="N295">
            <v>0</v>
          </cell>
          <cell r="O295">
            <v>5000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2000</v>
          </cell>
          <cell r="AC295">
            <v>0</v>
          </cell>
          <cell r="AD295">
            <v>5000</v>
          </cell>
          <cell r="AE295">
            <v>0</v>
          </cell>
          <cell r="AF295">
            <v>0</v>
          </cell>
          <cell r="AG295">
            <v>0</v>
          </cell>
          <cell r="AI295">
            <v>8</v>
          </cell>
          <cell r="AJ295">
            <v>8</v>
          </cell>
          <cell r="AL295">
            <v>7000</v>
          </cell>
          <cell r="AM295">
            <v>865240</v>
          </cell>
          <cell r="AN295">
            <v>7000</v>
          </cell>
        </row>
        <row r="296">
          <cell r="B296">
            <v>282</v>
          </cell>
          <cell r="C296">
            <v>38543</v>
          </cell>
          <cell r="D296">
            <v>9</v>
          </cell>
          <cell r="E296">
            <v>764767</v>
          </cell>
          <cell r="F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2000</v>
          </cell>
          <cell r="N296">
            <v>0</v>
          </cell>
          <cell r="O296">
            <v>5000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2000</v>
          </cell>
          <cell r="AC296">
            <v>0</v>
          </cell>
          <cell r="AD296">
            <v>5000</v>
          </cell>
          <cell r="AE296">
            <v>0</v>
          </cell>
          <cell r="AF296">
            <v>0</v>
          </cell>
          <cell r="AG296">
            <v>0</v>
          </cell>
          <cell r="AI296">
            <v>8</v>
          </cell>
          <cell r="AJ296">
            <v>9</v>
          </cell>
          <cell r="AL296">
            <v>7000</v>
          </cell>
          <cell r="AM296">
            <v>757767</v>
          </cell>
          <cell r="AN296">
            <v>7000</v>
          </cell>
        </row>
        <row r="297">
          <cell r="B297">
            <v>283</v>
          </cell>
          <cell r="C297">
            <v>38544</v>
          </cell>
          <cell r="D297">
            <v>10</v>
          </cell>
          <cell r="E297">
            <v>813744</v>
          </cell>
          <cell r="F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2000</v>
          </cell>
          <cell r="N297">
            <v>0</v>
          </cell>
          <cell r="O297">
            <v>5000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2000</v>
          </cell>
          <cell r="AC297">
            <v>0</v>
          </cell>
          <cell r="AD297">
            <v>5000</v>
          </cell>
          <cell r="AE297">
            <v>0</v>
          </cell>
          <cell r="AF297">
            <v>0</v>
          </cell>
          <cell r="AG297">
            <v>0</v>
          </cell>
          <cell r="AI297">
            <v>8</v>
          </cell>
          <cell r="AJ297">
            <v>10</v>
          </cell>
          <cell r="AL297">
            <v>7000</v>
          </cell>
          <cell r="AM297">
            <v>806744</v>
          </cell>
          <cell r="AN297">
            <v>7000</v>
          </cell>
        </row>
        <row r="298">
          <cell r="B298">
            <v>284</v>
          </cell>
          <cell r="C298">
            <v>38545</v>
          </cell>
          <cell r="D298">
            <v>11</v>
          </cell>
          <cell r="E298">
            <v>802366</v>
          </cell>
          <cell r="F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2000</v>
          </cell>
          <cell r="N298">
            <v>0</v>
          </cell>
          <cell r="O298">
            <v>5000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2000</v>
          </cell>
          <cell r="AC298">
            <v>0</v>
          </cell>
          <cell r="AD298">
            <v>5000</v>
          </cell>
          <cell r="AE298">
            <v>0</v>
          </cell>
          <cell r="AF298">
            <v>0</v>
          </cell>
          <cell r="AG298">
            <v>0</v>
          </cell>
          <cell r="AI298">
            <v>8</v>
          </cell>
          <cell r="AJ298">
            <v>11</v>
          </cell>
          <cell r="AL298">
            <v>7000</v>
          </cell>
          <cell r="AM298">
            <v>795366</v>
          </cell>
          <cell r="AN298">
            <v>7000</v>
          </cell>
        </row>
        <row r="299">
          <cell r="B299">
            <v>285</v>
          </cell>
          <cell r="C299">
            <v>38546</v>
          </cell>
          <cell r="D299">
            <v>12</v>
          </cell>
          <cell r="E299">
            <v>785939</v>
          </cell>
          <cell r="F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2000</v>
          </cell>
          <cell r="N299">
            <v>0</v>
          </cell>
          <cell r="O299">
            <v>5000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2000</v>
          </cell>
          <cell r="AC299">
            <v>0</v>
          </cell>
          <cell r="AD299">
            <v>5000</v>
          </cell>
          <cell r="AE299">
            <v>0</v>
          </cell>
          <cell r="AF299">
            <v>0</v>
          </cell>
          <cell r="AG299">
            <v>0</v>
          </cell>
          <cell r="AI299">
            <v>8</v>
          </cell>
          <cell r="AJ299">
            <v>12</v>
          </cell>
          <cell r="AL299">
            <v>7000</v>
          </cell>
          <cell r="AM299">
            <v>778939</v>
          </cell>
          <cell r="AN299">
            <v>7000</v>
          </cell>
        </row>
        <row r="300">
          <cell r="B300">
            <v>286</v>
          </cell>
          <cell r="C300">
            <v>38547</v>
          </cell>
          <cell r="D300">
            <v>13</v>
          </cell>
          <cell r="E300">
            <v>809092</v>
          </cell>
          <cell r="F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2000</v>
          </cell>
          <cell r="N300">
            <v>0</v>
          </cell>
          <cell r="O300">
            <v>5000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2000</v>
          </cell>
          <cell r="AC300">
            <v>0</v>
          </cell>
          <cell r="AD300">
            <v>5000</v>
          </cell>
          <cell r="AE300">
            <v>0</v>
          </cell>
          <cell r="AF300">
            <v>0</v>
          </cell>
          <cell r="AG300">
            <v>0</v>
          </cell>
          <cell r="AI300">
            <v>8</v>
          </cell>
          <cell r="AJ300">
            <v>13</v>
          </cell>
          <cell r="AL300">
            <v>7000</v>
          </cell>
          <cell r="AM300">
            <v>802092</v>
          </cell>
          <cell r="AN300">
            <v>7000</v>
          </cell>
        </row>
        <row r="301">
          <cell r="B301">
            <v>287</v>
          </cell>
          <cell r="C301">
            <v>38548</v>
          </cell>
          <cell r="D301">
            <v>14</v>
          </cell>
          <cell r="E301">
            <v>783179</v>
          </cell>
          <cell r="F301">
            <v>1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2000</v>
          </cell>
          <cell r="N301">
            <v>0</v>
          </cell>
          <cell r="O301">
            <v>5000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2000</v>
          </cell>
          <cell r="AC301">
            <v>0</v>
          </cell>
          <cell r="AD301">
            <v>5000</v>
          </cell>
          <cell r="AE301">
            <v>0</v>
          </cell>
          <cell r="AF301">
            <v>0</v>
          </cell>
          <cell r="AG301">
            <v>0</v>
          </cell>
          <cell r="AI301">
            <v>8</v>
          </cell>
          <cell r="AJ301">
            <v>14</v>
          </cell>
          <cell r="AL301">
            <v>7000</v>
          </cell>
          <cell r="AM301">
            <v>776179</v>
          </cell>
          <cell r="AN301">
            <v>7000</v>
          </cell>
        </row>
        <row r="302">
          <cell r="B302">
            <v>288</v>
          </cell>
          <cell r="C302">
            <v>38549</v>
          </cell>
          <cell r="D302">
            <v>15</v>
          </cell>
          <cell r="E302">
            <v>778917</v>
          </cell>
          <cell r="F302">
            <v>2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2000</v>
          </cell>
          <cell r="N302">
            <v>0</v>
          </cell>
          <cell r="O302">
            <v>5000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2000</v>
          </cell>
          <cell r="AC302">
            <v>0</v>
          </cell>
          <cell r="AD302">
            <v>5000</v>
          </cell>
          <cell r="AE302">
            <v>0</v>
          </cell>
          <cell r="AF302">
            <v>0</v>
          </cell>
          <cell r="AG302">
            <v>0</v>
          </cell>
          <cell r="AI302">
            <v>8</v>
          </cell>
          <cell r="AJ302">
            <v>15</v>
          </cell>
          <cell r="AL302">
            <v>7000</v>
          </cell>
          <cell r="AM302">
            <v>771917</v>
          </cell>
          <cell r="AN302">
            <v>7000</v>
          </cell>
        </row>
        <row r="303">
          <cell r="B303">
            <v>289</v>
          </cell>
          <cell r="C303">
            <v>38550</v>
          </cell>
          <cell r="D303">
            <v>16</v>
          </cell>
          <cell r="E303">
            <v>735557</v>
          </cell>
          <cell r="F303">
            <v>5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2000</v>
          </cell>
          <cell r="N303">
            <v>0</v>
          </cell>
          <cell r="O303">
            <v>5000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2000</v>
          </cell>
          <cell r="AC303">
            <v>0</v>
          </cell>
          <cell r="AD303">
            <v>5000</v>
          </cell>
          <cell r="AE303">
            <v>0</v>
          </cell>
          <cell r="AF303">
            <v>0</v>
          </cell>
          <cell r="AG303">
            <v>0</v>
          </cell>
          <cell r="AI303">
            <v>8</v>
          </cell>
          <cell r="AJ303">
            <v>16</v>
          </cell>
          <cell r="AL303">
            <v>7000</v>
          </cell>
          <cell r="AM303">
            <v>728557</v>
          </cell>
          <cell r="AN303">
            <v>7000</v>
          </cell>
        </row>
        <row r="304">
          <cell r="B304">
            <v>290</v>
          </cell>
          <cell r="C304">
            <v>38551</v>
          </cell>
          <cell r="D304">
            <v>17</v>
          </cell>
          <cell r="E304">
            <v>804216</v>
          </cell>
          <cell r="F304">
            <v>3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2000</v>
          </cell>
          <cell r="N304">
            <v>0</v>
          </cell>
          <cell r="O304">
            <v>5000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2000</v>
          </cell>
          <cell r="AC304">
            <v>0</v>
          </cell>
          <cell r="AD304">
            <v>5000</v>
          </cell>
          <cell r="AE304">
            <v>0</v>
          </cell>
          <cell r="AF304">
            <v>0</v>
          </cell>
          <cell r="AG304">
            <v>0</v>
          </cell>
          <cell r="AI304">
            <v>8</v>
          </cell>
          <cell r="AJ304">
            <v>17</v>
          </cell>
          <cell r="AL304">
            <v>7000</v>
          </cell>
          <cell r="AM304">
            <v>797216</v>
          </cell>
          <cell r="AN304">
            <v>7000</v>
          </cell>
        </row>
        <row r="305">
          <cell r="B305">
            <v>291</v>
          </cell>
          <cell r="C305">
            <v>38552</v>
          </cell>
          <cell r="D305">
            <v>18</v>
          </cell>
          <cell r="E305">
            <v>737414</v>
          </cell>
          <cell r="F305">
            <v>2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2000</v>
          </cell>
          <cell r="N305">
            <v>0</v>
          </cell>
          <cell r="O305">
            <v>5000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2000</v>
          </cell>
          <cell r="AC305">
            <v>0</v>
          </cell>
          <cell r="AD305">
            <v>5000</v>
          </cell>
          <cell r="AE305">
            <v>0</v>
          </cell>
          <cell r="AF305">
            <v>0</v>
          </cell>
          <cell r="AG305">
            <v>0</v>
          </cell>
          <cell r="AI305">
            <v>8</v>
          </cell>
          <cell r="AJ305">
            <v>18</v>
          </cell>
          <cell r="AL305">
            <v>7000</v>
          </cell>
          <cell r="AM305">
            <v>730414</v>
          </cell>
          <cell r="AN305">
            <v>7000</v>
          </cell>
        </row>
        <row r="306">
          <cell r="B306">
            <v>292</v>
          </cell>
          <cell r="C306">
            <v>38553</v>
          </cell>
          <cell r="D306">
            <v>19</v>
          </cell>
          <cell r="E306">
            <v>614799</v>
          </cell>
          <cell r="F306">
            <v>1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2000</v>
          </cell>
          <cell r="N306">
            <v>0</v>
          </cell>
          <cell r="O306">
            <v>5000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2000</v>
          </cell>
          <cell r="AC306">
            <v>0</v>
          </cell>
          <cell r="AD306">
            <v>5000</v>
          </cell>
          <cell r="AE306">
            <v>0</v>
          </cell>
          <cell r="AF306">
            <v>0</v>
          </cell>
          <cell r="AG306">
            <v>0</v>
          </cell>
          <cell r="AI306">
            <v>8</v>
          </cell>
          <cell r="AJ306">
            <v>19</v>
          </cell>
          <cell r="AL306">
            <v>7000</v>
          </cell>
          <cell r="AM306">
            <v>607799</v>
          </cell>
          <cell r="AN306">
            <v>7000</v>
          </cell>
        </row>
        <row r="307">
          <cell r="B307">
            <v>293</v>
          </cell>
          <cell r="C307">
            <v>38554</v>
          </cell>
          <cell r="D307">
            <v>20</v>
          </cell>
          <cell r="E307">
            <v>607196</v>
          </cell>
          <cell r="F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2000</v>
          </cell>
          <cell r="N307">
            <v>0</v>
          </cell>
          <cell r="O307">
            <v>5000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2000</v>
          </cell>
          <cell r="AC307">
            <v>0</v>
          </cell>
          <cell r="AD307">
            <v>5000</v>
          </cell>
          <cell r="AE307">
            <v>0</v>
          </cell>
          <cell r="AF307">
            <v>0</v>
          </cell>
          <cell r="AG307">
            <v>0</v>
          </cell>
          <cell r="AI307">
            <v>8</v>
          </cell>
          <cell r="AJ307">
            <v>20</v>
          </cell>
          <cell r="AL307">
            <v>7000</v>
          </cell>
          <cell r="AM307">
            <v>600196</v>
          </cell>
          <cell r="AN307">
            <v>7000</v>
          </cell>
        </row>
        <row r="308">
          <cell r="B308">
            <v>294</v>
          </cell>
          <cell r="C308">
            <v>38555</v>
          </cell>
          <cell r="D308">
            <v>21</v>
          </cell>
          <cell r="E308">
            <v>631465</v>
          </cell>
          <cell r="F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2000</v>
          </cell>
          <cell r="N308">
            <v>0</v>
          </cell>
          <cell r="O308">
            <v>5000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2000</v>
          </cell>
          <cell r="AC308">
            <v>0</v>
          </cell>
          <cell r="AD308">
            <v>5000</v>
          </cell>
          <cell r="AE308">
            <v>0</v>
          </cell>
          <cell r="AF308">
            <v>0</v>
          </cell>
          <cell r="AG308">
            <v>0</v>
          </cell>
          <cell r="AI308">
            <v>8</v>
          </cell>
          <cell r="AJ308">
            <v>21</v>
          </cell>
          <cell r="AL308">
            <v>7000</v>
          </cell>
          <cell r="AM308">
            <v>624465</v>
          </cell>
          <cell r="AN308">
            <v>7000</v>
          </cell>
        </row>
        <row r="309">
          <cell r="B309">
            <v>295</v>
          </cell>
          <cell r="C309">
            <v>38556</v>
          </cell>
          <cell r="D309">
            <v>22</v>
          </cell>
          <cell r="E309">
            <v>467571</v>
          </cell>
          <cell r="F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2000</v>
          </cell>
          <cell r="N309">
            <v>0</v>
          </cell>
          <cell r="O309">
            <v>5000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2000</v>
          </cell>
          <cell r="AC309">
            <v>0</v>
          </cell>
          <cell r="AD309">
            <v>5000</v>
          </cell>
          <cell r="AE309">
            <v>0</v>
          </cell>
          <cell r="AF309">
            <v>0</v>
          </cell>
          <cell r="AG309">
            <v>0</v>
          </cell>
          <cell r="AI309">
            <v>8</v>
          </cell>
          <cell r="AJ309">
            <v>22</v>
          </cell>
          <cell r="AL309">
            <v>7000</v>
          </cell>
          <cell r="AM309">
            <v>460571</v>
          </cell>
          <cell r="AN309">
            <v>7000</v>
          </cell>
        </row>
        <row r="310">
          <cell r="B310">
            <v>296</v>
          </cell>
          <cell r="C310">
            <v>38557</v>
          </cell>
          <cell r="D310">
            <v>23</v>
          </cell>
          <cell r="E310">
            <v>741641</v>
          </cell>
          <cell r="F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2000</v>
          </cell>
          <cell r="N310">
            <v>0</v>
          </cell>
          <cell r="O310">
            <v>5000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2000</v>
          </cell>
          <cell r="AC310">
            <v>0</v>
          </cell>
          <cell r="AD310">
            <v>5000</v>
          </cell>
          <cell r="AE310">
            <v>0</v>
          </cell>
          <cell r="AF310">
            <v>0</v>
          </cell>
          <cell r="AG310">
            <v>0</v>
          </cell>
          <cell r="AI310">
            <v>8</v>
          </cell>
          <cell r="AJ310">
            <v>23</v>
          </cell>
          <cell r="AL310">
            <v>7000</v>
          </cell>
          <cell r="AM310">
            <v>734641</v>
          </cell>
          <cell r="AN310">
            <v>7000</v>
          </cell>
        </row>
        <row r="311">
          <cell r="B311">
            <v>297</v>
          </cell>
          <cell r="C311">
            <v>38558</v>
          </cell>
          <cell r="D311">
            <v>24</v>
          </cell>
          <cell r="E311">
            <v>764921</v>
          </cell>
          <cell r="F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2000</v>
          </cell>
          <cell r="N311">
            <v>0</v>
          </cell>
          <cell r="O311">
            <v>5000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2000</v>
          </cell>
          <cell r="AC311">
            <v>0</v>
          </cell>
          <cell r="AD311">
            <v>5000</v>
          </cell>
          <cell r="AE311">
            <v>0</v>
          </cell>
          <cell r="AF311">
            <v>0</v>
          </cell>
          <cell r="AG311">
            <v>0</v>
          </cell>
          <cell r="AI311">
            <v>8</v>
          </cell>
          <cell r="AJ311">
            <v>24</v>
          </cell>
          <cell r="AL311">
            <v>7000</v>
          </cell>
          <cell r="AM311">
            <v>757921</v>
          </cell>
          <cell r="AN311">
            <v>7000</v>
          </cell>
        </row>
        <row r="312">
          <cell r="B312">
            <v>298</v>
          </cell>
          <cell r="C312">
            <v>38559</v>
          </cell>
          <cell r="D312">
            <v>25</v>
          </cell>
          <cell r="E312">
            <v>754173</v>
          </cell>
          <cell r="F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2000</v>
          </cell>
          <cell r="N312">
            <v>0</v>
          </cell>
          <cell r="O312">
            <v>5000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2000</v>
          </cell>
          <cell r="AC312">
            <v>0</v>
          </cell>
          <cell r="AD312">
            <v>5000</v>
          </cell>
          <cell r="AE312">
            <v>0</v>
          </cell>
          <cell r="AF312">
            <v>0</v>
          </cell>
          <cell r="AG312">
            <v>0</v>
          </cell>
          <cell r="AI312">
            <v>8</v>
          </cell>
          <cell r="AJ312">
            <v>25</v>
          </cell>
          <cell r="AL312">
            <v>7000</v>
          </cell>
          <cell r="AM312">
            <v>747173</v>
          </cell>
          <cell r="AN312">
            <v>7000</v>
          </cell>
        </row>
        <row r="313">
          <cell r="B313">
            <v>299</v>
          </cell>
          <cell r="C313">
            <v>38560</v>
          </cell>
          <cell r="D313">
            <v>26</v>
          </cell>
          <cell r="E313">
            <v>643447</v>
          </cell>
          <cell r="F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2000</v>
          </cell>
          <cell r="N313">
            <v>0</v>
          </cell>
          <cell r="O313">
            <v>5000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2000</v>
          </cell>
          <cell r="AC313">
            <v>0</v>
          </cell>
          <cell r="AD313">
            <v>5000</v>
          </cell>
          <cell r="AE313">
            <v>0</v>
          </cell>
          <cell r="AF313">
            <v>0</v>
          </cell>
          <cell r="AG313">
            <v>0</v>
          </cell>
          <cell r="AI313">
            <v>8</v>
          </cell>
          <cell r="AJ313">
            <v>26</v>
          </cell>
          <cell r="AL313">
            <v>7000</v>
          </cell>
          <cell r="AM313">
            <v>636447</v>
          </cell>
          <cell r="AN313">
            <v>7000</v>
          </cell>
        </row>
        <row r="314">
          <cell r="B314">
            <v>300</v>
          </cell>
          <cell r="C314">
            <v>38561</v>
          </cell>
          <cell r="D314">
            <v>27</v>
          </cell>
          <cell r="E314">
            <v>620304</v>
          </cell>
          <cell r="F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2000</v>
          </cell>
          <cell r="N314">
            <v>0</v>
          </cell>
          <cell r="O314">
            <v>5000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2000</v>
          </cell>
          <cell r="AC314">
            <v>0</v>
          </cell>
          <cell r="AD314">
            <v>5000</v>
          </cell>
          <cell r="AE314">
            <v>0</v>
          </cell>
          <cell r="AF314">
            <v>0</v>
          </cell>
          <cell r="AG314">
            <v>0</v>
          </cell>
          <cell r="AI314">
            <v>8</v>
          </cell>
          <cell r="AJ314">
            <v>27</v>
          </cell>
          <cell r="AL314">
            <v>7000</v>
          </cell>
          <cell r="AM314">
            <v>613304</v>
          </cell>
          <cell r="AN314">
            <v>7000</v>
          </cell>
        </row>
        <row r="315">
          <cell r="B315">
            <v>301</v>
          </cell>
          <cell r="C315">
            <v>38562</v>
          </cell>
          <cell r="D315">
            <v>28</v>
          </cell>
          <cell r="E315">
            <v>592888</v>
          </cell>
          <cell r="F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2000</v>
          </cell>
          <cell r="N315">
            <v>0</v>
          </cell>
          <cell r="O315">
            <v>5000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2000</v>
          </cell>
          <cell r="AC315">
            <v>0</v>
          </cell>
          <cell r="AD315">
            <v>5000</v>
          </cell>
          <cell r="AE315">
            <v>0</v>
          </cell>
          <cell r="AF315">
            <v>0</v>
          </cell>
          <cell r="AG315">
            <v>0</v>
          </cell>
          <cell r="AI315">
            <v>8</v>
          </cell>
          <cell r="AJ315">
            <v>28</v>
          </cell>
          <cell r="AL315">
            <v>7000</v>
          </cell>
          <cell r="AM315">
            <v>585888</v>
          </cell>
          <cell r="AN315">
            <v>7000</v>
          </cell>
        </row>
        <row r="316">
          <cell r="B316">
            <v>302</v>
          </cell>
          <cell r="C316">
            <v>38563</v>
          </cell>
          <cell r="D316">
            <v>29</v>
          </cell>
          <cell r="E316">
            <v>661048</v>
          </cell>
          <cell r="F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2000</v>
          </cell>
          <cell r="N316">
            <v>0</v>
          </cell>
          <cell r="O316">
            <v>5000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2000</v>
          </cell>
          <cell r="AC316">
            <v>0</v>
          </cell>
          <cell r="AD316">
            <v>5000</v>
          </cell>
          <cell r="AE316">
            <v>0</v>
          </cell>
          <cell r="AF316">
            <v>0</v>
          </cell>
          <cell r="AG316">
            <v>0</v>
          </cell>
          <cell r="AI316">
            <v>8</v>
          </cell>
          <cell r="AJ316">
            <v>29</v>
          </cell>
          <cell r="AL316">
            <v>7000</v>
          </cell>
          <cell r="AM316">
            <v>654048</v>
          </cell>
          <cell r="AN316">
            <v>7000</v>
          </cell>
        </row>
        <row r="317">
          <cell r="B317">
            <v>303</v>
          </cell>
          <cell r="C317">
            <v>38564</v>
          </cell>
          <cell r="D317">
            <v>30</v>
          </cell>
          <cell r="E317">
            <v>672677</v>
          </cell>
          <cell r="F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2000</v>
          </cell>
          <cell r="N317">
            <v>0</v>
          </cell>
          <cell r="O317">
            <v>5000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2000</v>
          </cell>
          <cell r="AC317">
            <v>0</v>
          </cell>
          <cell r="AD317">
            <v>5000</v>
          </cell>
          <cell r="AE317">
            <v>0</v>
          </cell>
          <cell r="AF317">
            <v>0</v>
          </cell>
          <cell r="AG317">
            <v>0</v>
          </cell>
          <cell r="AI317">
            <v>8</v>
          </cell>
          <cell r="AJ317">
            <v>30</v>
          </cell>
          <cell r="AL317">
            <v>7000</v>
          </cell>
          <cell r="AM317">
            <v>665677</v>
          </cell>
          <cell r="AN317">
            <v>7000</v>
          </cell>
        </row>
        <row r="318">
          <cell r="B318">
            <v>304</v>
          </cell>
          <cell r="C318">
            <v>38565</v>
          </cell>
          <cell r="D318">
            <v>31</v>
          </cell>
          <cell r="E318">
            <v>738386</v>
          </cell>
          <cell r="F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2000</v>
          </cell>
          <cell r="N318">
            <v>0</v>
          </cell>
          <cell r="O318">
            <v>5000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2000</v>
          </cell>
          <cell r="AC318">
            <v>0</v>
          </cell>
          <cell r="AD318">
            <v>5000</v>
          </cell>
          <cell r="AE318">
            <v>0</v>
          </cell>
          <cell r="AF318">
            <v>0</v>
          </cell>
          <cell r="AG318">
            <v>0</v>
          </cell>
          <cell r="AI318">
            <v>8</v>
          </cell>
          <cell r="AJ318">
            <v>31</v>
          </cell>
          <cell r="AL318">
            <v>7000</v>
          </cell>
          <cell r="AM318">
            <v>731386</v>
          </cell>
          <cell r="AN318">
            <v>7000</v>
          </cell>
        </row>
        <row r="319">
          <cell r="B319">
            <v>305</v>
          </cell>
          <cell r="C319">
            <v>38566</v>
          </cell>
          <cell r="D319">
            <v>1</v>
          </cell>
          <cell r="E319">
            <v>729363</v>
          </cell>
          <cell r="F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2000</v>
          </cell>
          <cell r="N319">
            <v>0</v>
          </cell>
          <cell r="O319">
            <v>5000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2000</v>
          </cell>
          <cell r="AC319">
            <v>0</v>
          </cell>
          <cell r="AD319">
            <v>5000</v>
          </cell>
          <cell r="AE319">
            <v>0</v>
          </cell>
          <cell r="AF319">
            <v>0</v>
          </cell>
          <cell r="AG319">
            <v>0</v>
          </cell>
          <cell r="AI319">
            <v>9</v>
          </cell>
          <cell r="AJ319">
            <v>1</v>
          </cell>
          <cell r="AL319">
            <v>7000</v>
          </cell>
          <cell r="AM319">
            <v>722363</v>
          </cell>
          <cell r="AN319">
            <v>7000</v>
          </cell>
        </row>
        <row r="320">
          <cell r="B320">
            <v>306</v>
          </cell>
          <cell r="C320">
            <v>38567</v>
          </cell>
          <cell r="D320">
            <v>2</v>
          </cell>
          <cell r="E320">
            <v>626378</v>
          </cell>
          <cell r="F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2000</v>
          </cell>
          <cell r="N320">
            <v>0</v>
          </cell>
          <cell r="O320">
            <v>5000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2000</v>
          </cell>
          <cell r="AC320">
            <v>0</v>
          </cell>
          <cell r="AD320">
            <v>5000</v>
          </cell>
          <cell r="AE320">
            <v>0</v>
          </cell>
          <cell r="AF320">
            <v>0</v>
          </cell>
          <cell r="AG320">
            <v>0</v>
          </cell>
          <cell r="AI320">
            <v>9</v>
          </cell>
          <cell r="AJ320">
            <v>2</v>
          </cell>
          <cell r="AL320">
            <v>7000</v>
          </cell>
          <cell r="AM320">
            <v>619378</v>
          </cell>
          <cell r="AN320">
            <v>7000</v>
          </cell>
        </row>
        <row r="321">
          <cell r="B321">
            <v>307</v>
          </cell>
          <cell r="C321">
            <v>38568</v>
          </cell>
          <cell r="D321">
            <v>3</v>
          </cell>
          <cell r="E321">
            <v>596101</v>
          </cell>
          <cell r="F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2000</v>
          </cell>
          <cell r="N321">
            <v>0</v>
          </cell>
          <cell r="O321">
            <v>5000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2000</v>
          </cell>
          <cell r="AC321">
            <v>0</v>
          </cell>
          <cell r="AD321">
            <v>5000</v>
          </cell>
          <cell r="AE321">
            <v>0</v>
          </cell>
          <cell r="AF321">
            <v>0</v>
          </cell>
          <cell r="AG321">
            <v>0</v>
          </cell>
          <cell r="AI321">
            <v>9</v>
          </cell>
          <cell r="AJ321">
            <v>3</v>
          </cell>
          <cell r="AL321">
            <v>7000</v>
          </cell>
          <cell r="AM321">
            <v>589101</v>
          </cell>
          <cell r="AN321">
            <v>7000</v>
          </cell>
        </row>
        <row r="322">
          <cell r="B322">
            <v>308</v>
          </cell>
          <cell r="C322">
            <v>38569</v>
          </cell>
          <cell r="D322">
            <v>4</v>
          </cell>
          <cell r="E322">
            <v>724328</v>
          </cell>
          <cell r="F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2000</v>
          </cell>
          <cell r="N322">
            <v>0</v>
          </cell>
          <cell r="O322">
            <v>5000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2000</v>
          </cell>
          <cell r="AC322">
            <v>0</v>
          </cell>
          <cell r="AD322">
            <v>5000</v>
          </cell>
          <cell r="AE322">
            <v>0</v>
          </cell>
          <cell r="AF322">
            <v>0</v>
          </cell>
          <cell r="AG322">
            <v>0</v>
          </cell>
          <cell r="AI322">
            <v>9</v>
          </cell>
          <cell r="AJ322">
            <v>4</v>
          </cell>
          <cell r="AL322">
            <v>7000</v>
          </cell>
          <cell r="AM322">
            <v>717328</v>
          </cell>
          <cell r="AN322">
            <v>7000</v>
          </cell>
        </row>
        <row r="323">
          <cell r="B323">
            <v>309</v>
          </cell>
          <cell r="C323">
            <v>38570</v>
          </cell>
          <cell r="D323">
            <v>5</v>
          </cell>
          <cell r="E323">
            <v>744522</v>
          </cell>
          <cell r="F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2000</v>
          </cell>
          <cell r="N323">
            <v>0</v>
          </cell>
          <cell r="O323">
            <v>5000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2000</v>
          </cell>
          <cell r="AC323">
            <v>0</v>
          </cell>
          <cell r="AD323">
            <v>5000</v>
          </cell>
          <cell r="AE323">
            <v>0</v>
          </cell>
          <cell r="AF323">
            <v>0</v>
          </cell>
          <cell r="AG323">
            <v>0</v>
          </cell>
          <cell r="AI323">
            <v>9</v>
          </cell>
          <cell r="AJ323">
            <v>5</v>
          </cell>
          <cell r="AL323">
            <v>7000</v>
          </cell>
          <cell r="AM323">
            <v>737522</v>
          </cell>
          <cell r="AN323">
            <v>7000</v>
          </cell>
        </row>
        <row r="324">
          <cell r="B324">
            <v>310</v>
          </cell>
          <cell r="C324">
            <v>38571</v>
          </cell>
          <cell r="D324">
            <v>6</v>
          </cell>
          <cell r="E324">
            <v>719141</v>
          </cell>
          <cell r="F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2000</v>
          </cell>
          <cell r="N324">
            <v>0</v>
          </cell>
          <cell r="O324">
            <v>5000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2000</v>
          </cell>
          <cell r="AC324">
            <v>0</v>
          </cell>
          <cell r="AD324">
            <v>5000</v>
          </cell>
          <cell r="AE324">
            <v>0</v>
          </cell>
          <cell r="AF324">
            <v>0</v>
          </cell>
          <cell r="AG324">
            <v>0</v>
          </cell>
          <cell r="AI324">
            <v>9</v>
          </cell>
          <cell r="AJ324">
            <v>6</v>
          </cell>
          <cell r="AL324">
            <v>7000</v>
          </cell>
          <cell r="AM324">
            <v>712141</v>
          </cell>
          <cell r="AN324">
            <v>7000</v>
          </cell>
        </row>
        <row r="325">
          <cell r="B325">
            <v>311</v>
          </cell>
          <cell r="C325">
            <v>38572</v>
          </cell>
          <cell r="D325">
            <v>7</v>
          </cell>
          <cell r="E325">
            <v>786516</v>
          </cell>
          <cell r="F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2000</v>
          </cell>
          <cell r="N325">
            <v>0</v>
          </cell>
          <cell r="O325">
            <v>5000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2000</v>
          </cell>
          <cell r="AC325">
            <v>0</v>
          </cell>
          <cell r="AD325">
            <v>5000</v>
          </cell>
          <cell r="AE325">
            <v>0</v>
          </cell>
          <cell r="AF325">
            <v>0</v>
          </cell>
          <cell r="AG325">
            <v>0</v>
          </cell>
          <cell r="AI325">
            <v>9</v>
          </cell>
          <cell r="AJ325">
            <v>7</v>
          </cell>
          <cell r="AL325">
            <v>7000</v>
          </cell>
          <cell r="AM325">
            <v>779516</v>
          </cell>
          <cell r="AN325">
            <v>7000</v>
          </cell>
        </row>
        <row r="326">
          <cell r="B326">
            <v>312</v>
          </cell>
          <cell r="C326">
            <v>38573</v>
          </cell>
          <cell r="D326">
            <v>8</v>
          </cell>
          <cell r="E326">
            <v>773549</v>
          </cell>
          <cell r="F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2000</v>
          </cell>
          <cell r="N326">
            <v>0</v>
          </cell>
          <cell r="O326">
            <v>5000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2000</v>
          </cell>
          <cell r="AC326">
            <v>0</v>
          </cell>
          <cell r="AD326">
            <v>5000</v>
          </cell>
          <cell r="AE326">
            <v>0</v>
          </cell>
          <cell r="AF326">
            <v>0</v>
          </cell>
          <cell r="AG326">
            <v>0</v>
          </cell>
          <cell r="AI326">
            <v>9</v>
          </cell>
          <cell r="AJ326">
            <v>8</v>
          </cell>
          <cell r="AL326">
            <v>7000</v>
          </cell>
          <cell r="AM326">
            <v>766549</v>
          </cell>
          <cell r="AN326">
            <v>7000</v>
          </cell>
        </row>
        <row r="327">
          <cell r="B327">
            <v>313</v>
          </cell>
          <cell r="C327">
            <v>38574</v>
          </cell>
          <cell r="D327">
            <v>9</v>
          </cell>
          <cell r="E327">
            <v>644190</v>
          </cell>
          <cell r="F327">
            <v>2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2000</v>
          </cell>
          <cell r="N327">
            <v>0</v>
          </cell>
          <cell r="O327">
            <v>5000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2000</v>
          </cell>
          <cell r="AC327">
            <v>0</v>
          </cell>
          <cell r="AD327">
            <v>5000</v>
          </cell>
          <cell r="AE327">
            <v>0</v>
          </cell>
          <cell r="AF327">
            <v>0</v>
          </cell>
          <cell r="AG327">
            <v>0</v>
          </cell>
          <cell r="AI327">
            <v>9</v>
          </cell>
          <cell r="AJ327">
            <v>9</v>
          </cell>
          <cell r="AL327">
            <v>7000</v>
          </cell>
          <cell r="AM327">
            <v>637190</v>
          </cell>
          <cell r="AN327">
            <v>7000</v>
          </cell>
        </row>
        <row r="328">
          <cell r="B328">
            <v>314</v>
          </cell>
          <cell r="C328">
            <v>38575</v>
          </cell>
          <cell r="D328">
            <v>10</v>
          </cell>
          <cell r="E328">
            <v>621931</v>
          </cell>
          <cell r="F328">
            <v>3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2000</v>
          </cell>
          <cell r="N328">
            <v>0</v>
          </cell>
          <cell r="O328">
            <v>5000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2000</v>
          </cell>
          <cell r="AC328">
            <v>0</v>
          </cell>
          <cell r="AD328">
            <v>5000</v>
          </cell>
          <cell r="AE328">
            <v>0</v>
          </cell>
          <cell r="AF328">
            <v>0</v>
          </cell>
          <cell r="AG328">
            <v>0</v>
          </cell>
          <cell r="AI328">
            <v>9</v>
          </cell>
          <cell r="AJ328">
            <v>10</v>
          </cell>
          <cell r="AL328">
            <v>7000</v>
          </cell>
          <cell r="AM328">
            <v>614931</v>
          </cell>
          <cell r="AN328">
            <v>7000</v>
          </cell>
        </row>
        <row r="329">
          <cell r="B329">
            <v>315</v>
          </cell>
          <cell r="C329">
            <v>38576</v>
          </cell>
          <cell r="D329">
            <v>11</v>
          </cell>
          <cell r="E329">
            <v>773890</v>
          </cell>
          <cell r="F329">
            <v>3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2000</v>
          </cell>
          <cell r="N329">
            <v>0</v>
          </cell>
          <cell r="O329">
            <v>5000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2000</v>
          </cell>
          <cell r="AC329">
            <v>0</v>
          </cell>
          <cell r="AD329">
            <v>5000</v>
          </cell>
          <cell r="AE329">
            <v>0</v>
          </cell>
          <cell r="AF329">
            <v>0</v>
          </cell>
          <cell r="AG329">
            <v>0</v>
          </cell>
          <cell r="AI329">
            <v>9</v>
          </cell>
          <cell r="AJ329">
            <v>11</v>
          </cell>
          <cell r="AL329">
            <v>7000</v>
          </cell>
          <cell r="AM329">
            <v>766890</v>
          </cell>
          <cell r="AN329">
            <v>7000</v>
          </cell>
        </row>
        <row r="330">
          <cell r="B330">
            <v>316</v>
          </cell>
          <cell r="C330">
            <v>38577</v>
          </cell>
          <cell r="D330">
            <v>12</v>
          </cell>
          <cell r="E330">
            <v>789076</v>
          </cell>
          <cell r="F330">
            <v>5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2000</v>
          </cell>
          <cell r="N330">
            <v>0</v>
          </cell>
          <cell r="O330">
            <v>5000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2000</v>
          </cell>
          <cell r="AC330">
            <v>0</v>
          </cell>
          <cell r="AD330">
            <v>5000</v>
          </cell>
          <cell r="AE330">
            <v>0</v>
          </cell>
          <cell r="AF330">
            <v>0</v>
          </cell>
          <cell r="AG330">
            <v>0</v>
          </cell>
          <cell r="AI330">
            <v>9</v>
          </cell>
          <cell r="AJ330">
            <v>12</v>
          </cell>
          <cell r="AL330">
            <v>7000</v>
          </cell>
          <cell r="AM330">
            <v>782076</v>
          </cell>
          <cell r="AN330">
            <v>7000</v>
          </cell>
        </row>
        <row r="331">
          <cell r="B331">
            <v>317</v>
          </cell>
          <cell r="C331">
            <v>38578</v>
          </cell>
          <cell r="D331">
            <v>13</v>
          </cell>
          <cell r="E331">
            <v>790275</v>
          </cell>
          <cell r="F331">
            <v>5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2000</v>
          </cell>
          <cell r="N331">
            <v>0</v>
          </cell>
          <cell r="O331">
            <v>5000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2000</v>
          </cell>
          <cell r="AC331">
            <v>0</v>
          </cell>
          <cell r="AD331">
            <v>5000</v>
          </cell>
          <cell r="AE331">
            <v>0</v>
          </cell>
          <cell r="AF331">
            <v>0</v>
          </cell>
          <cell r="AG331">
            <v>0</v>
          </cell>
          <cell r="AI331">
            <v>9</v>
          </cell>
          <cell r="AJ331">
            <v>13</v>
          </cell>
          <cell r="AL331">
            <v>7000</v>
          </cell>
          <cell r="AM331">
            <v>783275</v>
          </cell>
          <cell r="AN331">
            <v>7000</v>
          </cell>
        </row>
        <row r="332">
          <cell r="B332">
            <v>318</v>
          </cell>
          <cell r="C332">
            <v>38579</v>
          </cell>
          <cell r="D332">
            <v>14</v>
          </cell>
          <cell r="E332">
            <v>714004</v>
          </cell>
          <cell r="F332">
            <v>7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2000</v>
          </cell>
          <cell r="N332">
            <v>0</v>
          </cell>
          <cell r="O332">
            <v>5000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2000</v>
          </cell>
          <cell r="AC332">
            <v>0</v>
          </cell>
          <cell r="AD332">
            <v>5000</v>
          </cell>
          <cell r="AE332">
            <v>0</v>
          </cell>
          <cell r="AF332">
            <v>0</v>
          </cell>
          <cell r="AG332">
            <v>0</v>
          </cell>
          <cell r="AI332">
            <v>9</v>
          </cell>
          <cell r="AJ332">
            <v>14</v>
          </cell>
          <cell r="AL332">
            <v>7000</v>
          </cell>
          <cell r="AM332">
            <v>707004</v>
          </cell>
          <cell r="AN332">
            <v>7000</v>
          </cell>
        </row>
        <row r="333">
          <cell r="B333">
            <v>319</v>
          </cell>
          <cell r="C333">
            <v>38580</v>
          </cell>
          <cell r="D333">
            <v>15</v>
          </cell>
          <cell r="E333">
            <v>753459</v>
          </cell>
          <cell r="F333">
            <v>9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2000</v>
          </cell>
          <cell r="N333">
            <v>0</v>
          </cell>
          <cell r="O333">
            <v>5000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2000</v>
          </cell>
          <cell r="AC333">
            <v>0</v>
          </cell>
          <cell r="AD333">
            <v>5000</v>
          </cell>
          <cell r="AE333">
            <v>0</v>
          </cell>
          <cell r="AF333">
            <v>0</v>
          </cell>
          <cell r="AG333">
            <v>0</v>
          </cell>
          <cell r="AI333">
            <v>9</v>
          </cell>
          <cell r="AJ333">
            <v>15</v>
          </cell>
          <cell r="AL333">
            <v>7000</v>
          </cell>
          <cell r="AM333">
            <v>746459</v>
          </cell>
          <cell r="AN333">
            <v>7000</v>
          </cell>
        </row>
        <row r="334">
          <cell r="B334">
            <v>320</v>
          </cell>
          <cell r="C334">
            <v>38581</v>
          </cell>
          <cell r="D334">
            <v>16</v>
          </cell>
          <cell r="E334">
            <v>582837</v>
          </cell>
          <cell r="F334">
            <v>11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2000</v>
          </cell>
          <cell r="N334">
            <v>0</v>
          </cell>
          <cell r="O334">
            <v>5000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2000</v>
          </cell>
          <cell r="AC334">
            <v>0</v>
          </cell>
          <cell r="AD334">
            <v>5000</v>
          </cell>
          <cell r="AE334">
            <v>0</v>
          </cell>
          <cell r="AF334">
            <v>0</v>
          </cell>
          <cell r="AG334">
            <v>0</v>
          </cell>
          <cell r="AI334">
            <v>9</v>
          </cell>
          <cell r="AJ334">
            <v>16</v>
          </cell>
          <cell r="AL334">
            <v>7000</v>
          </cell>
          <cell r="AM334">
            <v>575837</v>
          </cell>
          <cell r="AN334">
            <v>7000</v>
          </cell>
        </row>
        <row r="335">
          <cell r="B335">
            <v>321</v>
          </cell>
          <cell r="C335">
            <v>38582</v>
          </cell>
          <cell r="D335">
            <v>17</v>
          </cell>
          <cell r="E335">
            <v>591256</v>
          </cell>
          <cell r="F335">
            <v>8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2000</v>
          </cell>
          <cell r="N335">
            <v>0</v>
          </cell>
          <cell r="O335">
            <v>5000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2000</v>
          </cell>
          <cell r="AC335">
            <v>0</v>
          </cell>
          <cell r="AD335">
            <v>5000</v>
          </cell>
          <cell r="AE335">
            <v>0</v>
          </cell>
          <cell r="AF335">
            <v>0</v>
          </cell>
          <cell r="AG335">
            <v>0</v>
          </cell>
          <cell r="AI335">
            <v>9</v>
          </cell>
          <cell r="AJ335">
            <v>17</v>
          </cell>
          <cell r="AL335">
            <v>7000</v>
          </cell>
          <cell r="AM335">
            <v>584256</v>
          </cell>
          <cell r="AN335">
            <v>7000</v>
          </cell>
        </row>
        <row r="336">
          <cell r="B336">
            <v>322</v>
          </cell>
          <cell r="C336">
            <v>38583</v>
          </cell>
          <cell r="D336">
            <v>18</v>
          </cell>
          <cell r="E336">
            <v>744404</v>
          </cell>
          <cell r="F336">
            <v>6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2000</v>
          </cell>
          <cell r="N336">
            <v>0</v>
          </cell>
          <cell r="O336">
            <v>5000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2000</v>
          </cell>
          <cell r="AC336">
            <v>0</v>
          </cell>
          <cell r="AD336">
            <v>5000</v>
          </cell>
          <cell r="AE336">
            <v>0</v>
          </cell>
          <cell r="AF336">
            <v>0</v>
          </cell>
          <cell r="AG336">
            <v>0</v>
          </cell>
          <cell r="AI336">
            <v>9</v>
          </cell>
          <cell r="AJ336">
            <v>18</v>
          </cell>
          <cell r="AL336">
            <v>7000</v>
          </cell>
          <cell r="AM336">
            <v>737404</v>
          </cell>
          <cell r="AN336">
            <v>7000</v>
          </cell>
        </row>
        <row r="337">
          <cell r="B337">
            <v>323</v>
          </cell>
          <cell r="C337">
            <v>38584</v>
          </cell>
          <cell r="D337">
            <v>19</v>
          </cell>
          <cell r="E337">
            <v>738430</v>
          </cell>
          <cell r="F337">
            <v>5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2000</v>
          </cell>
          <cell r="N337">
            <v>0</v>
          </cell>
          <cell r="O337">
            <v>5000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2000</v>
          </cell>
          <cell r="AC337">
            <v>0</v>
          </cell>
          <cell r="AD337">
            <v>5000</v>
          </cell>
          <cell r="AE337">
            <v>0</v>
          </cell>
          <cell r="AF337">
            <v>0</v>
          </cell>
          <cell r="AG337">
            <v>0</v>
          </cell>
          <cell r="AI337">
            <v>9</v>
          </cell>
          <cell r="AJ337">
            <v>19</v>
          </cell>
          <cell r="AL337">
            <v>7000</v>
          </cell>
          <cell r="AM337">
            <v>731430</v>
          </cell>
          <cell r="AN337">
            <v>7000</v>
          </cell>
        </row>
        <row r="338">
          <cell r="B338">
            <v>324</v>
          </cell>
          <cell r="C338">
            <v>38585</v>
          </cell>
          <cell r="D338">
            <v>20</v>
          </cell>
          <cell r="E338">
            <v>790394</v>
          </cell>
          <cell r="F338">
            <v>4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2000</v>
          </cell>
          <cell r="N338">
            <v>0</v>
          </cell>
          <cell r="O338">
            <v>5000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2000</v>
          </cell>
          <cell r="AC338">
            <v>0</v>
          </cell>
          <cell r="AD338">
            <v>5000</v>
          </cell>
          <cell r="AE338">
            <v>0</v>
          </cell>
          <cell r="AF338">
            <v>0</v>
          </cell>
          <cell r="AG338">
            <v>0</v>
          </cell>
          <cell r="AI338">
            <v>9</v>
          </cell>
          <cell r="AJ338">
            <v>20</v>
          </cell>
          <cell r="AL338">
            <v>7000</v>
          </cell>
          <cell r="AM338">
            <v>783394</v>
          </cell>
          <cell r="AN338">
            <v>7000</v>
          </cell>
        </row>
        <row r="339">
          <cell r="B339">
            <v>325</v>
          </cell>
          <cell r="C339">
            <v>38586</v>
          </cell>
          <cell r="D339">
            <v>21</v>
          </cell>
          <cell r="E339">
            <v>756171</v>
          </cell>
          <cell r="F339">
            <v>3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2000</v>
          </cell>
          <cell r="N339">
            <v>0</v>
          </cell>
          <cell r="O339">
            <v>5000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2000</v>
          </cell>
          <cell r="AC339">
            <v>0</v>
          </cell>
          <cell r="AD339">
            <v>5000</v>
          </cell>
          <cell r="AE339">
            <v>0</v>
          </cell>
          <cell r="AF339">
            <v>0</v>
          </cell>
          <cell r="AG339">
            <v>0</v>
          </cell>
          <cell r="AI339">
            <v>9</v>
          </cell>
          <cell r="AJ339">
            <v>21</v>
          </cell>
          <cell r="AL339">
            <v>7000</v>
          </cell>
          <cell r="AM339">
            <v>749171</v>
          </cell>
          <cell r="AN339">
            <v>7000</v>
          </cell>
        </row>
        <row r="340">
          <cell r="B340">
            <v>326</v>
          </cell>
          <cell r="C340">
            <v>38587</v>
          </cell>
          <cell r="D340">
            <v>22</v>
          </cell>
          <cell r="E340">
            <v>776399</v>
          </cell>
          <cell r="F340">
            <v>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2000</v>
          </cell>
          <cell r="N340">
            <v>0</v>
          </cell>
          <cell r="O340">
            <v>5000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2000</v>
          </cell>
          <cell r="AC340">
            <v>0</v>
          </cell>
          <cell r="AD340">
            <v>5000</v>
          </cell>
          <cell r="AE340">
            <v>0</v>
          </cell>
          <cell r="AF340">
            <v>0</v>
          </cell>
          <cell r="AG340">
            <v>0</v>
          </cell>
          <cell r="AI340">
            <v>9</v>
          </cell>
          <cell r="AJ340">
            <v>22</v>
          </cell>
          <cell r="AL340">
            <v>7000</v>
          </cell>
          <cell r="AM340">
            <v>769399</v>
          </cell>
          <cell r="AN340">
            <v>7000</v>
          </cell>
        </row>
        <row r="341">
          <cell r="B341">
            <v>327</v>
          </cell>
          <cell r="C341">
            <v>38588</v>
          </cell>
          <cell r="D341">
            <v>23</v>
          </cell>
          <cell r="E341">
            <v>663036</v>
          </cell>
          <cell r="F341">
            <v>1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2000</v>
          </cell>
          <cell r="N341">
            <v>0</v>
          </cell>
          <cell r="O341">
            <v>5000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2000</v>
          </cell>
          <cell r="AC341">
            <v>0</v>
          </cell>
          <cell r="AD341">
            <v>5000</v>
          </cell>
          <cell r="AE341">
            <v>0</v>
          </cell>
          <cell r="AF341">
            <v>0</v>
          </cell>
          <cell r="AG341">
            <v>0</v>
          </cell>
          <cell r="AI341">
            <v>9</v>
          </cell>
          <cell r="AJ341">
            <v>23</v>
          </cell>
          <cell r="AL341">
            <v>7000</v>
          </cell>
          <cell r="AM341">
            <v>656036</v>
          </cell>
          <cell r="AN341">
            <v>7000</v>
          </cell>
        </row>
        <row r="342">
          <cell r="B342">
            <v>328</v>
          </cell>
          <cell r="C342">
            <v>38589</v>
          </cell>
          <cell r="D342">
            <v>24</v>
          </cell>
          <cell r="E342">
            <v>591086</v>
          </cell>
          <cell r="F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2000</v>
          </cell>
          <cell r="N342">
            <v>0</v>
          </cell>
          <cell r="O342">
            <v>5000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2000</v>
          </cell>
          <cell r="AC342">
            <v>0</v>
          </cell>
          <cell r="AD342">
            <v>5000</v>
          </cell>
          <cell r="AE342">
            <v>0</v>
          </cell>
          <cell r="AF342">
            <v>0</v>
          </cell>
          <cell r="AG342">
            <v>0</v>
          </cell>
          <cell r="AI342">
            <v>9</v>
          </cell>
          <cell r="AJ342">
            <v>24</v>
          </cell>
          <cell r="AL342">
            <v>7000</v>
          </cell>
          <cell r="AM342">
            <v>584086</v>
          </cell>
          <cell r="AN342">
            <v>7000</v>
          </cell>
        </row>
        <row r="343">
          <cell r="B343">
            <v>329</v>
          </cell>
          <cell r="C343">
            <v>38590</v>
          </cell>
          <cell r="D343">
            <v>25</v>
          </cell>
          <cell r="E343">
            <v>807486</v>
          </cell>
          <cell r="F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2000</v>
          </cell>
          <cell r="N343">
            <v>0</v>
          </cell>
          <cell r="O343">
            <v>5000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2000</v>
          </cell>
          <cell r="AC343">
            <v>0</v>
          </cell>
          <cell r="AD343">
            <v>5000</v>
          </cell>
          <cell r="AE343">
            <v>0</v>
          </cell>
          <cell r="AF343">
            <v>0</v>
          </cell>
          <cell r="AG343">
            <v>0</v>
          </cell>
          <cell r="AI343">
            <v>9</v>
          </cell>
          <cell r="AJ343">
            <v>25</v>
          </cell>
          <cell r="AL343">
            <v>7000</v>
          </cell>
          <cell r="AM343">
            <v>800486</v>
          </cell>
          <cell r="AN343">
            <v>7000</v>
          </cell>
        </row>
        <row r="344">
          <cell r="B344">
            <v>330</v>
          </cell>
          <cell r="C344">
            <v>38591</v>
          </cell>
          <cell r="D344">
            <v>26</v>
          </cell>
          <cell r="E344">
            <v>876700</v>
          </cell>
          <cell r="F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2000</v>
          </cell>
          <cell r="N344">
            <v>0</v>
          </cell>
          <cell r="O344">
            <v>5000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2000</v>
          </cell>
          <cell r="AC344">
            <v>0</v>
          </cell>
          <cell r="AD344">
            <v>5000</v>
          </cell>
          <cell r="AE344">
            <v>0</v>
          </cell>
          <cell r="AF344">
            <v>0</v>
          </cell>
          <cell r="AG344">
            <v>0</v>
          </cell>
          <cell r="AI344">
            <v>9</v>
          </cell>
          <cell r="AJ344">
            <v>26</v>
          </cell>
          <cell r="AL344">
            <v>7000</v>
          </cell>
          <cell r="AM344">
            <v>869700</v>
          </cell>
          <cell r="AN344">
            <v>7000</v>
          </cell>
        </row>
        <row r="345">
          <cell r="B345">
            <v>331</v>
          </cell>
          <cell r="C345">
            <v>38592</v>
          </cell>
          <cell r="D345">
            <v>27</v>
          </cell>
          <cell r="E345">
            <v>856282</v>
          </cell>
          <cell r="F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2000</v>
          </cell>
          <cell r="N345">
            <v>0</v>
          </cell>
          <cell r="O345">
            <v>5000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2000</v>
          </cell>
          <cell r="AC345">
            <v>0</v>
          </cell>
          <cell r="AD345">
            <v>5000</v>
          </cell>
          <cell r="AE345">
            <v>0</v>
          </cell>
          <cell r="AF345">
            <v>0</v>
          </cell>
          <cell r="AG345">
            <v>0</v>
          </cell>
          <cell r="AI345">
            <v>9</v>
          </cell>
          <cell r="AJ345">
            <v>27</v>
          </cell>
          <cell r="AL345">
            <v>7000</v>
          </cell>
          <cell r="AM345">
            <v>849282</v>
          </cell>
          <cell r="AN345">
            <v>7000</v>
          </cell>
        </row>
        <row r="346">
          <cell r="B346">
            <v>332</v>
          </cell>
          <cell r="C346">
            <v>38593</v>
          </cell>
          <cell r="D346">
            <v>28</v>
          </cell>
          <cell r="E346">
            <v>841733</v>
          </cell>
          <cell r="F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2000</v>
          </cell>
          <cell r="N346">
            <v>0</v>
          </cell>
          <cell r="O346">
            <v>5000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2000</v>
          </cell>
          <cell r="AC346">
            <v>0</v>
          </cell>
          <cell r="AD346">
            <v>5000</v>
          </cell>
          <cell r="AE346">
            <v>0</v>
          </cell>
          <cell r="AF346">
            <v>0</v>
          </cell>
          <cell r="AG346">
            <v>0</v>
          </cell>
          <cell r="AI346">
            <v>9</v>
          </cell>
          <cell r="AJ346">
            <v>28</v>
          </cell>
          <cell r="AL346">
            <v>7000</v>
          </cell>
          <cell r="AM346">
            <v>834733</v>
          </cell>
          <cell r="AN346">
            <v>7000</v>
          </cell>
        </row>
        <row r="347">
          <cell r="B347">
            <v>333</v>
          </cell>
          <cell r="C347">
            <v>38594</v>
          </cell>
          <cell r="D347">
            <v>29</v>
          </cell>
          <cell r="E347">
            <v>781771</v>
          </cell>
          <cell r="F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2000</v>
          </cell>
          <cell r="N347">
            <v>0</v>
          </cell>
          <cell r="O347">
            <v>5000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2000</v>
          </cell>
          <cell r="AC347">
            <v>0</v>
          </cell>
          <cell r="AD347">
            <v>5000</v>
          </cell>
          <cell r="AE347">
            <v>0</v>
          </cell>
          <cell r="AF347">
            <v>0</v>
          </cell>
          <cell r="AG347">
            <v>0</v>
          </cell>
          <cell r="AI347">
            <v>9</v>
          </cell>
          <cell r="AJ347">
            <v>29</v>
          </cell>
          <cell r="AL347">
            <v>7000</v>
          </cell>
          <cell r="AM347">
            <v>774771</v>
          </cell>
          <cell r="AN347">
            <v>7000</v>
          </cell>
        </row>
        <row r="348">
          <cell r="B348">
            <v>334</v>
          </cell>
          <cell r="C348">
            <v>38595</v>
          </cell>
          <cell r="D348">
            <v>30</v>
          </cell>
          <cell r="E348">
            <v>582260</v>
          </cell>
          <cell r="F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2000</v>
          </cell>
          <cell r="N348">
            <v>0</v>
          </cell>
          <cell r="O348">
            <v>5000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2000</v>
          </cell>
          <cell r="AC348">
            <v>0</v>
          </cell>
          <cell r="AD348">
            <v>5000</v>
          </cell>
          <cell r="AE348">
            <v>0</v>
          </cell>
          <cell r="AF348">
            <v>0</v>
          </cell>
          <cell r="AG348">
            <v>0</v>
          </cell>
          <cell r="AI348">
            <v>9</v>
          </cell>
          <cell r="AJ348">
            <v>30</v>
          </cell>
          <cell r="AL348">
            <v>7000</v>
          </cell>
          <cell r="AM348">
            <v>575260</v>
          </cell>
          <cell r="AN348">
            <v>7000</v>
          </cell>
        </row>
        <row r="349">
          <cell r="B349">
            <v>335</v>
          </cell>
          <cell r="C349">
            <v>38596</v>
          </cell>
          <cell r="D349">
            <v>1</v>
          </cell>
          <cell r="E349">
            <v>530165</v>
          </cell>
          <cell r="F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2000</v>
          </cell>
          <cell r="N349">
            <v>0</v>
          </cell>
          <cell r="O349">
            <v>5000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2000</v>
          </cell>
          <cell r="AC349">
            <v>0</v>
          </cell>
          <cell r="AD349">
            <v>5000</v>
          </cell>
          <cell r="AE349">
            <v>0</v>
          </cell>
          <cell r="AF349">
            <v>0</v>
          </cell>
          <cell r="AG349">
            <v>0</v>
          </cell>
          <cell r="AI349">
            <v>10</v>
          </cell>
          <cell r="AJ349">
            <v>1</v>
          </cell>
          <cell r="AL349">
            <v>7000</v>
          </cell>
          <cell r="AM349">
            <v>523165</v>
          </cell>
          <cell r="AN349">
            <v>7000</v>
          </cell>
        </row>
        <row r="350">
          <cell r="B350">
            <v>336</v>
          </cell>
          <cell r="C350">
            <v>38597</v>
          </cell>
          <cell r="D350">
            <v>2</v>
          </cell>
          <cell r="E350">
            <v>630621</v>
          </cell>
          <cell r="F350">
            <v>2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2000</v>
          </cell>
          <cell r="N350">
            <v>0</v>
          </cell>
          <cell r="O350">
            <v>5000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2000</v>
          </cell>
          <cell r="AC350">
            <v>0</v>
          </cell>
          <cell r="AD350">
            <v>5000</v>
          </cell>
          <cell r="AE350">
            <v>0</v>
          </cell>
          <cell r="AF350">
            <v>0</v>
          </cell>
          <cell r="AG350">
            <v>0</v>
          </cell>
          <cell r="AI350">
            <v>10</v>
          </cell>
          <cell r="AJ350">
            <v>2</v>
          </cell>
          <cell r="AL350">
            <v>7000</v>
          </cell>
          <cell r="AM350">
            <v>623621</v>
          </cell>
          <cell r="AN350">
            <v>7000</v>
          </cell>
        </row>
        <row r="351">
          <cell r="B351">
            <v>337</v>
          </cell>
          <cell r="C351">
            <v>38598</v>
          </cell>
          <cell r="D351">
            <v>3</v>
          </cell>
          <cell r="E351">
            <v>787341</v>
          </cell>
          <cell r="F351">
            <v>4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2000</v>
          </cell>
          <cell r="N351">
            <v>0</v>
          </cell>
          <cell r="O351">
            <v>5000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2000</v>
          </cell>
          <cell r="AC351">
            <v>0</v>
          </cell>
          <cell r="AD351">
            <v>5000</v>
          </cell>
          <cell r="AE351">
            <v>0</v>
          </cell>
          <cell r="AF351">
            <v>0</v>
          </cell>
          <cell r="AG351">
            <v>0</v>
          </cell>
          <cell r="AI351">
            <v>10</v>
          </cell>
          <cell r="AJ351">
            <v>3</v>
          </cell>
          <cell r="AL351">
            <v>7000</v>
          </cell>
          <cell r="AM351">
            <v>780341</v>
          </cell>
          <cell r="AN351">
            <v>7000</v>
          </cell>
        </row>
        <row r="352">
          <cell r="B352">
            <v>338</v>
          </cell>
          <cell r="C352">
            <v>38599</v>
          </cell>
          <cell r="D352">
            <v>4</v>
          </cell>
          <cell r="E352">
            <v>818078</v>
          </cell>
          <cell r="F352">
            <v>5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2000</v>
          </cell>
          <cell r="N352">
            <v>0</v>
          </cell>
          <cell r="O352">
            <v>5000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2000</v>
          </cell>
          <cell r="AC352">
            <v>0</v>
          </cell>
          <cell r="AD352">
            <v>5000</v>
          </cell>
          <cell r="AE352">
            <v>0</v>
          </cell>
          <cell r="AF352">
            <v>0</v>
          </cell>
          <cell r="AG352">
            <v>0</v>
          </cell>
          <cell r="AI352">
            <v>10</v>
          </cell>
          <cell r="AJ352">
            <v>4</v>
          </cell>
          <cell r="AL352">
            <v>7000</v>
          </cell>
          <cell r="AM352">
            <v>811078</v>
          </cell>
          <cell r="AN352">
            <v>7000</v>
          </cell>
        </row>
        <row r="353">
          <cell r="B353">
            <v>339</v>
          </cell>
          <cell r="C353">
            <v>38600</v>
          </cell>
          <cell r="D353">
            <v>5</v>
          </cell>
          <cell r="E353">
            <v>826855</v>
          </cell>
          <cell r="F353">
            <v>6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2000</v>
          </cell>
          <cell r="N353">
            <v>0</v>
          </cell>
          <cell r="O353">
            <v>5000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2000</v>
          </cell>
          <cell r="AC353">
            <v>0</v>
          </cell>
          <cell r="AD353">
            <v>5000</v>
          </cell>
          <cell r="AE353">
            <v>0</v>
          </cell>
          <cell r="AF353">
            <v>0</v>
          </cell>
          <cell r="AG353">
            <v>0</v>
          </cell>
          <cell r="AI353">
            <v>10</v>
          </cell>
          <cell r="AJ353">
            <v>5</v>
          </cell>
          <cell r="AL353">
            <v>7000</v>
          </cell>
          <cell r="AM353">
            <v>819855</v>
          </cell>
          <cell r="AN353">
            <v>7000</v>
          </cell>
        </row>
        <row r="354">
          <cell r="B354">
            <v>340</v>
          </cell>
          <cell r="C354">
            <v>38601</v>
          </cell>
          <cell r="D354">
            <v>6</v>
          </cell>
          <cell r="E354">
            <v>773656</v>
          </cell>
          <cell r="F354">
            <v>8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2000</v>
          </cell>
          <cell r="N354">
            <v>0</v>
          </cell>
          <cell r="O354">
            <v>5000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2000</v>
          </cell>
          <cell r="AC354">
            <v>0</v>
          </cell>
          <cell r="AD354">
            <v>5000</v>
          </cell>
          <cell r="AE354">
            <v>0</v>
          </cell>
          <cell r="AF354">
            <v>0</v>
          </cell>
          <cell r="AG354">
            <v>0</v>
          </cell>
          <cell r="AI354">
            <v>10</v>
          </cell>
          <cell r="AJ354">
            <v>6</v>
          </cell>
          <cell r="AL354">
            <v>7000</v>
          </cell>
          <cell r="AM354">
            <v>766656</v>
          </cell>
          <cell r="AN354">
            <v>7000</v>
          </cell>
        </row>
        <row r="355">
          <cell r="B355">
            <v>341</v>
          </cell>
          <cell r="C355">
            <v>38602</v>
          </cell>
          <cell r="D355">
            <v>7</v>
          </cell>
          <cell r="E355">
            <v>694646</v>
          </cell>
          <cell r="F355">
            <v>8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2000</v>
          </cell>
          <cell r="N355">
            <v>0</v>
          </cell>
          <cell r="O355">
            <v>5000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2000</v>
          </cell>
          <cell r="AC355">
            <v>0</v>
          </cell>
          <cell r="AD355">
            <v>5000</v>
          </cell>
          <cell r="AE355">
            <v>0</v>
          </cell>
          <cell r="AF355">
            <v>0</v>
          </cell>
          <cell r="AG355">
            <v>0</v>
          </cell>
          <cell r="AI355">
            <v>10</v>
          </cell>
          <cell r="AJ355">
            <v>7</v>
          </cell>
          <cell r="AL355">
            <v>7000</v>
          </cell>
          <cell r="AM355">
            <v>687646</v>
          </cell>
          <cell r="AN355">
            <v>7000</v>
          </cell>
        </row>
        <row r="356">
          <cell r="B356">
            <v>342</v>
          </cell>
          <cell r="C356">
            <v>38603</v>
          </cell>
          <cell r="D356">
            <v>8</v>
          </cell>
          <cell r="E356">
            <v>730142</v>
          </cell>
          <cell r="F356">
            <v>9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2000</v>
          </cell>
          <cell r="N356">
            <v>0</v>
          </cell>
          <cell r="O356">
            <v>5000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2000</v>
          </cell>
          <cell r="AC356">
            <v>0</v>
          </cell>
          <cell r="AD356">
            <v>5000</v>
          </cell>
          <cell r="AE356">
            <v>0</v>
          </cell>
          <cell r="AF356">
            <v>0</v>
          </cell>
          <cell r="AG356">
            <v>0</v>
          </cell>
          <cell r="AI356">
            <v>10</v>
          </cell>
          <cell r="AJ356">
            <v>8</v>
          </cell>
          <cell r="AL356">
            <v>7000</v>
          </cell>
          <cell r="AM356">
            <v>723142</v>
          </cell>
          <cell r="AN356">
            <v>7000</v>
          </cell>
        </row>
        <row r="357">
          <cell r="B357">
            <v>343</v>
          </cell>
          <cell r="C357">
            <v>38604</v>
          </cell>
          <cell r="D357">
            <v>9</v>
          </cell>
          <cell r="E357">
            <v>938065</v>
          </cell>
          <cell r="F357">
            <v>10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2000</v>
          </cell>
          <cell r="N357">
            <v>0</v>
          </cell>
          <cell r="O357">
            <v>5000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2000</v>
          </cell>
          <cell r="AC357">
            <v>0</v>
          </cell>
          <cell r="AD357">
            <v>5000</v>
          </cell>
          <cell r="AE357">
            <v>0</v>
          </cell>
          <cell r="AF357">
            <v>0</v>
          </cell>
          <cell r="AG357">
            <v>0</v>
          </cell>
          <cell r="AI357">
            <v>10</v>
          </cell>
          <cell r="AJ357">
            <v>9</v>
          </cell>
          <cell r="AL357">
            <v>7000</v>
          </cell>
          <cell r="AM357">
            <v>931065</v>
          </cell>
          <cell r="AN357">
            <v>7000</v>
          </cell>
        </row>
        <row r="358">
          <cell r="B358">
            <v>344</v>
          </cell>
          <cell r="C358">
            <v>38605</v>
          </cell>
          <cell r="D358">
            <v>10</v>
          </cell>
          <cell r="E358">
            <v>936098</v>
          </cell>
          <cell r="F358">
            <v>11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2000</v>
          </cell>
          <cell r="N358">
            <v>0</v>
          </cell>
          <cell r="O358">
            <v>5000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2000</v>
          </cell>
          <cell r="AC358">
            <v>0</v>
          </cell>
          <cell r="AD358">
            <v>5000</v>
          </cell>
          <cell r="AE358">
            <v>0</v>
          </cell>
          <cell r="AF358">
            <v>0</v>
          </cell>
          <cell r="AG358">
            <v>0</v>
          </cell>
          <cell r="AI358">
            <v>10</v>
          </cell>
          <cell r="AJ358">
            <v>10</v>
          </cell>
          <cell r="AL358">
            <v>7000</v>
          </cell>
          <cell r="AM358">
            <v>929098</v>
          </cell>
          <cell r="AN358">
            <v>7000</v>
          </cell>
        </row>
        <row r="359">
          <cell r="B359">
            <v>345</v>
          </cell>
          <cell r="C359">
            <v>38606</v>
          </cell>
          <cell r="D359">
            <v>11</v>
          </cell>
          <cell r="E359">
            <v>923381</v>
          </cell>
          <cell r="F359">
            <v>12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2000</v>
          </cell>
          <cell r="N359">
            <v>0</v>
          </cell>
          <cell r="O359">
            <v>5000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2000</v>
          </cell>
          <cell r="AC359">
            <v>0</v>
          </cell>
          <cell r="AD359">
            <v>5000</v>
          </cell>
          <cell r="AE359">
            <v>0</v>
          </cell>
          <cell r="AF359">
            <v>0</v>
          </cell>
          <cell r="AG359">
            <v>0</v>
          </cell>
          <cell r="AI359">
            <v>10</v>
          </cell>
          <cell r="AJ359">
            <v>11</v>
          </cell>
          <cell r="AL359">
            <v>7000</v>
          </cell>
          <cell r="AM359">
            <v>916381</v>
          </cell>
          <cell r="AN359">
            <v>7000</v>
          </cell>
        </row>
        <row r="360">
          <cell r="B360">
            <v>346</v>
          </cell>
          <cell r="C360">
            <v>38607</v>
          </cell>
          <cell r="D360">
            <v>12</v>
          </cell>
          <cell r="E360">
            <v>945350</v>
          </cell>
          <cell r="F360">
            <v>13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2000</v>
          </cell>
          <cell r="N360">
            <v>0</v>
          </cell>
          <cell r="O360">
            <v>5000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2000</v>
          </cell>
          <cell r="AC360">
            <v>0</v>
          </cell>
          <cell r="AD360">
            <v>5000</v>
          </cell>
          <cell r="AE360">
            <v>0</v>
          </cell>
          <cell r="AF360">
            <v>0</v>
          </cell>
          <cell r="AG360">
            <v>0</v>
          </cell>
          <cell r="AI360">
            <v>10</v>
          </cell>
          <cell r="AJ360">
            <v>12</v>
          </cell>
          <cell r="AL360">
            <v>7000</v>
          </cell>
          <cell r="AM360">
            <v>938350</v>
          </cell>
          <cell r="AN360">
            <v>7000</v>
          </cell>
        </row>
        <row r="361">
          <cell r="B361">
            <v>347</v>
          </cell>
          <cell r="C361">
            <v>38608</v>
          </cell>
          <cell r="D361">
            <v>13</v>
          </cell>
          <cell r="E361">
            <v>970459</v>
          </cell>
          <cell r="F361">
            <v>14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2000</v>
          </cell>
          <cell r="N361">
            <v>0</v>
          </cell>
          <cell r="O361">
            <v>5000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2000</v>
          </cell>
          <cell r="AC361">
            <v>0</v>
          </cell>
          <cell r="AD361">
            <v>5000</v>
          </cell>
          <cell r="AE361">
            <v>0</v>
          </cell>
          <cell r="AF361">
            <v>0</v>
          </cell>
          <cell r="AG361">
            <v>0</v>
          </cell>
          <cell r="AI361">
            <v>10</v>
          </cell>
          <cell r="AJ361">
            <v>13</v>
          </cell>
          <cell r="AL361">
            <v>7000</v>
          </cell>
          <cell r="AM361">
            <v>963459</v>
          </cell>
          <cell r="AN361">
            <v>7000</v>
          </cell>
        </row>
        <row r="362">
          <cell r="B362">
            <v>348</v>
          </cell>
          <cell r="C362">
            <v>38609</v>
          </cell>
          <cell r="D362">
            <v>14</v>
          </cell>
          <cell r="E362">
            <v>789800</v>
          </cell>
          <cell r="F362">
            <v>15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2000</v>
          </cell>
          <cell r="N362">
            <v>0</v>
          </cell>
          <cell r="O362">
            <v>5000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2000</v>
          </cell>
          <cell r="AC362">
            <v>0</v>
          </cell>
          <cell r="AD362">
            <v>5000</v>
          </cell>
          <cell r="AE362">
            <v>0</v>
          </cell>
          <cell r="AF362">
            <v>0</v>
          </cell>
          <cell r="AG362">
            <v>0</v>
          </cell>
          <cell r="AI362">
            <v>10</v>
          </cell>
          <cell r="AJ362">
            <v>14</v>
          </cell>
          <cell r="AL362">
            <v>7000</v>
          </cell>
          <cell r="AM362">
            <v>782800</v>
          </cell>
          <cell r="AN362">
            <v>7000</v>
          </cell>
        </row>
        <row r="363">
          <cell r="B363">
            <v>349</v>
          </cell>
          <cell r="C363">
            <v>38610</v>
          </cell>
          <cell r="D363">
            <v>15</v>
          </cell>
          <cell r="E363">
            <v>756398</v>
          </cell>
          <cell r="F363">
            <v>17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2000</v>
          </cell>
          <cell r="N363">
            <v>0</v>
          </cell>
          <cell r="O363">
            <v>5000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2000</v>
          </cell>
          <cell r="AC363">
            <v>0</v>
          </cell>
          <cell r="AD363">
            <v>5000</v>
          </cell>
          <cell r="AE363">
            <v>0</v>
          </cell>
          <cell r="AF363">
            <v>0</v>
          </cell>
          <cell r="AG363">
            <v>0</v>
          </cell>
          <cell r="AI363">
            <v>10</v>
          </cell>
          <cell r="AJ363">
            <v>15</v>
          </cell>
          <cell r="AL363">
            <v>7000</v>
          </cell>
          <cell r="AM363">
            <v>749398</v>
          </cell>
          <cell r="AN363">
            <v>7000</v>
          </cell>
        </row>
        <row r="364">
          <cell r="B364">
            <v>350</v>
          </cell>
          <cell r="C364">
            <v>38611</v>
          </cell>
          <cell r="D364">
            <v>16</v>
          </cell>
          <cell r="E364">
            <v>1051460</v>
          </cell>
          <cell r="F364">
            <v>21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2000</v>
          </cell>
          <cell r="N364">
            <v>0</v>
          </cell>
          <cell r="O364">
            <v>5000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2000</v>
          </cell>
          <cell r="AC364">
            <v>0</v>
          </cell>
          <cell r="AD364">
            <v>5000</v>
          </cell>
          <cell r="AE364">
            <v>0</v>
          </cell>
          <cell r="AF364">
            <v>0</v>
          </cell>
          <cell r="AG364">
            <v>0</v>
          </cell>
          <cell r="AI364">
            <v>10</v>
          </cell>
          <cell r="AJ364">
            <v>16</v>
          </cell>
          <cell r="AL364">
            <v>7000</v>
          </cell>
          <cell r="AM364">
            <v>1044460</v>
          </cell>
          <cell r="AN364">
            <v>7000</v>
          </cell>
        </row>
        <row r="365">
          <cell r="B365">
            <v>351</v>
          </cell>
          <cell r="C365">
            <v>38612</v>
          </cell>
          <cell r="D365">
            <v>17</v>
          </cell>
          <cell r="E365">
            <v>1110873</v>
          </cell>
          <cell r="F365">
            <v>18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2000</v>
          </cell>
          <cell r="N365">
            <v>0</v>
          </cell>
          <cell r="O365">
            <v>5000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2000</v>
          </cell>
          <cell r="AC365">
            <v>0</v>
          </cell>
          <cell r="AD365">
            <v>5000</v>
          </cell>
          <cell r="AE365">
            <v>0</v>
          </cell>
          <cell r="AF365">
            <v>0</v>
          </cell>
          <cell r="AG365">
            <v>0</v>
          </cell>
          <cell r="AI365">
            <v>10</v>
          </cell>
          <cell r="AJ365">
            <v>17</v>
          </cell>
          <cell r="AL365">
            <v>7000</v>
          </cell>
          <cell r="AM365">
            <v>1103873</v>
          </cell>
          <cell r="AN365">
            <v>7000</v>
          </cell>
        </row>
        <row r="366">
          <cell r="B366">
            <v>352</v>
          </cell>
          <cell r="C366">
            <v>38613</v>
          </cell>
          <cell r="D366">
            <v>18</v>
          </cell>
          <cell r="E366">
            <v>1138187</v>
          </cell>
          <cell r="F366">
            <v>16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2000</v>
          </cell>
          <cell r="N366">
            <v>0</v>
          </cell>
          <cell r="O366">
            <v>5000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2000</v>
          </cell>
          <cell r="AC366">
            <v>0</v>
          </cell>
          <cell r="AD366">
            <v>5000</v>
          </cell>
          <cell r="AE366">
            <v>0</v>
          </cell>
          <cell r="AF366">
            <v>0</v>
          </cell>
          <cell r="AG366">
            <v>0</v>
          </cell>
          <cell r="AI366">
            <v>10</v>
          </cell>
          <cell r="AJ366">
            <v>18</v>
          </cell>
          <cell r="AL366">
            <v>7000</v>
          </cell>
          <cell r="AM366">
            <v>1131187</v>
          </cell>
          <cell r="AN366">
            <v>7000</v>
          </cell>
        </row>
        <row r="367">
          <cell r="B367">
            <v>353</v>
          </cell>
          <cell r="C367">
            <v>38614</v>
          </cell>
          <cell r="D367">
            <v>19</v>
          </cell>
          <cell r="E367">
            <v>993270</v>
          </cell>
          <cell r="F367">
            <v>15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2000</v>
          </cell>
          <cell r="N367">
            <v>0</v>
          </cell>
          <cell r="O367">
            <v>5000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2000</v>
          </cell>
          <cell r="AC367">
            <v>0</v>
          </cell>
          <cell r="AD367">
            <v>5000</v>
          </cell>
          <cell r="AE367">
            <v>0</v>
          </cell>
          <cell r="AF367">
            <v>0</v>
          </cell>
          <cell r="AG367">
            <v>0</v>
          </cell>
          <cell r="AI367">
            <v>10</v>
          </cell>
          <cell r="AJ367">
            <v>19</v>
          </cell>
          <cell r="AL367">
            <v>7000</v>
          </cell>
          <cell r="AM367">
            <v>986270</v>
          </cell>
          <cell r="AN367">
            <v>7000</v>
          </cell>
        </row>
        <row r="368">
          <cell r="B368">
            <v>354</v>
          </cell>
          <cell r="C368">
            <v>38615</v>
          </cell>
          <cell r="D368">
            <v>20</v>
          </cell>
          <cell r="E368">
            <v>975594</v>
          </cell>
          <cell r="F368">
            <v>13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2000</v>
          </cell>
          <cell r="N368">
            <v>0</v>
          </cell>
          <cell r="O368">
            <v>5000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2000</v>
          </cell>
          <cell r="AC368">
            <v>0</v>
          </cell>
          <cell r="AD368">
            <v>5000</v>
          </cell>
          <cell r="AE368">
            <v>0</v>
          </cell>
          <cell r="AF368">
            <v>0</v>
          </cell>
          <cell r="AG368">
            <v>0</v>
          </cell>
          <cell r="AI368">
            <v>10</v>
          </cell>
          <cell r="AJ368">
            <v>20</v>
          </cell>
          <cell r="AL368">
            <v>7000</v>
          </cell>
          <cell r="AM368">
            <v>968594</v>
          </cell>
          <cell r="AN368">
            <v>7000</v>
          </cell>
        </row>
        <row r="369">
          <cell r="B369">
            <v>355</v>
          </cell>
          <cell r="C369">
            <v>38616</v>
          </cell>
          <cell r="D369">
            <v>21</v>
          </cell>
          <cell r="E369">
            <v>889413</v>
          </cell>
          <cell r="F369">
            <v>12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2000</v>
          </cell>
          <cell r="N369">
            <v>0</v>
          </cell>
          <cell r="O369">
            <v>5000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2000</v>
          </cell>
          <cell r="AC369">
            <v>0</v>
          </cell>
          <cell r="AD369">
            <v>5000</v>
          </cell>
          <cell r="AE369">
            <v>0</v>
          </cell>
          <cell r="AF369">
            <v>0</v>
          </cell>
          <cell r="AG369">
            <v>0</v>
          </cell>
          <cell r="AI369">
            <v>10</v>
          </cell>
          <cell r="AJ369">
            <v>21</v>
          </cell>
          <cell r="AL369">
            <v>7000</v>
          </cell>
          <cell r="AM369">
            <v>882413</v>
          </cell>
          <cell r="AN369">
            <v>7000</v>
          </cell>
        </row>
        <row r="370">
          <cell r="B370">
            <v>356</v>
          </cell>
          <cell r="C370">
            <v>38617</v>
          </cell>
          <cell r="D370">
            <v>22</v>
          </cell>
          <cell r="E370">
            <v>846531</v>
          </cell>
          <cell r="F370">
            <v>11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2000</v>
          </cell>
          <cell r="N370">
            <v>0</v>
          </cell>
          <cell r="O370">
            <v>5000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2000</v>
          </cell>
          <cell r="AC370">
            <v>0</v>
          </cell>
          <cell r="AD370">
            <v>5000</v>
          </cell>
          <cell r="AE370">
            <v>0</v>
          </cell>
          <cell r="AF370">
            <v>0</v>
          </cell>
          <cell r="AG370">
            <v>0</v>
          </cell>
          <cell r="AI370">
            <v>10</v>
          </cell>
          <cell r="AJ370">
            <v>22</v>
          </cell>
          <cell r="AL370">
            <v>7000</v>
          </cell>
          <cell r="AM370">
            <v>839531</v>
          </cell>
          <cell r="AN370">
            <v>7000</v>
          </cell>
        </row>
        <row r="371">
          <cell r="B371">
            <v>357</v>
          </cell>
          <cell r="C371">
            <v>38618</v>
          </cell>
          <cell r="D371">
            <v>23</v>
          </cell>
          <cell r="E371">
            <v>911120</v>
          </cell>
          <cell r="F371">
            <v>10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2000</v>
          </cell>
          <cell r="N371">
            <v>0</v>
          </cell>
          <cell r="O371">
            <v>5000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2000</v>
          </cell>
          <cell r="AC371">
            <v>0</v>
          </cell>
          <cell r="AD371">
            <v>5000</v>
          </cell>
          <cell r="AE371">
            <v>0</v>
          </cell>
          <cell r="AF371">
            <v>0</v>
          </cell>
          <cell r="AG371">
            <v>0</v>
          </cell>
          <cell r="AI371">
            <v>10</v>
          </cell>
          <cell r="AJ371">
            <v>23</v>
          </cell>
          <cell r="AL371">
            <v>7000</v>
          </cell>
          <cell r="AM371">
            <v>904120</v>
          </cell>
          <cell r="AN371">
            <v>7000</v>
          </cell>
        </row>
        <row r="372">
          <cell r="B372">
            <v>358</v>
          </cell>
          <cell r="C372">
            <v>38619</v>
          </cell>
          <cell r="D372">
            <v>24</v>
          </cell>
          <cell r="E372">
            <v>912229</v>
          </cell>
          <cell r="F372">
            <v>10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2000</v>
          </cell>
          <cell r="N372">
            <v>0</v>
          </cell>
          <cell r="O372">
            <v>5000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2000</v>
          </cell>
          <cell r="AC372">
            <v>0</v>
          </cell>
          <cell r="AD372">
            <v>5000</v>
          </cell>
          <cell r="AE372">
            <v>0</v>
          </cell>
          <cell r="AF372">
            <v>0</v>
          </cell>
          <cell r="AG372">
            <v>0</v>
          </cell>
          <cell r="AI372">
            <v>10</v>
          </cell>
          <cell r="AJ372">
            <v>24</v>
          </cell>
          <cell r="AL372">
            <v>7000</v>
          </cell>
          <cell r="AM372">
            <v>905229</v>
          </cell>
          <cell r="AN372">
            <v>7000</v>
          </cell>
        </row>
        <row r="373">
          <cell r="B373">
            <v>359</v>
          </cell>
          <cell r="C373">
            <v>38620</v>
          </cell>
          <cell r="D373">
            <v>25</v>
          </cell>
          <cell r="E373">
            <v>914437</v>
          </cell>
          <cell r="F373">
            <v>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2000</v>
          </cell>
          <cell r="N373">
            <v>0</v>
          </cell>
          <cell r="O373">
            <v>5000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2000</v>
          </cell>
          <cell r="AC373">
            <v>0</v>
          </cell>
          <cell r="AD373">
            <v>5000</v>
          </cell>
          <cell r="AE373">
            <v>0</v>
          </cell>
          <cell r="AF373">
            <v>0</v>
          </cell>
          <cell r="AG373">
            <v>0</v>
          </cell>
          <cell r="AI373">
            <v>10</v>
          </cell>
          <cell r="AJ373">
            <v>25</v>
          </cell>
          <cell r="AL373">
            <v>7000</v>
          </cell>
          <cell r="AM373">
            <v>907437</v>
          </cell>
          <cell r="AN373">
            <v>7000</v>
          </cell>
        </row>
        <row r="374">
          <cell r="B374">
            <v>360</v>
          </cell>
          <cell r="C374">
            <v>38621</v>
          </cell>
          <cell r="D374">
            <v>26</v>
          </cell>
          <cell r="E374">
            <v>909853</v>
          </cell>
          <cell r="F374">
            <v>8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2000</v>
          </cell>
          <cell r="N374">
            <v>0</v>
          </cell>
          <cell r="O374">
            <v>5000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2000</v>
          </cell>
          <cell r="AC374">
            <v>0</v>
          </cell>
          <cell r="AD374">
            <v>5000</v>
          </cell>
          <cell r="AE374">
            <v>0</v>
          </cell>
          <cell r="AF374">
            <v>0</v>
          </cell>
          <cell r="AG374">
            <v>0</v>
          </cell>
          <cell r="AI374">
            <v>10</v>
          </cell>
          <cell r="AJ374">
            <v>26</v>
          </cell>
          <cell r="AL374">
            <v>7000</v>
          </cell>
          <cell r="AM374">
            <v>902853</v>
          </cell>
          <cell r="AN374">
            <v>7000</v>
          </cell>
        </row>
        <row r="375">
          <cell r="B375">
            <v>361</v>
          </cell>
          <cell r="C375">
            <v>38622</v>
          </cell>
          <cell r="D375">
            <v>27</v>
          </cell>
          <cell r="E375">
            <v>799932</v>
          </cell>
          <cell r="F375">
            <v>7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2000</v>
          </cell>
          <cell r="N375">
            <v>0</v>
          </cell>
          <cell r="O375">
            <v>5000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2000</v>
          </cell>
          <cell r="AC375">
            <v>0</v>
          </cell>
          <cell r="AD375">
            <v>5000</v>
          </cell>
          <cell r="AE375">
            <v>0</v>
          </cell>
          <cell r="AF375">
            <v>0</v>
          </cell>
          <cell r="AG375">
            <v>0</v>
          </cell>
          <cell r="AI375">
            <v>10</v>
          </cell>
          <cell r="AJ375">
            <v>27</v>
          </cell>
          <cell r="AL375">
            <v>7000</v>
          </cell>
          <cell r="AM375">
            <v>792932</v>
          </cell>
          <cell r="AN375">
            <v>7000</v>
          </cell>
        </row>
        <row r="376">
          <cell r="B376">
            <v>362</v>
          </cell>
          <cell r="C376">
            <v>38623</v>
          </cell>
          <cell r="D376">
            <v>28</v>
          </cell>
          <cell r="E376">
            <v>696668</v>
          </cell>
          <cell r="F376">
            <v>6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2000</v>
          </cell>
          <cell r="N376">
            <v>0</v>
          </cell>
          <cell r="O376">
            <v>5000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2000</v>
          </cell>
          <cell r="AC376">
            <v>0</v>
          </cell>
          <cell r="AD376">
            <v>5000</v>
          </cell>
          <cell r="AE376">
            <v>0</v>
          </cell>
          <cell r="AF376">
            <v>0</v>
          </cell>
          <cell r="AG376">
            <v>0</v>
          </cell>
          <cell r="AI376">
            <v>10</v>
          </cell>
          <cell r="AJ376">
            <v>28</v>
          </cell>
          <cell r="AL376">
            <v>7000</v>
          </cell>
          <cell r="AM376">
            <v>689668</v>
          </cell>
          <cell r="AN376">
            <v>7000</v>
          </cell>
        </row>
        <row r="377">
          <cell r="B377">
            <v>363</v>
          </cell>
          <cell r="C377">
            <v>38624</v>
          </cell>
          <cell r="D377">
            <v>29</v>
          </cell>
          <cell r="E377">
            <v>691244</v>
          </cell>
          <cell r="F377">
            <v>5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2000</v>
          </cell>
          <cell r="N377">
            <v>0</v>
          </cell>
          <cell r="O377">
            <v>5000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2000</v>
          </cell>
          <cell r="AC377">
            <v>0</v>
          </cell>
          <cell r="AD377">
            <v>5000</v>
          </cell>
          <cell r="AE377">
            <v>0</v>
          </cell>
          <cell r="AF377">
            <v>0</v>
          </cell>
          <cell r="AG377">
            <v>0</v>
          </cell>
          <cell r="AI377">
            <v>10</v>
          </cell>
          <cell r="AJ377">
            <v>29</v>
          </cell>
          <cell r="AL377">
            <v>7000</v>
          </cell>
          <cell r="AM377">
            <v>684244</v>
          </cell>
          <cell r="AN377">
            <v>7000</v>
          </cell>
        </row>
        <row r="378">
          <cell r="B378">
            <v>364</v>
          </cell>
          <cell r="C378">
            <v>38625</v>
          </cell>
          <cell r="D378">
            <v>30</v>
          </cell>
          <cell r="E378">
            <v>936550</v>
          </cell>
          <cell r="F378">
            <v>3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2000</v>
          </cell>
          <cell r="N378">
            <v>0</v>
          </cell>
          <cell r="O378">
            <v>5000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2000</v>
          </cell>
          <cell r="AC378">
            <v>0</v>
          </cell>
          <cell r="AD378">
            <v>5000</v>
          </cell>
          <cell r="AE378">
            <v>0</v>
          </cell>
          <cell r="AF378">
            <v>0</v>
          </cell>
          <cell r="AG378">
            <v>0</v>
          </cell>
          <cell r="AI378">
            <v>10</v>
          </cell>
          <cell r="AJ378">
            <v>30</v>
          </cell>
          <cell r="AL378">
            <v>7000</v>
          </cell>
          <cell r="AM378">
            <v>929550</v>
          </cell>
          <cell r="AN378">
            <v>7000</v>
          </cell>
        </row>
        <row r="379">
          <cell r="B379">
            <v>365</v>
          </cell>
          <cell r="C379">
            <v>38626</v>
          </cell>
          <cell r="D379">
            <v>31</v>
          </cell>
          <cell r="E379">
            <v>972255</v>
          </cell>
          <cell r="F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2000</v>
          </cell>
          <cell r="N379">
            <v>0</v>
          </cell>
          <cell r="O379">
            <v>5000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2000</v>
          </cell>
          <cell r="AC379">
            <v>0</v>
          </cell>
          <cell r="AD379">
            <v>5000</v>
          </cell>
          <cell r="AE379">
            <v>0</v>
          </cell>
          <cell r="AF379">
            <v>0</v>
          </cell>
          <cell r="AG379">
            <v>0</v>
          </cell>
          <cell r="AI379">
            <v>10</v>
          </cell>
          <cell r="AJ379">
            <v>31</v>
          </cell>
          <cell r="AL379">
            <v>7000</v>
          </cell>
          <cell r="AM379">
            <v>965255</v>
          </cell>
          <cell r="AN379">
            <v>7000</v>
          </cell>
        </row>
        <row r="381">
          <cell r="B381">
            <v>66795</v>
          </cell>
          <cell r="C381">
            <v>14031909</v>
          </cell>
          <cell r="D381">
            <v>5738</v>
          </cell>
          <cell r="E381">
            <v>734361916</v>
          </cell>
          <cell r="F381">
            <v>4307</v>
          </cell>
          <cell r="H381">
            <v>90370080</v>
          </cell>
          <cell r="I381">
            <v>0</v>
          </cell>
          <cell r="J381">
            <v>0</v>
          </cell>
          <cell r="K381">
            <v>0</v>
          </cell>
          <cell r="L381">
            <v>11202867</v>
          </cell>
          <cell r="M381">
            <v>3154303</v>
          </cell>
          <cell r="N381">
            <v>4788992</v>
          </cell>
          <cell r="O381">
            <v>9958843</v>
          </cell>
          <cell r="P381">
            <v>0</v>
          </cell>
          <cell r="Q381">
            <v>0</v>
          </cell>
          <cell r="R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90370080</v>
          </cell>
          <cell r="X381">
            <v>0</v>
          </cell>
          <cell r="Y381">
            <v>0</v>
          </cell>
          <cell r="Z381">
            <v>0</v>
          </cell>
          <cell r="AA381">
            <v>11202867</v>
          </cell>
          <cell r="AB381">
            <v>3154303</v>
          </cell>
          <cell r="AC381">
            <v>4788992</v>
          </cell>
          <cell r="AD381">
            <v>9958843</v>
          </cell>
          <cell r="AE381">
            <v>0</v>
          </cell>
          <cell r="AF381">
            <v>0</v>
          </cell>
          <cell r="AG381">
            <v>0</v>
          </cell>
          <cell r="AL381">
            <v>119475085</v>
          </cell>
          <cell r="AM381">
            <v>614886831</v>
          </cell>
        </row>
        <row r="382">
          <cell r="H382">
            <v>90370080</v>
          </cell>
          <cell r="I382">
            <v>0</v>
          </cell>
          <cell r="J382">
            <v>0</v>
          </cell>
          <cell r="K382">
            <v>0</v>
          </cell>
          <cell r="L382">
            <v>11202867</v>
          </cell>
          <cell r="M382">
            <v>3154303</v>
          </cell>
          <cell r="N382">
            <v>4788992</v>
          </cell>
          <cell r="O382">
            <v>9958843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U382">
            <v>0</v>
          </cell>
          <cell r="W382">
            <v>90370080</v>
          </cell>
          <cell r="X382">
            <v>0</v>
          </cell>
          <cell r="Y382">
            <v>0</v>
          </cell>
          <cell r="Z382">
            <v>0</v>
          </cell>
          <cell r="AA382">
            <v>11202867</v>
          </cell>
          <cell r="AB382">
            <v>3154303</v>
          </cell>
          <cell r="AC382">
            <v>4788992</v>
          </cell>
          <cell r="AD382">
            <v>9958843</v>
          </cell>
          <cell r="AE382">
            <v>0</v>
          </cell>
          <cell r="AF382">
            <v>0</v>
          </cell>
          <cell r="AG382">
            <v>0</v>
          </cell>
          <cell r="AL382">
            <v>119475085</v>
          </cell>
        </row>
        <row r="383">
          <cell r="H383">
            <v>90370080</v>
          </cell>
          <cell r="I383">
            <v>90000000</v>
          </cell>
          <cell r="J383">
            <v>90370080</v>
          </cell>
          <cell r="L383">
            <v>11202867</v>
          </cell>
          <cell r="M383">
            <v>3154303</v>
          </cell>
          <cell r="N383">
            <v>4788992</v>
          </cell>
          <cell r="O383">
            <v>9958843</v>
          </cell>
          <cell r="P383">
            <v>0</v>
          </cell>
          <cell r="Q383">
            <v>0</v>
          </cell>
          <cell r="R383">
            <v>0</v>
          </cell>
          <cell r="U383">
            <v>0</v>
          </cell>
          <cell r="W383">
            <v>90370080</v>
          </cell>
          <cell r="AA383">
            <v>11202867</v>
          </cell>
          <cell r="AB383">
            <v>3154303</v>
          </cell>
          <cell r="AC383">
            <v>4788992</v>
          </cell>
          <cell r="AD383">
            <v>9958843</v>
          </cell>
          <cell r="AL383">
            <v>119475085</v>
          </cell>
        </row>
        <row r="384">
          <cell r="H384">
            <v>35000000</v>
          </cell>
          <cell r="I384">
            <v>35000000</v>
          </cell>
          <cell r="J384">
            <v>20000000</v>
          </cell>
          <cell r="L384">
            <v>11202880</v>
          </cell>
          <cell r="M384">
            <v>4000000</v>
          </cell>
          <cell r="N384">
            <v>10000000</v>
          </cell>
          <cell r="O384">
            <v>10000000</v>
          </cell>
          <cell r="P384">
            <v>0</v>
          </cell>
          <cell r="Q384">
            <v>0</v>
          </cell>
          <cell r="R384">
            <v>0</v>
          </cell>
          <cell r="AD384">
            <v>9958843</v>
          </cell>
        </row>
        <row r="385">
          <cell r="U385">
            <v>0</v>
          </cell>
          <cell r="W385" t="str">
            <v xml:space="preserve">  COST OF INJECTION GAS AT</v>
          </cell>
          <cell r="AD385">
            <v>9958843</v>
          </cell>
        </row>
        <row r="386">
          <cell r="H386">
            <v>37561</v>
          </cell>
          <cell r="I386">
            <v>37561</v>
          </cell>
          <cell r="J386">
            <v>37561</v>
          </cell>
          <cell r="L386">
            <v>37561</v>
          </cell>
          <cell r="M386">
            <v>37561</v>
          </cell>
          <cell r="N386">
            <v>37561</v>
          </cell>
          <cell r="O386">
            <v>37561</v>
          </cell>
          <cell r="P386">
            <v>37561</v>
          </cell>
          <cell r="Q386">
            <v>37561</v>
          </cell>
          <cell r="R386">
            <v>37561</v>
          </cell>
          <cell r="AD386">
            <v>6708</v>
          </cell>
        </row>
        <row r="387">
          <cell r="H387">
            <v>37747</v>
          </cell>
          <cell r="I387">
            <v>37747</v>
          </cell>
          <cell r="J387">
            <v>37747</v>
          </cell>
          <cell r="L387">
            <v>37747</v>
          </cell>
          <cell r="M387">
            <v>37747</v>
          </cell>
          <cell r="N387">
            <v>37747</v>
          </cell>
          <cell r="O387">
            <v>37747</v>
          </cell>
          <cell r="P387">
            <v>37747</v>
          </cell>
          <cell r="Q387">
            <v>37747</v>
          </cell>
          <cell r="R387">
            <v>37747</v>
          </cell>
          <cell r="AD387">
            <v>9958.8430000000008</v>
          </cell>
        </row>
        <row r="388">
          <cell r="H388">
            <v>500000</v>
          </cell>
          <cell r="I388">
            <v>500000</v>
          </cell>
          <cell r="J388">
            <v>500000</v>
          </cell>
          <cell r="L388">
            <v>460300</v>
          </cell>
          <cell r="M388">
            <v>600000</v>
          </cell>
          <cell r="N388">
            <v>1200000</v>
          </cell>
          <cell r="O388">
            <v>500000</v>
          </cell>
          <cell r="P388">
            <v>500000</v>
          </cell>
          <cell r="Q388">
            <v>500000</v>
          </cell>
          <cell r="R388">
            <v>500000</v>
          </cell>
          <cell r="T388">
            <v>0</v>
          </cell>
          <cell r="U388">
            <v>0</v>
          </cell>
          <cell r="V388">
            <v>0</v>
          </cell>
          <cell r="W388" t="str">
            <v xml:space="preserve"> DOLLARS PER THERM</v>
          </cell>
          <cell r="AD388">
            <v>3250.8430000000008</v>
          </cell>
        </row>
        <row r="389">
          <cell r="W389">
            <v>109516242</v>
          </cell>
          <cell r="X389" t="str">
            <v>TOTAL STORAGE</v>
          </cell>
          <cell r="AD389">
            <v>3250.8430000000008</v>
          </cell>
        </row>
        <row r="392">
          <cell r="L392" t="str">
            <v>SGS-2</v>
          </cell>
          <cell r="M392" t="str">
            <v>Gasco</v>
          </cell>
          <cell r="N392" t="str">
            <v>LS-1</v>
          </cell>
          <cell r="O392" t="str">
            <v>Newport</v>
          </cell>
          <cell r="P392" t="str">
            <v>Engage1</v>
          </cell>
          <cell r="Q392" t="str">
            <v>Engage2</v>
          </cell>
          <cell r="R392" t="str">
            <v>Engage3</v>
          </cell>
        </row>
        <row r="393">
          <cell r="L393" t="str">
            <v>SGS2</v>
          </cell>
          <cell r="M393" t="str">
            <v>Gasco</v>
          </cell>
          <cell r="N393" t="str">
            <v>LS1</v>
          </cell>
          <cell r="O393" t="str">
            <v>Newport</v>
          </cell>
          <cell r="P393" t="str">
            <v>Engage1</v>
          </cell>
          <cell r="Q393" t="str">
            <v>Engage2</v>
          </cell>
          <cell r="R393" t="str">
            <v>Engage 3</v>
          </cell>
        </row>
        <row r="566">
          <cell r="AE566" t="str">
            <v>*</v>
          </cell>
        </row>
      </sheetData>
      <sheetData sheetId="6" refreshError="1">
        <row r="8">
          <cell r="F8" t="str">
            <v xml:space="preserve">      PRICING MODEL</v>
          </cell>
        </row>
        <row r="9">
          <cell r="F9" t="str">
            <v xml:space="preserve">      STORAGE COST</v>
          </cell>
        </row>
        <row r="10">
          <cell r="I10" t="str">
            <v>SGS-1</v>
          </cell>
          <cell r="J10" t="str">
            <v>SGS-2</v>
          </cell>
          <cell r="K10" t="str">
            <v>GASCO</v>
          </cell>
          <cell r="M10" t="str">
            <v>NEWPORT</v>
          </cell>
          <cell r="N10" t="str">
            <v>Engage 1</v>
          </cell>
          <cell r="O10" t="str">
            <v>Engage 2</v>
          </cell>
          <cell r="P10" t="str">
            <v>Engage3</v>
          </cell>
        </row>
        <row r="11">
          <cell r="F11" t="str">
            <v>MIST</v>
          </cell>
          <cell r="G11" t="str">
            <v>MIST</v>
          </cell>
          <cell r="H11" t="str">
            <v>MIST</v>
          </cell>
          <cell r="I11" t="str">
            <v>SGS-1</v>
          </cell>
          <cell r="J11" t="str">
            <v>SGS-2</v>
          </cell>
          <cell r="K11" t="str">
            <v>LS-1</v>
          </cell>
          <cell r="L11" t="str">
            <v>NEWPORT</v>
          </cell>
          <cell r="M11" t="str">
            <v>GASCO</v>
          </cell>
          <cell r="N11" t="str">
            <v>Storage 1</v>
          </cell>
          <cell r="O11" t="str">
            <v>Storage 2</v>
          </cell>
          <cell r="P11" t="str">
            <v>Storage 3</v>
          </cell>
        </row>
        <row r="12">
          <cell r="F12" t="str">
            <v>BREUER</v>
          </cell>
          <cell r="G12" t="str">
            <v>FLORA</v>
          </cell>
          <cell r="H12" t="str">
            <v>Al's Pool</v>
          </cell>
          <cell r="I12" t="str">
            <v>SGS-1</v>
          </cell>
          <cell r="J12" t="str">
            <v>SGS-2</v>
          </cell>
          <cell r="K12" t="str">
            <v>GASCO</v>
          </cell>
          <cell r="L12" t="str">
            <v>LS-1</v>
          </cell>
          <cell r="M12" t="str">
            <v>NEWPORT</v>
          </cell>
          <cell r="N12" t="str">
            <v>Engage1</v>
          </cell>
          <cell r="O12" t="str">
            <v>Engage 2</v>
          </cell>
          <cell r="P12" t="str">
            <v>Engage 3</v>
          </cell>
        </row>
        <row r="13">
          <cell r="F13" t="str">
            <v>BRUER</v>
          </cell>
          <cell r="G13" t="str">
            <v>FLORA</v>
          </cell>
          <cell r="H13" t="str">
            <v>Al's Pool</v>
          </cell>
          <cell r="I13" t="str">
            <v>SGS-1</v>
          </cell>
          <cell r="J13" t="str">
            <v>SGS-2</v>
          </cell>
          <cell r="K13" t="str">
            <v>GASCO</v>
          </cell>
          <cell r="L13" t="str">
            <v>LS-1</v>
          </cell>
          <cell r="M13" t="str">
            <v>NEWPORT</v>
          </cell>
          <cell r="N13" t="str">
            <v>Engage 1</v>
          </cell>
          <cell r="O13" t="str">
            <v>Engage 2</v>
          </cell>
          <cell r="P13" t="str">
            <v>Engage3</v>
          </cell>
        </row>
        <row r="15">
          <cell r="C15">
            <v>10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795.45999999999992</v>
          </cell>
          <cell r="L15">
            <v>0</v>
          </cell>
          <cell r="M15">
            <v>2199.35</v>
          </cell>
          <cell r="N15">
            <v>0</v>
          </cell>
          <cell r="O15">
            <v>0</v>
          </cell>
          <cell r="P15">
            <v>0</v>
          </cell>
        </row>
        <row r="16">
          <cell r="C16">
            <v>10</v>
          </cell>
          <cell r="D16">
            <v>2</v>
          </cell>
          <cell r="E16">
            <v>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795.45999999999992</v>
          </cell>
          <cell r="L16">
            <v>0</v>
          </cell>
          <cell r="M16">
            <v>2199.35</v>
          </cell>
          <cell r="N16">
            <v>0</v>
          </cell>
          <cell r="O16">
            <v>0</v>
          </cell>
          <cell r="P16">
            <v>0</v>
          </cell>
        </row>
        <row r="17">
          <cell r="C17">
            <v>10</v>
          </cell>
          <cell r="D17">
            <v>3</v>
          </cell>
          <cell r="E17">
            <v>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795.45999999999992</v>
          </cell>
          <cell r="L17">
            <v>0</v>
          </cell>
          <cell r="M17">
            <v>2199.35</v>
          </cell>
          <cell r="N17">
            <v>0</v>
          </cell>
          <cell r="O17">
            <v>0</v>
          </cell>
          <cell r="P17">
            <v>0</v>
          </cell>
        </row>
        <row r="18">
          <cell r="C18">
            <v>10</v>
          </cell>
          <cell r="D18">
            <v>4</v>
          </cell>
          <cell r="E18">
            <v>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795.45999999999992</v>
          </cell>
          <cell r="L18">
            <v>0</v>
          </cell>
          <cell r="M18">
            <v>2199.35</v>
          </cell>
          <cell r="N18">
            <v>0</v>
          </cell>
          <cell r="O18">
            <v>0</v>
          </cell>
          <cell r="P18">
            <v>0</v>
          </cell>
        </row>
        <row r="19">
          <cell r="C19">
            <v>10</v>
          </cell>
          <cell r="D19">
            <v>5</v>
          </cell>
          <cell r="E19">
            <v>5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795.45999999999992</v>
          </cell>
          <cell r="L19">
            <v>0</v>
          </cell>
          <cell r="M19">
            <v>2199.35</v>
          </cell>
          <cell r="N19">
            <v>0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6</v>
          </cell>
          <cell r="E20">
            <v>6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795.45999999999992</v>
          </cell>
          <cell r="L20">
            <v>0</v>
          </cell>
          <cell r="M20">
            <v>2199.35</v>
          </cell>
          <cell r="N20">
            <v>0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7</v>
          </cell>
          <cell r="E21">
            <v>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795.45999999999992</v>
          </cell>
          <cell r="L21">
            <v>0</v>
          </cell>
          <cell r="M21">
            <v>2199.35</v>
          </cell>
          <cell r="N21">
            <v>0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8</v>
          </cell>
          <cell r="E22">
            <v>8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795.45999999999992</v>
          </cell>
          <cell r="L22">
            <v>0</v>
          </cell>
          <cell r="M22">
            <v>2199.35</v>
          </cell>
          <cell r="N22">
            <v>0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9</v>
          </cell>
          <cell r="E23">
            <v>9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795.45999999999992</v>
          </cell>
          <cell r="L23">
            <v>0</v>
          </cell>
          <cell r="M23">
            <v>2199.35</v>
          </cell>
          <cell r="N23">
            <v>0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10</v>
          </cell>
          <cell r="E24">
            <v>10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795.45999999999992</v>
          </cell>
          <cell r="L24">
            <v>0</v>
          </cell>
          <cell r="M24">
            <v>2199.35</v>
          </cell>
          <cell r="N24">
            <v>0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11</v>
          </cell>
          <cell r="E25">
            <v>11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795.45999999999992</v>
          </cell>
          <cell r="L25">
            <v>0</v>
          </cell>
          <cell r="M25">
            <v>2199.35</v>
          </cell>
          <cell r="N25">
            <v>0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12</v>
          </cell>
          <cell r="E26">
            <v>12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795.45999999999992</v>
          </cell>
          <cell r="L26">
            <v>0</v>
          </cell>
          <cell r="M26">
            <v>2199.35</v>
          </cell>
          <cell r="N26">
            <v>0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13</v>
          </cell>
          <cell r="E27">
            <v>13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795.45999999999992</v>
          </cell>
          <cell r="L27">
            <v>0</v>
          </cell>
          <cell r="M27">
            <v>2199.35</v>
          </cell>
          <cell r="N27">
            <v>0</v>
          </cell>
          <cell r="O27">
            <v>0</v>
          </cell>
          <cell r="P27">
            <v>0</v>
          </cell>
        </row>
        <row r="28">
          <cell r="C28">
            <v>10</v>
          </cell>
          <cell r="D28">
            <v>14</v>
          </cell>
          <cell r="E28">
            <v>14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795.45999999999992</v>
          </cell>
          <cell r="L28">
            <v>0</v>
          </cell>
          <cell r="M28">
            <v>2199.35</v>
          </cell>
          <cell r="N28">
            <v>0</v>
          </cell>
          <cell r="O28">
            <v>0</v>
          </cell>
          <cell r="P28">
            <v>0</v>
          </cell>
        </row>
        <row r="29">
          <cell r="C29">
            <v>10</v>
          </cell>
          <cell r="D29">
            <v>15</v>
          </cell>
          <cell r="E29">
            <v>15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795.45999999999992</v>
          </cell>
          <cell r="L29">
            <v>0</v>
          </cell>
          <cell r="M29">
            <v>2199.35</v>
          </cell>
          <cell r="N29">
            <v>0</v>
          </cell>
          <cell r="O29">
            <v>0</v>
          </cell>
          <cell r="P29">
            <v>0</v>
          </cell>
        </row>
        <row r="30">
          <cell r="C30">
            <v>10</v>
          </cell>
          <cell r="D30">
            <v>16</v>
          </cell>
          <cell r="E30">
            <v>16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795.45999999999992</v>
          </cell>
          <cell r="L30">
            <v>0</v>
          </cell>
          <cell r="M30">
            <v>2199.35</v>
          </cell>
          <cell r="N30">
            <v>0</v>
          </cell>
          <cell r="O30">
            <v>0</v>
          </cell>
          <cell r="P30">
            <v>0</v>
          </cell>
        </row>
        <row r="31">
          <cell r="C31">
            <v>10</v>
          </cell>
          <cell r="D31">
            <v>17</v>
          </cell>
          <cell r="E31">
            <v>17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795.45999999999992</v>
          </cell>
          <cell r="L31">
            <v>0</v>
          </cell>
          <cell r="M31">
            <v>2199.35</v>
          </cell>
          <cell r="N31">
            <v>0</v>
          </cell>
          <cell r="O31">
            <v>0</v>
          </cell>
          <cell r="P31">
            <v>0</v>
          </cell>
        </row>
        <row r="32">
          <cell r="C32">
            <v>10</v>
          </cell>
          <cell r="D32">
            <v>18</v>
          </cell>
          <cell r="E32">
            <v>18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795.45999999999992</v>
          </cell>
          <cell r="L32">
            <v>0</v>
          </cell>
          <cell r="M32">
            <v>2199.35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10</v>
          </cell>
          <cell r="D33">
            <v>19</v>
          </cell>
          <cell r="E33">
            <v>19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795.45999999999992</v>
          </cell>
          <cell r="L33">
            <v>0</v>
          </cell>
          <cell r="M33">
            <v>2199.35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10</v>
          </cell>
          <cell r="D34">
            <v>20</v>
          </cell>
          <cell r="E34">
            <v>20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795.45999999999992</v>
          </cell>
          <cell r="L34">
            <v>0</v>
          </cell>
          <cell r="M34">
            <v>2199.35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10</v>
          </cell>
          <cell r="D35">
            <v>21</v>
          </cell>
          <cell r="E35">
            <v>21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795.45999999999992</v>
          </cell>
          <cell r="L35">
            <v>0</v>
          </cell>
          <cell r="M35">
            <v>2199.35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10</v>
          </cell>
          <cell r="D36">
            <v>22</v>
          </cell>
          <cell r="E36">
            <v>22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795.45999999999992</v>
          </cell>
          <cell r="L36">
            <v>0</v>
          </cell>
          <cell r="M36">
            <v>2199.35</v>
          </cell>
          <cell r="N36">
            <v>0</v>
          </cell>
          <cell r="O36">
            <v>0</v>
          </cell>
          <cell r="P36">
            <v>0</v>
          </cell>
        </row>
        <row r="37">
          <cell r="C37">
            <v>10</v>
          </cell>
          <cell r="D37">
            <v>23</v>
          </cell>
          <cell r="E37">
            <v>23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795.45999999999992</v>
          </cell>
          <cell r="L37">
            <v>0</v>
          </cell>
          <cell r="M37">
            <v>2199.35</v>
          </cell>
          <cell r="N37">
            <v>0</v>
          </cell>
          <cell r="O37">
            <v>0</v>
          </cell>
          <cell r="P37">
            <v>0</v>
          </cell>
        </row>
        <row r="38">
          <cell r="B38">
            <v>37918</v>
          </cell>
          <cell r="C38">
            <v>10</v>
          </cell>
          <cell r="D38">
            <v>24</v>
          </cell>
          <cell r="E38">
            <v>24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795.45999999999992</v>
          </cell>
          <cell r="L38">
            <v>0</v>
          </cell>
          <cell r="M38">
            <v>2199.35</v>
          </cell>
          <cell r="N38">
            <v>0</v>
          </cell>
          <cell r="O38">
            <v>0</v>
          </cell>
          <cell r="P38">
            <v>0</v>
          </cell>
        </row>
        <row r="39">
          <cell r="B39">
            <v>37919</v>
          </cell>
          <cell r="C39">
            <v>10</v>
          </cell>
          <cell r="D39">
            <v>25</v>
          </cell>
          <cell r="E39">
            <v>25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795.45999999999992</v>
          </cell>
          <cell r="L39">
            <v>0</v>
          </cell>
          <cell r="M39">
            <v>2199.35</v>
          </cell>
          <cell r="N39">
            <v>0</v>
          </cell>
          <cell r="O39">
            <v>0</v>
          </cell>
          <cell r="P39">
            <v>0</v>
          </cell>
        </row>
        <row r="40">
          <cell r="B40">
            <v>37920</v>
          </cell>
          <cell r="C40">
            <v>10</v>
          </cell>
          <cell r="D40">
            <v>26</v>
          </cell>
          <cell r="E40">
            <v>26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795.45999999999992</v>
          </cell>
          <cell r="L40">
            <v>0</v>
          </cell>
          <cell r="M40">
            <v>2199.35</v>
          </cell>
          <cell r="N40">
            <v>0</v>
          </cell>
          <cell r="O40">
            <v>0</v>
          </cell>
          <cell r="P40">
            <v>0</v>
          </cell>
        </row>
        <row r="41">
          <cell r="B41">
            <v>37921</v>
          </cell>
          <cell r="C41">
            <v>10</v>
          </cell>
          <cell r="D41">
            <v>27</v>
          </cell>
          <cell r="E41">
            <v>27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795.45999999999992</v>
          </cell>
          <cell r="L41">
            <v>0</v>
          </cell>
          <cell r="M41">
            <v>2199.35</v>
          </cell>
          <cell r="N41">
            <v>0</v>
          </cell>
          <cell r="O41">
            <v>0</v>
          </cell>
          <cell r="P41">
            <v>0</v>
          </cell>
        </row>
        <row r="42">
          <cell r="B42">
            <v>37922</v>
          </cell>
          <cell r="C42">
            <v>10</v>
          </cell>
          <cell r="D42">
            <v>28</v>
          </cell>
          <cell r="E42">
            <v>28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795.45999999999992</v>
          </cell>
          <cell r="L42">
            <v>0</v>
          </cell>
          <cell r="M42">
            <v>2199.35</v>
          </cell>
          <cell r="N42">
            <v>0</v>
          </cell>
          <cell r="O42">
            <v>0</v>
          </cell>
          <cell r="P42">
            <v>0</v>
          </cell>
        </row>
        <row r="43">
          <cell r="B43">
            <v>37923</v>
          </cell>
          <cell r="C43">
            <v>10</v>
          </cell>
          <cell r="D43">
            <v>29</v>
          </cell>
          <cell r="E43">
            <v>29</v>
          </cell>
          <cell r="F43">
            <v>392072.90564000001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795.45999999999992</v>
          </cell>
          <cell r="L43">
            <v>0</v>
          </cell>
          <cell r="M43">
            <v>2199.35</v>
          </cell>
          <cell r="N43">
            <v>0</v>
          </cell>
          <cell r="O43">
            <v>0</v>
          </cell>
          <cell r="P43">
            <v>0</v>
          </cell>
        </row>
        <row r="44">
          <cell r="B44">
            <v>37924</v>
          </cell>
          <cell r="C44">
            <v>10</v>
          </cell>
          <cell r="D44">
            <v>30</v>
          </cell>
          <cell r="E44">
            <v>30</v>
          </cell>
          <cell r="F44">
            <v>806435.31904000009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795.45999999999992</v>
          </cell>
          <cell r="L44">
            <v>0</v>
          </cell>
          <cell r="M44">
            <v>2199.35</v>
          </cell>
          <cell r="N44">
            <v>0</v>
          </cell>
          <cell r="O44">
            <v>0</v>
          </cell>
          <cell r="P44">
            <v>0</v>
          </cell>
        </row>
        <row r="45">
          <cell r="B45">
            <v>37925</v>
          </cell>
          <cell r="C45">
            <v>10</v>
          </cell>
          <cell r="D45">
            <v>31</v>
          </cell>
          <cell r="E45">
            <v>31</v>
          </cell>
          <cell r="F45">
            <v>1043818.30891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795.45999999999992</v>
          </cell>
          <cell r="L45">
            <v>0</v>
          </cell>
          <cell r="M45">
            <v>2199.35</v>
          </cell>
          <cell r="N45">
            <v>0</v>
          </cell>
          <cell r="O45">
            <v>0</v>
          </cell>
          <cell r="P45">
            <v>0</v>
          </cell>
        </row>
        <row r="46">
          <cell r="B46">
            <v>37926</v>
          </cell>
          <cell r="C46">
            <v>11</v>
          </cell>
          <cell r="D46">
            <v>1</v>
          </cell>
          <cell r="E46">
            <v>32</v>
          </cell>
          <cell r="F46">
            <v>393613.49872000003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795.45999999999992</v>
          </cell>
          <cell r="L46">
            <v>0</v>
          </cell>
          <cell r="M46">
            <v>2199.35</v>
          </cell>
          <cell r="N46">
            <v>0</v>
          </cell>
          <cell r="O46">
            <v>0</v>
          </cell>
          <cell r="P46">
            <v>0</v>
          </cell>
        </row>
        <row r="47">
          <cell r="B47">
            <v>37927</v>
          </cell>
          <cell r="C47">
            <v>11</v>
          </cell>
          <cell r="D47">
            <v>2</v>
          </cell>
          <cell r="E47">
            <v>33</v>
          </cell>
          <cell r="F47">
            <v>596720.52401000005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795.45999999999992</v>
          </cell>
          <cell r="L47">
            <v>0</v>
          </cell>
          <cell r="M47">
            <v>2199.35</v>
          </cell>
          <cell r="N47">
            <v>0</v>
          </cell>
          <cell r="O47">
            <v>0</v>
          </cell>
          <cell r="P47">
            <v>0</v>
          </cell>
        </row>
        <row r="48">
          <cell r="B48">
            <v>37928</v>
          </cell>
          <cell r="C48">
            <v>11</v>
          </cell>
          <cell r="D48">
            <v>3</v>
          </cell>
          <cell r="E48">
            <v>34</v>
          </cell>
          <cell r="F48">
            <v>508825.04738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795.45999999999992</v>
          </cell>
          <cell r="L48">
            <v>0</v>
          </cell>
          <cell r="M48">
            <v>2199.35</v>
          </cell>
          <cell r="N48">
            <v>0</v>
          </cell>
          <cell r="O48">
            <v>0</v>
          </cell>
          <cell r="P48">
            <v>0</v>
          </cell>
        </row>
        <row r="49">
          <cell r="B49">
            <v>37929</v>
          </cell>
          <cell r="C49">
            <v>11</v>
          </cell>
          <cell r="D49">
            <v>4</v>
          </cell>
          <cell r="E49">
            <v>35</v>
          </cell>
          <cell r="F49">
            <v>665476.40769999998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795.45999999999992</v>
          </cell>
          <cell r="L49">
            <v>0</v>
          </cell>
          <cell r="M49">
            <v>2199.35</v>
          </cell>
          <cell r="N49">
            <v>0</v>
          </cell>
          <cell r="O49">
            <v>0</v>
          </cell>
          <cell r="P49">
            <v>0</v>
          </cell>
        </row>
        <row r="50">
          <cell r="B50">
            <v>37930</v>
          </cell>
          <cell r="C50">
            <v>11</v>
          </cell>
          <cell r="D50">
            <v>5</v>
          </cell>
          <cell r="E50">
            <v>36</v>
          </cell>
          <cell r="F50">
            <v>557571.96521000005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795.45999999999992</v>
          </cell>
          <cell r="L50">
            <v>0</v>
          </cell>
          <cell r="M50">
            <v>2199.35</v>
          </cell>
          <cell r="N50">
            <v>0</v>
          </cell>
          <cell r="O50">
            <v>0</v>
          </cell>
          <cell r="P50">
            <v>0</v>
          </cell>
        </row>
        <row r="51">
          <cell r="B51">
            <v>37931</v>
          </cell>
          <cell r="C51">
            <v>11</v>
          </cell>
          <cell r="D51">
            <v>6</v>
          </cell>
          <cell r="E51">
            <v>37</v>
          </cell>
          <cell r="F51">
            <v>392294.26548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795.45999999999992</v>
          </cell>
          <cell r="L51">
            <v>0</v>
          </cell>
          <cell r="M51">
            <v>2199.35</v>
          </cell>
          <cell r="N51">
            <v>0</v>
          </cell>
          <cell r="O51">
            <v>0</v>
          </cell>
          <cell r="P51">
            <v>0</v>
          </cell>
        </row>
        <row r="52">
          <cell r="B52">
            <v>37932</v>
          </cell>
          <cell r="C52">
            <v>11</v>
          </cell>
          <cell r="D52">
            <v>7</v>
          </cell>
          <cell r="E52">
            <v>38</v>
          </cell>
          <cell r="F52">
            <v>253486.02565000003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795.45999999999992</v>
          </cell>
          <cell r="L52">
            <v>0</v>
          </cell>
          <cell r="M52">
            <v>2199.35</v>
          </cell>
          <cell r="N52">
            <v>0</v>
          </cell>
          <cell r="O52">
            <v>0</v>
          </cell>
          <cell r="P52">
            <v>0</v>
          </cell>
        </row>
        <row r="53">
          <cell r="B53">
            <v>37933</v>
          </cell>
          <cell r="C53">
            <v>11</v>
          </cell>
          <cell r="D53">
            <v>8</v>
          </cell>
          <cell r="E53">
            <v>39</v>
          </cell>
          <cell r="F53">
            <v>97955.29952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795.45999999999992</v>
          </cell>
          <cell r="L53">
            <v>0</v>
          </cell>
          <cell r="M53">
            <v>2199.35</v>
          </cell>
          <cell r="N53">
            <v>0</v>
          </cell>
          <cell r="O53">
            <v>0</v>
          </cell>
          <cell r="P53">
            <v>0</v>
          </cell>
        </row>
        <row r="54">
          <cell r="B54">
            <v>37934</v>
          </cell>
          <cell r="C54">
            <v>11</v>
          </cell>
          <cell r="D54">
            <v>9</v>
          </cell>
          <cell r="E54">
            <v>40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795.45999999999992</v>
          </cell>
          <cell r="L54">
            <v>0</v>
          </cell>
          <cell r="M54">
            <v>2199.35</v>
          </cell>
          <cell r="N54">
            <v>0</v>
          </cell>
          <cell r="O54">
            <v>0</v>
          </cell>
          <cell r="P54">
            <v>0</v>
          </cell>
        </row>
        <row r="55">
          <cell r="B55">
            <v>37935</v>
          </cell>
          <cell r="C55">
            <v>11</v>
          </cell>
          <cell r="D55">
            <v>10</v>
          </cell>
          <cell r="E55">
            <v>41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795.45999999999992</v>
          </cell>
          <cell r="L55">
            <v>0</v>
          </cell>
          <cell r="M55">
            <v>2199.35</v>
          </cell>
          <cell r="N55">
            <v>0</v>
          </cell>
          <cell r="O55">
            <v>0</v>
          </cell>
          <cell r="P55">
            <v>0</v>
          </cell>
        </row>
        <row r="56">
          <cell r="B56">
            <v>37936</v>
          </cell>
          <cell r="C56">
            <v>11</v>
          </cell>
          <cell r="D56">
            <v>11</v>
          </cell>
          <cell r="E56">
            <v>42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795.45999999999992</v>
          </cell>
          <cell r="L56">
            <v>0</v>
          </cell>
          <cell r="M56">
            <v>2199.35</v>
          </cell>
          <cell r="N56">
            <v>0</v>
          </cell>
          <cell r="O56">
            <v>0</v>
          </cell>
          <cell r="P56">
            <v>0</v>
          </cell>
        </row>
        <row r="57">
          <cell r="B57">
            <v>37937</v>
          </cell>
          <cell r="C57">
            <v>11</v>
          </cell>
          <cell r="D57">
            <v>12</v>
          </cell>
          <cell r="E57">
            <v>43</v>
          </cell>
          <cell r="F57">
            <v>253718.54274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795.45999999999992</v>
          </cell>
          <cell r="L57">
            <v>0</v>
          </cell>
          <cell r="M57">
            <v>2199.35</v>
          </cell>
          <cell r="N57">
            <v>0</v>
          </cell>
          <cell r="O57">
            <v>0</v>
          </cell>
          <cell r="P57">
            <v>0</v>
          </cell>
        </row>
        <row r="58">
          <cell r="B58">
            <v>37938</v>
          </cell>
          <cell r="C58">
            <v>11</v>
          </cell>
          <cell r="D58">
            <v>13</v>
          </cell>
          <cell r="E58">
            <v>44</v>
          </cell>
          <cell r="F58">
            <v>76927.453590000005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795.45999999999992</v>
          </cell>
          <cell r="L58">
            <v>0</v>
          </cell>
          <cell r="M58">
            <v>2199.35</v>
          </cell>
          <cell r="N58">
            <v>0</v>
          </cell>
          <cell r="O58">
            <v>0</v>
          </cell>
          <cell r="P58">
            <v>0</v>
          </cell>
        </row>
        <row r="59">
          <cell r="B59">
            <v>37939</v>
          </cell>
          <cell r="C59">
            <v>11</v>
          </cell>
          <cell r="D59">
            <v>14</v>
          </cell>
          <cell r="E59">
            <v>45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795.45999999999992</v>
          </cell>
          <cell r="L59">
            <v>0</v>
          </cell>
          <cell r="M59">
            <v>2199.35</v>
          </cell>
          <cell r="N59">
            <v>0</v>
          </cell>
          <cell r="O59">
            <v>0</v>
          </cell>
          <cell r="P59">
            <v>0</v>
          </cell>
        </row>
        <row r="60">
          <cell r="B60">
            <v>37940</v>
          </cell>
          <cell r="C60">
            <v>11</v>
          </cell>
          <cell r="D60">
            <v>15</v>
          </cell>
          <cell r="E60">
            <v>46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795.45999999999992</v>
          </cell>
          <cell r="L60">
            <v>0</v>
          </cell>
          <cell r="M60">
            <v>2199.35</v>
          </cell>
          <cell r="N60">
            <v>0</v>
          </cell>
          <cell r="O60">
            <v>0</v>
          </cell>
          <cell r="P60">
            <v>0</v>
          </cell>
        </row>
        <row r="61">
          <cell r="B61">
            <v>37941</v>
          </cell>
          <cell r="C61">
            <v>11</v>
          </cell>
          <cell r="D61">
            <v>16</v>
          </cell>
          <cell r="E61">
            <v>47</v>
          </cell>
          <cell r="F61">
            <v>108155.25747000001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795.45999999999992</v>
          </cell>
          <cell r="L61">
            <v>0</v>
          </cell>
          <cell r="M61">
            <v>2199.35</v>
          </cell>
          <cell r="N61">
            <v>0</v>
          </cell>
          <cell r="O61">
            <v>0</v>
          </cell>
          <cell r="P61">
            <v>0</v>
          </cell>
        </row>
        <row r="62">
          <cell r="B62">
            <v>37942</v>
          </cell>
          <cell r="C62">
            <v>11</v>
          </cell>
          <cell r="D62">
            <v>17</v>
          </cell>
          <cell r="E62">
            <v>48</v>
          </cell>
          <cell r="F62">
            <v>103193.40525000001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795.45999999999992</v>
          </cell>
          <cell r="L62">
            <v>0</v>
          </cell>
          <cell r="M62">
            <v>2199.35</v>
          </cell>
          <cell r="N62">
            <v>0</v>
          </cell>
          <cell r="O62">
            <v>0</v>
          </cell>
          <cell r="P62">
            <v>0</v>
          </cell>
        </row>
        <row r="63">
          <cell r="B63">
            <v>37943</v>
          </cell>
          <cell r="C63">
            <v>11</v>
          </cell>
          <cell r="D63">
            <v>18</v>
          </cell>
          <cell r="E63">
            <v>49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795.45999999999992</v>
          </cell>
          <cell r="L63">
            <v>0</v>
          </cell>
          <cell r="M63">
            <v>2199.35</v>
          </cell>
          <cell r="N63">
            <v>0</v>
          </cell>
          <cell r="O63">
            <v>0</v>
          </cell>
          <cell r="P63">
            <v>0</v>
          </cell>
        </row>
        <row r="64">
          <cell r="B64">
            <v>37944</v>
          </cell>
          <cell r="C64">
            <v>11</v>
          </cell>
          <cell r="D64">
            <v>19</v>
          </cell>
          <cell r="E64">
            <v>50</v>
          </cell>
          <cell r="F64">
            <v>647944.79763000004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795.45999999999992</v>
          </cell>
          <cell r="L64">
            <v>0</v>
          </cell>
          <cell r="M64">
            <v>2199.35</v>
          </cell>
          <cell r="N64">
            <v>0</v>
          </cell>
          <cell r="O64">
            <v>0</v>
          </cell>
          <cell r="P64">
            <v>0</v>
          </cell>
        </row>
        <row r="65">
          <cell r="B65">
            <v>37945</v>
          </cell>
          <cell r="C65">
            <v>11</v>
          </cell>
          <cell r="D65">
            <v>20</v>
          </cell>
          <cell r="E65">
            <v>51</v>
          </cell>
          <cell r="F65">
            <v>650443.57533999998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795.45999999999992</v>
          </cell>
          <cell r="L65">
            <v>0</v>
          </cell>
          <cell r="M65">
            <v>2199.35</v>
          </cell>
          <cell r="N65">
            <v>0</v>
          </cell>
          <cell r="O65">
            <v>0</v>
          </cell>
          <cell r="P65">
            <v>0</v>
          </cell>
        </row>
        <row r="66">
          <cell r="B66">
            <v>37946</v>
          </cell>
          <cell r="C66">
            <v>11</v>
          </cell>
          <cell r="D66">
            <v>21</v>
          </cell>
          <cell r="E66">
            <v>52</v>
          </cell>
          <cell r="F66">
            <v>821953.71492000006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795.45999999999992</v>
          </cell>
          <cell r="L66">
            <v>0</v>
          </cell>
          <cell r="M66">
            <v>2199.35</v>
          </cell>
          <cell r="N66">
            <v>0</v>
          </cell>
          <cell r="O66">
            <v>0</v>
          </cell>
          <cell r="P66">
            <v>0</v>
          </cell>
        </row>
        <row r="67">
          <cell r="B67">
            <v>37947</v>
          </cell>
          <cell r="C67">
            <v>11</v>
          </cell>
          <cell r="D67">
            <v>22</v>
          </cell>
          <cell r="E67">
            <v>53</v>
          </cell>
          <cell r="F67">
            <v>731525.09625000006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795.45999999999992</v>
          </cell>
          <cell r="L67">
            <v>0</v>
          </cell>
          <cell r="M67">
            <v>2199.35</v>
          </cell>
          <cell r="N67">
            <v>0</v>
          </cell>
          <cell r="O67">
            <v>0</v>
          </cell>
          <cell r="P67">
            <v>0</v>
          </cell>
        </row>
        <row r="68">
          <cell r="B68">
            <v>37948</v>
          </cell>
          <cell r="C68">
            <v>11</v>
          </cell>
          <cell r="D68">
            <v>23</v>
          </cell>
          <cell r="E68">
            <v>54</v>
          </cell>
          <cell r="F68">
            <v>400393.53640000004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795.45999999999992</v>
          </cell>
          <cell r="L68">
            <v>0</v>
          </cell>
          <cell r="M68">
            <v>2199.35</v>
          </cell>
          <cell r="N68">
            <v>0</v>
          </cell>
          <cell r="O68">
            <v>0</v>
          </cell>
          <cell r="P68">
            <v>0</v>
          </cell>
        </row>
        <row r="69">
          <cell r="B69">
            <v>37949</v>
          </cell>
          <cell r="C69">
            <v>11</v>
          </cell>
          <cell r="D69">
            <v>24</v>
          </cell>
          <cell r="E69">
            <v>55</v>
          </cell>
          <cell r="F69">
            <v>560185.43945000006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795.45999999999992</v>
          </cell>
          <cell r="L69">
            <v>0</v>
          </cell>
          <cell r="M69">
            <v>2199.35</v>
          </cell>
          <cell r="N69">
            <v>0</v>
          </cell>
          <cell r="O69">
            <v>0</v>
          </cell>
          <cell r="P69">
            <v>0</v>
          </cell>
        </row>
        <row r="70">
          <cell r="B70">
            <v>37950</v>
          </cell>
          <cell r="C70">
            <v>11</v>
          </cell>
          <cell r="D70">
            <v>25</v>
          </cell>
          <cell r="E70">
            <v>56</v>
          </cell>
          <cell r="F70">
            <v>472546.13328000001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795.45999999999992</v>
          </cell>
          <cell r="L70">
            <v>0</v>
          </cell>
          <cell r="M70">
            <v>2199.35</v>
          </cell>
          <cell r="N70">
            <v>0</v>
          </cell>
          <cell r="O70">
            <v>0</v>
          </cell>
          <cell r="P70">
            <v>0</v>
          </cell>
        </row>
        <row r="71">
          <cell r="B71">
            <v>37951</v>
          </cell>
          <cell r="C71">
            <v>11</v>
          </cell>
          <cell r="D71">
            <v>26</v>
          </cell>
          <cell r="E71">
            <v>57</v>
          </cell>
          <cell r="F71">
            <v>345210.67048000003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795.45999999999992</v>
          </cell>
          <cell r="L71">
            <v>0</v>
          </cell>
          <cell r="M71">
            <v>2199.35</v>
          </cell>
          <cell r="N71">
            <v>0</v>
          </cell>
          <cell r="O71">
            <v>0</v>
          </cell>
          <cell r="P71">
            <v>0</v>
          </cell>
        </row>
        <row r="72">
          <cell r="B72">
            <v>37952</v>
          </cell>
          <cell r="C72">
            <v>11</v>
          </cell>
          <cell r="D72">
            <v>27</v>
          </cell>
          <cell r="E72">
            <v>58</v>
          </cell>
          <cell r="F72">
            <v>216865.25341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795.45999999999992</v>
          </cell>
          <cell r="L72">
            <v>0</v>
          </cell>
          <cell r="M72">
            <v>2199.35</v>
          </cell>
          <cell r="N72">
            <v>0</v>
          </cell>
          <cell r="O72">
            <v>0</v>
          </cell>
          <cell r="P72">
            <v>0</v>
          </cell>
        </row>
        <row r="73">
          <cell r="B73">
            <v>37953</v>
          </cell>
          <cell r="C73">
            <v>11</v>
          </cell>
          <cell r="D73">
            <v>28</v>
          </cell>
          <cell r="E73">
            <v>59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795.45999999999992</v>
          </cell>
          <cell r="L73">
            <v>0</v>
          </cell>
          <cell r="M73">
            <v>2199.35</v>
          </cell>
          <cell r="N73">
            <v>0</v>
          </cell>
          <cell r="O73">
            <v>0</v>
          </cell>
          <cell r="P73">
            <v>0</v>
          </cell>
        </row>
        <row r="74">
          <cell r="B74">
            <v>37954</v>
          </cell>
          <cell r="C74">
            <v>11</v>
          </cell>
          <cell r="D74">
            <v>29</v>
          </cell>
          <cell r="E74">
            <v>60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795.45999999999992</v>
          </cell>
          <cell r="L74">
            <v>0</v>
          </cell>
          <cell r="M74">
            <v>2199.35</v>
          </cell>
          <cell r="N74">
            <v>0</v>
          </cell>
          <cell r="O74">
            <v>0</v>
          </cell>
          <cell r="P74">
            <v>0</v>
          </cell>
        </row>
        <row r="75">
          <cell r="B75">
            <v>37955</v>
          </cell>
          <cell r="C75">
            <v>11</v>
          </cell>
          <cell r="D75">
            <v>30</v>
          </cell>
          <cell r="E75">
            <v>61</v>
          </cell>
          <cell r="F75">
            <v>178395.05541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795.45999999999992</v>
          </cell>
          <cell r="L75">
            <v>0</v>
          </cell>
          <cell r="M75">
            <v>2199.35</v>
          </cell>
          <cell r="N75">
            <v>0</v>
          </cell>
          <cell r="O75">
            <v>0</v>
          </cell>
          <cell r="P75">
            <v>0</v>
          </cell>
        </row>
        <row r="76">
          <cell r="B76">
            <v>37956</v>
          </cell>
          <cell r="C76">
            <v>12</v>
          </cell>
          <cell r="D76">
            <v>1</v>
          </cell>
          <cell r="E76">
            <v>62</v>
          </cell>
          <cell r="F76">
            <v>242820.14094000001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795.45999999999992</v>
          </cell>
          <cell r="L76">
            <v>0</v>
          </cell>
          <cell r="M76">
            <v>2199.35</v>
          </cell>
          <cell r="N76">
            <v>0</v>
          </cell>
          <cell r="O76">
            <v>0</v>
          </cell>
          <cell r="P76">
            <v>0</v>
          </cell>
        </row>
        <row r="77">
          <cell r="B77">
            <v>37957</v>
          </cell>
          <cell r="C77">
            <v>12</v>
          </cell>
          <cell r="D77">
            <v>2</v>
          </cell>
          <cell r="E77">
            <v>63</v>
          </cell>
          <cell r="F77">
            <v>435607.15627000004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795.45999999999992</v>
          </cell>
          <cell r="L77">
            <v>0</v>
          </cell>
          <cell r="M77">
            <v>2199.35</v>
          </cell>
          <cell r="N77">
            <v>0</v>
          </cell>
          <cell r="O77">
            <v>0</v>
          </cell>
          <cell r="P77">
            <v>0</v>
          </cell>
        </row>
        <row r="78">
          <cell r="B78">
            <v>37958</v>
          </cell>
          <cell r="C78">
            <v>12</v>
          </cell>
          <cell r="D78">
            <v>3</v>
          </cell>
          <cell r="E78">
            <v>64</v>
          </cell>
          <cell r="F78">
            <v>422650.46499000001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795.45999999999992</v>
          </cell>
          <cell r="L78">
            <v>0</v>
          </cell>
          <cell r="M78">
            <v>2199.35</v>
          </cell>
          <cell r="N78">
            <v>0</v>
          </cell>
          <cell r="O78">
            <v>0</v>
          </cell>
          <cell r="P78">
            <v>0</v>
          </cell>
        </row>
        <row r="79">
          <cell r="B79">
            <v>37959</v>
          </cell>
          <cell r="C79">
            <v>12</v>
          </cell>
          <cell r="D79">
            <v>4</v>
          </cell>
          <cell r="E79">
            <v>65</v>
          </cell>
          <cell r="F79">
            <v>420880.92514000001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795.45999999999992</v>
          </cell>
          <cell r="L79">
            <v>0</v>
          </cell>
          <cell r="M79">
            <v>2199.35</v>
          </cell>
          <cell r="N79">
            <v>0</v>
          </cell>
          <cell r="O79">
            <v>0</v>
          </cell>
          <cell r="P79">
            <v>0</v>
          </cell>
        </row>
        <row r="80">
          <cell r="B80">
            <v>37960</v>
          </cell>
          <cell r="C80">
            <v>12</v>
          </cell>
          <cell r="D80">
            <v>5</v>
          </cell>
          <cell r="E80">
            <v>66</v>
          </cell>
          <cell r="F80">
            <v>119423.18739000001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795.45999999999992</v>
          </cell>
          <cell r="L80">
            <v>0</v>
          </cell>
          <cell r="M80">
            <v>2199.35</v>
          </cell>
          <cell r="N80">
            <v>0</v>
          </cell>
          <cell r="O80">
            <v>0</v>
          </cell>
          <cell r="P80">
            <v>0</v>
          </cell>
        </row>
        <row r="81">
          <cell r="B81">
            <v>37961</v>
          </cell>
          <cell r="C81">
            <v>12</v>
          </cell>
          <cell r="D81">
            <v>6</v>
          </cell>
          <cell r="E81">
            <v>67</v>
          </cell>
          <cell r="F81">
            <v>183967.87864000001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795.45999999999992</v>
          </cell>
          <cell r="L81">
            <v>0</v>
          </cell>
          <cell r="M81">
            <v>2199.35</v>
          </cell>
          <cell r="N81">
            <v>0</v>
          </cell>
          <cell r="O81">
            <v>0</v>
          </cell>
          <cell r="P81">
            <v>0</v>
          </cell>
        </row>
        <row r="82">
          <cell r="B82">
            <v>37962</v>
          </cell>
          <cell r="C82">
            <v>12</v>
          </cell>
          <cell r="D82">
            <v>7</v>
          </cell>
          <cell r="E82">
            <v>68</v>
          </cell>
          <cell r="F82">
            <v>312961.75508000003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795.45999999999992</v>
          </cell>
          <cell r="L82">
            <v>0</v>
          </cell>
          <cell r="M82">
            <v>2199.35</v>
          </cell>
          <cell r="N82">
            <v>0</v>
          </cell>
          <cell r="O82">
            <v>0</v>
          </cell>
          <cell r="P82">
            <v>0</v>
          </cell>
        </row>
        <row r="83">
          <cell r="B83">
            <v>37963</v>
          </cell>
          <cell r="C83">
            <v>12</v>
          </cell>
          <cell r="D83">
            <v>8</v>
          </cell>
          <cell r="E83">
            <v>69</v>
          </cell>
          <cell r="F83">
            <v>351337.78589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795.45999999999992</v>
          </cell>
          <cell r="L83">
            <v>0</v>
          </cell>
          <cell r="M83">
            <v>2199.35</v>
          </cell>
          <cell r="N83">
            <v>0</v>
          </cell>
          <cell r="O83">
            <v>0</v>
          </cell>
          <cell r="P83">
            <v>0</v>
          </cell>
        </row>
        <row r="84">
          <cell r="B84">
            <v>37964</v>
          </cell>
          <cell r="C84">
            <v>12</v>
          </cell>
          <cell r="D84">
            <v>9</v>
          </cell>
          <cell r="E84">
            <v>70</v>
          </cell>
          <cell r="F84">
            <v>573993.20576000004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795.45999999999992</v>
          </cell>
          <cell r="L84">
            <v>0</v>
          </cell>
          <cell r="M84">
            <v>2199.35</v>
          </cell>
          <cell r="N84">
            <v>0</v>
          </cell>
          <cell r="O84">
            <v>0</v>
          </cell>
          <cell r="P84">
            <v>0</v>
          </cell>
        </row>
        <row r="85">
          <cell r="B85">
            <v>37965</v>
          </cell>
          <cell r="C85">
            <v>12</v>
          </cell>
          <cell r="D85">
            <v>10</v>
          </cell>
          <cell r="E85">
            <v>71</v>
          </cell>
          <cell r="F85">
            <v>498412.65539000003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795.45999999999992</v>
          </cell>
          <cell r="L85">
            <v>0</v>
          </cell>
          <cell r="M85">
            <v>2199.35</v>
          </cell>
          <cell r="N85">
            <v>0</v>
          </cell>
          <cell r="O85">
            <v>0</v>
          </cell>
          <cell r="P85">
            <v>0</v>
          </cell>
        </row>
        <row r="86">
          <cell r="B86">
            <v>37966</v>
          </cell>
          <cell r="C86">
            <v>12</v>
          </cell>
          <cell r="D86">
            <v>11</v>
          </cell>
          <cell r="E86">
            <v>72</v>
          </cell>
          <cell r="F86">
            <v>381148.17272999999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795.45999999999992</v>
          </cell>
          <cell r="L86">
            <v>0</v>
          </cell>
          <cell r="M86">
            <v>2199.35</v>
          </cell>
          <cell r="N86">
            <v>0</v>
          </cell>
          <cell r="O86">
            <v>0</v>
          </cell>
          <cell r="P86">
            <v>0</v>
          </cell>
        </row>
        <row r="87">
          <cell r="B87">
            <v>37967</v>
          </cell>
          <cell r="C87">
            <v>12</v>
          </cell>
          <cell r="D87">
            <v>12</v>
          </cell>
          <cell r="E87">
            <v>73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152924.01534000001</v>
          </cell>
          <cell r="K87">
            <v>795.45999999999992</v>
          </cell>
          <cell r="L87">
            <v>0</v>
          </cell>
          <cell r="M87">
            <v>2199.35</v>
          </cell>
          <cell r="N87">
            <v>0</v>
          </cell>
          <cell r="O87">
            <v>0</v>
          </cell>
          <cell r="P87">
            <v>0</v>
          </cell>
        </row>
        <row r="88">
          <cell r="B88">
            <v>37968</v>
          </cell>
          <cell r="C88">
            <v>12</v>
          </cell>
          <cell r="D88">
            <v>13</v>
          </cell>
          <cell r="E88">
            <v>74</v>
          </cell>
          <cell r="F88">
            <v>299462.82144999999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795.45999999999992</v>
          </cell>
          <cell r="L88">
            <v>0</v>
          </cell>
          <cell r="M88">
            <v>2199.35</v>
          </cell>
          <cell r="N88">
            <v>0</v>
          </cell>
          <cell r="O88">
            <v>0</v>
          </cell>
          <cell r="P88">
            <v>0</v>
          </cell>
        </row>
        <row r="89">
          <cell r="B89">
            <v>37969</v>
          </cell>
          <cell r="C89">
            <v>12</v>
          </cell>
          <cell r="D89">
            <v>14</v>
          </cell>
          <cell r="E89">
            <v>75</v>
          </cell>
          <cell r="F89">
            <v>515615.34973000002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795.45999999999992</v>
          </cell>
          <cell r="L89">
            <v>0</v>
          </cell>
          <cell r="M89">
            <v>2199.35</v>
          </cell>
          <cell r="N89">
            <v>0</v>
          </cell>
          <cell r="O89">
            <v>0</v>
          </cell>
          <cell r="P89">
            <v>0</v>
          </cell>
        </row>
        <row r="90">
          <cell r="B90">
            <v>37970</v>
          </cell>
          <cell r="C90">
            <v>12</v>
          </cell>
          <cell r="D90">
            <v>15</v>
          </cell>
          <cell r="E90">
            <v>76</v>
          </cell>
          <cell r="F90">
            <v>430269.97416000004</v>
          </cell>
          <cell r="G90">
            <v>0</v>
          </cell>
          <cell r="H90">
            <v>0</v>
          </cell>
          <cell r="I90">
            <v>0</v>
          </cell>
          <cell r="J90">
            <v>214803.598</v>
          </cell>
          <cell r="K90">
            <v>795.45999999999992</v>
          </cell>
          <cell r="L90">
            <v>0</v>
          </cell>
          <cell r="M90">
            <v>2199.35</v>
          </cell>
          <cell r="N90">
            <v>0</v>
          </cell>
          <cell r="O90">
            <v>0</v>
          </cell>
          <cell r="P90">
            <v>0</v>
          </cell>
        </row>
        <row r="91">
          <cell r="B91">
            <v>37971</v>
          </cell>
          <cell r="C91">
            <v>12</v>
          </cell>
          <cell r="D91">
            <v>16</v>
          </cell>
          <cell r="E91">
            <v>77</v>
          </cell>
          <cell r="F91">
            <v>435607.15627000004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795.45999999999992</v>
          </cell>
          <cell r="L91">
            <v>0</v>
          </cell>
          <cell r="M91">
            <v>2199.35</v>
          </cell>
          <cell r="N91">
            <v>0</v>
          </cell>
          <cell r="O91">
            <v>0</v>
          </cell>
          <cell r="P91">
            <v>0</v>
          </cell>
        </row>
        <row r="92">
          <cell r="B92">
            <v>37972</v>
          </cell>
          <cell r="C92">
            <v>12</v>
          </cell>
          <cell r="D92">
            <v>17</v>
          </cell>
          <cell r="E92">
            <v>78</v>
          </cell>
          <cell r="F92">
            <v>197110.22656000001</v>
          </cell>
          <cell r="G92">
            <v>0</v>
          </cell>
          <cell r="H92">
            <v>0</v>
          </cell>
          <cell r="I92">
            <v>0</v>
          </cell>
          <cell r="J92">
            <v>214803.598</v>
          </cell>
          <cell r="K92">
            <v>795.45999999999992</v>
          </cell>
          <cell r="L92">
            <v>0</v>
          </cell>
          <cell r="M92">
            <v>2199.35</v>
          </cell>
          <cell r="N92">
            <v>0</v>
          </cell>
          <cell r="O92">
            <v>0</v>
          </cell>
          <cell r="P92">
            <v>0</v>
          </cell>
        </row>
        <row r="93">
          <cell r="B93">
            <v>37973</v>
          </cell>
          <cell r="C93">
            <v>12</v>
          </cell>
          <cell r="D93">
            <v>18</v>
          </cell>
          <cell r="E93">
            <v>79</v>
          </cell>
          <cell r="F93">
            <v>479834.04898000002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795.45999999999992</v>
          </cell>
          <cell r="L93">
            <v>0</v>
          </cell>
          <cell r="M93">
            <v>2199.35</v>
          </cell>
          <cell r="N93">
            <v>0</v>
          </cell>
          <cell r="O93">
            <v>0</v>
          </cell>
          <cell r="P93">
            <v>0</v>
          </cell>
        </row>
        <row r="94">
          <cell r="B94">
            <v>37974</v>
          </cell>
          <cell r="C94">
            <v>12</v>
          </cell>
          <cell r="D94">
            <v>19</v>
          </cell>
          <cell r="E94">
            <v>80</v>
          </cell>
          <cell r="F94">
            <v>393653.66482000001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795.45999999999992</v>
          </cell>
          <cell r="L94">
            <v>0</v>
          </cell>
          <cell r="M94">
            <v>2199.35</v>
          </cell>
          <cell r="N94">
            <v>0</v>
          </cell>
          <cell r="O94">
            <v>0</v>
          </cell>
          <cell r="P94">
            <v>0</v>
          </cell>
        </row>
        <row r="95">
          <cell r="B95">
            <v>37975</v>
          </cell>
          <cell r="C95">
            <v>12</v>
          </cell>
          <cell r="D95">
            <v>20</v>
          </cell>
          <cell r="E95">
            <v>81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78807.207500000004</v>
          </cell>
          <cell r="K95">
            <v>795.45999999999992</v>
          </cell>
          <cell r="L95">
            <v>0</v>
          </cell>
          <cell r="M95">
            <v>2199.35</v>
          </cell>
          <cell r="N95">
            <v>0</v>
          </cell>
          <cell r="O95">
            <v>0</v>
          </cell>
          <cell r="P95">
            <v>0</v>
          </cell>
        </row>
        <row r="96">
          <cell r="B96">
            <v>37976</v>
          </cell>
          <cell r="C96">
            <v>12</v>
          </cell>
          <cell r="D96">
            <v>21</v>
          </cell>
          <cell r="E96">
            <v>82</v>
          </cell>
          <cell r="F96">
            <v>94060.972980000006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795.45999999999992</v>
          </cell>
          <cell r="L96">
            <v>0</v>
          </cell>
          <cell r="M96">
            <v>2199.35</v>
          </cell>
          <cell r="N96">
            <v>0</v>
          </cell>
          <cell r="O96">
            <v>0</v>
          </cell>
          <cell r="P96">
            <v>0</v>
          </cell>
        </row>
        <row r="97">
          <cell r="B97">
            <v>37977</v>
          </cell>
          <cell r="C97">
            <v>12</v>
          </cell>
          <cell r="D97">
            <v>22</v>
          </cell>
          <cell r="E97">
            <v>83</v>
          </cell>
          <cell r="F97">
            <v>489717.14103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795.45999999999992</v>
          </cell>
          <cell r="L97">
            <v>0</v>
          </cell>
          <cell r="M97">
            <v>2199.35</v>
          </cell>
          <cell r="N97">
            <v>0</v>
          </cell>
          <cell r="O97">
            <v>0</v>
          </cell>
          <cell r="P97">
            <v>0</v>
          </cell>
        </row>
        <row r="98">
          <cell r="B98">
            <v>37978</v>
          </cell>
          <cell r="C98">
            <v>12</v>
          </cell>
          <cell r="D98">
            <v>23</v>
          </cell>
          <cell r="E98">
            <v>84</v>
          </cell>
          <cell r="F98">
            <v>130944.16374</v>
          </cell>
          <cell r="G98">
            <v>0</v>
          </cell>
          <cell r="H98">
            <v>0</v>
          </cell>
          <cell r="I98">
            <v>0</v>
          </cell>
          <cell r="J98">
            <v>214803.598</v>
          </cell>
          <cell r="K98">
            <v>795.45999999999992</v>
          </cell>
          <cell r="L98">
            <v>0</v>
          </cell>
          <cell r="M98">
            <v>2199.35</v>
          </cell>
          <cell r="N98">
            <v>0</v>
          </cell>
          <cell r="O98">
            <v>0</v>
          </cell>
          <cell r="P98">
            <v>0</v>
          </cell>
        </row>
        <row r="99">
          <cell r="B99">
            <v>37979</v>
          </cell>
          <cell r="C99">
            <v>12</v>
          </cell>
          <cell r="D99">
            <v>24</v>
          </cell>
          <cell r="E99">
            <v>85</v>
          </cell>
          <cell r="F99">
            <v>203966.13354000001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795.45999999999992</v>
          </cell>
          <cell r="L99">
            <v>0</v>
          </cell>
          <cell r="M99">
            <v>2199.35</v>
          </cell>
          <cell r="N99">
            <v>0</v>
          </cell>
          <cell r="O99">
            <v>0</v>
          </cell>
          <cell r="P99">
            <v>0</v>
          </cell>
        </row>
        <row r="100">
          <cell r="B100">
            <v>37980</v>
          </cell>
          <cell r="C100">
            <v>12</v>
          </cell>
          <cell r="D100">
            <v>25</v>
          </cell>
          <cell r="E100">
            <v>86</v>
          </cell>
          <cell r="F100">
            <v>316569.11715000001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795.45999999999992</v>
          </cell>
          <cell r="L100">
            <v>0</v>
          </cell>
          <cell r="M100">
            <v>2199.35</v>
          </cell>
          <cell r="N100">
            <v>0</v>
          </cell>
          <cell r="O100">
            <v>0</v>
          </cell>
          <cell r="P100">
            <v>0</v>
          </cell>
        </row>
        <row r="101">
          <cell r="B101">
            <v>37981</v>
          </cell>
          <cell r="C101">
            <v>12</v>
          </cell>
          <cell r="D101">
            <v>26</v>
          </cell>
          <cell r="E101">
            <v>87</v>
          </cell>
          <cell r="F101">
            <v>553871.32853000006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795.45999999999992</v>
          </cell>
          <cell r="L101">
            <v>0</v>
          </cell>
          <cell r="M101">
            <v>2199.35</v>
          </cell>
          <cell r="N101">
            <v>0</v>
          </cell>
          <cell r="O101">
            <v>0</v>
          </cell>
          <cell r="P101">
            <v>0</v>
          </cell>
        </row>
        <row r="102">
          <cell r="B102">
            <v>37982</v>
          </cell>
          <cell r="C102">
            <v>12</v>
          </cell>
          <cell r="D102">
            <v>27</v>
          </cell>
          <cell r="E102">
            <v>88</v>
          </cell>
          <cell r="F102">
            <v>546177.73522000003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795.45999999999992</v>
          </cell>
          <cell r="L102">
            <v>0</v>
          </cell>
          <cell r="M102">
            <v>2199.35</v>
          </cell>
          <cell r="N102">
            <v>0</v>
          </cell>
          <cell r="O102">
            <v>0</v>
          </cell>
          <cell r="P102">
            <v>0</v>
          </cell>
        </row>
        <row r="103">
          <cell r="B103">
            <v>37983</v>
          </cell>
          <cell r="C103">
            <v>12</v>
          </cell>
          <cell r="D103">
            <v>28</v>
          </cell>
          <cell r="E103">
            <v>89</v>
          </cell>
          <cell r="F103">
            <v>593399.23383000004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795.45999999999992</v>
          </cell>
          <cell r="L103">
            <v>0</v>
          </cell>
          <cell r="M103">
            <v>2199.35</v>
          </cell>
          <cell r="N103">
            <v>0</v>
          </cell>
          <cell r="O103">
            <v>0</v>
          </cell>
          <cell r="P103">
            <v>0</v>
          </cell>
        </row>
        <row r="104">
          <cell r="B104">
            <v>37984</v>
          </cell>
          <cell r="C104">
            <v>12</v>
          </cell>
          <cell r="D104">
            <v>29</v>
          </cell>
          <cell r="E104">
            <v>90</v>
          </cell>
          <cell r="F104">
            <v>943428.05115000007</v>
          </cell>
          <cell r="G104">
            <v>0</v>
          </cell>
          <cell r="H104">
            <v>0</v>
          </cell>
          <cell r="I104">
            <v>0</v>
          </cell>
          <cell r="J104">
            <v>92680.075980000009</v>
          </cell>
          <cell r="K104">
            <v>795.45999999999992</v>
          </cell>
          <cell r="L104">
            <v>0</v>
          </cell>
          <cell r="M104">
            <v>2199.35</v>
          </cell>
          <cell r="N104">
            <v>0</v>
          </cell>
          <cell r="O104">
            <v>0</v>
          </cell>
          <cell r="P104">
            <v>0</v>
          </cell>
        </row>
        <row r="105">
          <cell r="B105">
            <v>37985</v>
          </cell>
          <cell r="C105">
            <v>12</v>
          </cell>
          <cell r="D105">
            <v>30</v>
          </cell>
          <cell r="E105">
            <v>91</v>
          </cell>
          <cell r="F105">
            <v>901792.76447000005</v>
          </cell>
          <cell r="G105">
            <v>0</v>
          </cell>
          <cell r="H105">
            <v>0</v>
          </cell>
          <cell r="I105">
            <v>0</v>
          </cell>
          <cell r="J105">
            <v>120612.47694000001</v>
          </cell>
          <cell r="K105">
            <v>795.45999999999992</v>
          </cell>
          <cell r="L105">
            <v>0</v>
          </cell>
          <cell r="M105">
            <v>2199.35</v>
          </cell>
          <cell r="N105">
            <v>0</v>
          </cell>
          <cell r="O105">
            <v>0</v>
          </cell>
          <cell r="P105">
            <v>0</v>
          </cell>
        </row>
        <row r="106">
          <cell r="B106">
            <v>37986</v>
          </cell>
          <cell r="C106">
            <v>12</v>
          </cell>
          <cell r="D106">
            <v>31</v>
          </cell>
          <cell r="E106">
            <v>92</v>
          </cell>
          <cell r="F106">
            <v>796857.93564000004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795.45999999999992</v>
          </cell>
          <cell r="L106">
            <v>0</v>
          </cell>
          <cell r="M106">
            <v>2199.35</v>
          </cell>
          <cell r="N106">
            <v>0</v>
          </cell>
          <cell r="O106">
            <v>0</v>
          </cell>
          <cell r="P106">
            <v>0</v>
          </cell>
        </row>
        <row r="107">
          <cell r="B107">
            <v>37987</v>
          </cell>
          <cell r="C107">
            <v>1</v>
          </cell>
          <cell r="D107">
            <v>1</v>
          </cell>
          <cell r="E107">
            <v>93</v>
          </cell>
          <cell r="F107">
            <v>831790.39280999999</v>
          </cell>
          <cell r="G107">
            <v>0</v>
          </cell>
          <cell r="H107">
            <v>0</v>
          </cell>
          <cell r="I107">
            <v>0</v>
          </cell>
          <cell r="J107">
            <v>46885.796860000002</v>
          </cell>
          <cell r="K107">
            <v>795.45999999999992</v>
          </cell>
          <cell r="L107">
            <v>0</v>
          </cell>
          <cell r="M107">
            <v>2199.35</v>
          </cell>
          <cell r="N107">
            <v>0</v>
          </cell>
          <cell r="O107">
            <v>0</v>
          </cell>
          <cell r="P107">
            <v>0</v>
          </cell>
        </row>
        <row r="108">
          <cell r="B108">
            <v>37988</v>
          </cell>
          <cell r="C108">
            <v>1</v>
          </cell>
          <cell r="D108">
            <v>2</v>
          </cell>
          <cell r="E108">
            <v>94</v>
          </cell>
          <cell r="F108">
            <v>311954.03226000001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795.45999999999992</v>
          </cell>
          <cell r="L108">
            <v>0</v>
          </cell>
          <cell r="M108">
            <v>2199.35</v>
          </cell>
          <cell r="N108">
            <v>0</v>
          </cell>
          <cell r="O108">
            <v>0</v>
          </cell>
          <cell r="P108">
            <v>0</v>
          </cell>
        </row>
        <row r="109">
          <cell r="B109">
            <v>37989</v>
          </cell>
          <cell r="C109">
            <v>1</v>
          </cell>
          <cell r="D109">
            <v>3</v>
          </cell>
          <cell r="E109">
            <v>95</v>
          </cell>
          <cell r="F109">
            <v>784022.18894999998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795.45999999999992</v>
          </cell>
          <cell r="L109">
            <v>0</v>
          </cell>
          <cell r="M109">
            <v>2199.35</v>
          </cell>
          <cell r="N109">
            <v>0</v>
          </cell>
          <cell r="O109">
            <v>0</v>
          </cell>
          <cell r="P109">
            <v>0</v>
          </cell>
        </row>
        <row r="110">
          <cell r="B110">
            <v>37990</v>
          </cell>
          <cell r="C110">
            <v>1</v>
          </cell>
          <cell r="D110">
            <v>4</v>
          </cell>
          <cell r="E110">
            <v>96</v>
          </cell>
          <cell r="F110">
            <v>756723.52223</v>
          </cell>
          <cell r="G110">
            <v>0</v>
          </cell>
          <cell r="H110">
            <v>0</v>
          </cell>
          <cell r="I110">
            <v>0</v>
          </cell>
          <cell r="J110">
            <v>214803.598</v>
          </cell>
          <cell r="K110">
            <v>795.45999999999992</v>
          </cell>
          <cell r="L110">
            <v>25186.653700000003</v>
          </cell>
          <cell r="M110">
            <v>2199.35</v>
          </cell>
          <cell r="N110">
            <v>0</v>
          </cell>
          <cell r="O110">
            <v>0</v>
          </cell>
          <cell r="P110">
            <v>0</v>
          </cell>
        </row>
        <row r="111">
          <cell r="B111">
            <v>37991</v>
          </cell>
          <cell r="C111">
            <v>1</v>
          </cell>
          <cell r="D111">
            <v>5</v>
          </cell>
          <cell r="E111">
            <v>97</v>
          </cell>
          <cell r="F111">
            <v>726660.08896000008</v>
          </cell>
          <cell r="G111">
            <v>0</v>
          </cell>
          <cell r="H111">
            <v>0</v>
          </cell>
          <cell r="I111">
            <v>0</v>
          </cell>
          <cell r="J111">
            <v>214803.598</v>
          </cell>
          <cell r="K111">
            <v>139284.25053999998</v>
          </cell>
          <cell r="L111">
            <v>326619.46000000002</v>
          </cell>
          <cell r="M111">
            <v>263922</v>
          </cell>
          <cell r="N111">
            <v>0</v>
          </cell>
          <cell r="O111">
            <v>0</v>
          </cell>
          <cell r="P111">
            <v>0</v>
          </cell>
        </row>
        <row r="112">
          <cell r="B112">
            <v>37992</v>
          </cell>
          <cell r="C112">
            <v>1</v>
          </cell>
          <cell r="D112">
            <v>6</v>
          </cell>
          <cell r="E112">
            <v>98</v>
          </cell>
          <cell r="F112">
            <v>697316.07517000008</v>
          </cell>
          <cell r="G112">
            <v>0</v>
          </cell>
          <cell r="H112">
            <v>0</v>
          </cell>
          <cell r="I112">
            <v>0</v>
          </cell>
          <cell r="J112">
            <v>214803.598</v>
          </cell>
          <cell r="K112">
            <v>54242.417399999998</v>
          </cell>
          <cell r="L112">
            <v>326619.46000000002</v>
          </cell>
          <cell r="M112">
            <v>263922</v>
          </cell>
          <cell r="N112">
            <v>0</v>
          </cell>
          <cell r="O112">
            <v>0</v>
          </cell>
          <cell r="P112">
            <v>0</v>
          </cell>
        </row>
        <row r="113">
          <cell r="B113">
            <v>37993</v>
          </cell>
          <cell r="C113">
            <v>1</v>
          </cell>
          <cell r="D113">
            <v>7</v>
          </cell>
          <cell r="E113">
            <v>99</v>
          </cell>
          <cell r="F113">
            <v>669156.96133000008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795.45999999999992</v>
          </cell>
          <cell r="L113">
            <v>0</v>
          </cell>
          <cell r="M113">
            <v>2199.35</v>
          </cell>
          <cell r="N113">
            <v>0</v>
          </cell>
          <cell r="O113">
            <v>0</v>
          </cell>
          <cell r="P113">
            <v>0</v>
          </cell>
        </row>
        <row r="114">
          <cell r="B114">
            <v>37994</v>
          </cell>
          <cell r="C114">
            <v>1</v>
          </cell>
          <cell r="D114">
            <v>8</v>
          </cell>
          <cell r="E114">
            <v>100</v>
          </cell>
          <cell r="F114">
            <v>642134.99441000004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795.45999999999992</v>
          </cell>
          <cell r="L114">
            <v>0</v>
          </cell>
          <cell r="M114">
            <v>2199.35</v>
          </cell>
          <cell r="N114">
            <v>0</v>
          </cell>
          <cell r="O114">
            <v>0</v>
          </cell>
          <cell r="P114">
            <v>0</v>
          </cell>
        </row>
        <row r="115">
          <cell r="B115">
            <v>37995</v>
          </cell>
          <cell r="C115">
            <v>1</v>
          </cell>
          <cell r="D115">
            <v>9</v>
          </cell>
          <cell r="E115">
            <v>101</v>
          </cell>
          <cell r="F115">
            <v>616204.20654000004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795.45999999999992</v>
          </cell>
          <cell r="L115">
            <v>0</v>
          </cell>
          <cell r="M115">
            <v>2199.35</v>
          </cell>
          <cell r="N115">
            <v>0</v>
          </cell>
          <cell r="O115">
            <v>0</v>
          </cell>
          <cell r="P115">
            <v>0</v>
          </cell>
        </row>
        <row r="116">
          <cell r="B116">
            <v>37996</v>
          </cell>
          <cell r="C116">
            <v>1</v>
          </cell>
          <cell r="D116">
            <v>10</v>
          </cell>
          <cell r="E116">
            <v>102</v>
          </cell>
          <cell r="F116">
            <v>591320.41501</v>
          </cell>
          <cell r="G116">
            <v>0</v>
          </cell>
          <cell r="H116">
            <v>0</v>
          </cell>
          <cell r="I116">
            <v>0</v>
          </cell>
          <cell r="J116">
            <v>37241.334640000001</v>
          </cell>
          <cell r="K116">
            <v>795.45999999999992</v>
          </cell>
          <cell r="L116">
            <v>0</v>
          </cell>
          <cell r="M116">
            <v>2199.35</v>
          </cell>
          <cell r="N116">
            <v>0</v>
          </cell>
          <cell r="O116">
            <v>0</v>
          </cell>
          <cell r="P116">
            <v>0</v>
          </cell>
        </row>
        <row r="117">
          <cell r="B117">
            <v>37997</v>
          </cell>
          <cell r="C117">
            <v>1</v>
          </cell>
          <cell r="D117">
            <v>11</v>
          </cell>
          <cell r="E117">
            <v>103</v>
          </cell>
          <cell r="F117">
            <v>567441.66856000002</v>
          </cell>
          <cell r="G117">
            <v>0</v>
          </cell>
          <cell r="H117">
            <v>0</v>
          </cell>
          <cell r="I117">
            <v>0</v>
          </cell>
          <cell r="J117">
            <v>74202.673280000003</v>
          </cell>
          <cell r="K117">
            <v>795.45999999999992</v>
          </cell>
          <cell r="L117">
            <v>0</v>
          </cell>
          <cell r="M117">
            <v>2199.35</v>
          </cell>
          <cell r="N117">
            <v>0</v>
          </cell>
          <cell r="O117">
            <v>0</v>
          </cell>
          <cell r="P117">
            <v>0</v>
          </cell>
        </row>
        <row r="118">
          <cell r="B118">
            <v>37998</v>
          </cell>
          <cell r="C118">
            <v>1</v>
          </cell>
          <cell r="D118">
            <v>12</v>
          </cell>
          <cell r="E118">
            <v>104</v>
          </cell>
          <cell r="F118">
            <v>544526.90850999998</v>
          </cell>
          <cell r="G118">
            <v>0</v>
          </cell>
          <cell r="H118">
            <v>0</v>
          </cell>
          <cell r="I118">
            <v>0</v>
          </cell>
          <cell r="J118">
            <v>74202.673280000003</v>
          </cell>
          <cell r="K118">
            <v>795.45999999999992</v>
          </cell>
          <cell r="L118">
            <v>0</v>
          </cell>
          <cell r="M118">
            <v>2199.35</v>
          </cell>
          <cell r="N118">
            <v>0</v>
          </cell>
          <cell r="O118">
            <v>0</v>
          </cell>
          <cell r="P118">
            <v>0</v>
          </cell>
        </row>
        <row r="119">
          <cell r="B119">
            <v>37999</v>
          </cell>
          <cell r="C119">
            <v>1</v>
          </cell>
          <cell r="D119">
            <v>13</v>
          </cell>
          <cell r="E119">
            <v>105</v>
          </cell>
          <cell r="F119">
            <v>473140.59156000003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795.45999999999992</v>
          </cell>
          <cell r="L119">
            <v>0</v>
          </cell>
          <cell r="M119">
            <v>2199.35</v>
          </cell>
          <cell r="N119">
            <v>0</v>
          </cell>
          <cell r="O119">
            <v>0</v>
          </cell>
          <cell r="P119">
            <v>0</v>
          </cell>
        </row>
        <row r="120">
          <cell r="B120">
            <v>38000</v>
          </cell>
          <cell r="C120">
            <v>1</v>
          </cell>
          <cell r="D120">
            <v>14</v>
          </cell>
          <cell r="E120">
            <v>106</v>
          </cell>
          <cell r="F120">
            <v>433041.43506000005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795.45999999999992</v>
          </cell>
          <cell r="L120">
            <v>0</v>
          </cell>
          <cell r="M120">
            <v>2199.35</v>
          </cell>
          <cell r="N120">
            <v>0</v>
          </cell>
          <cell r="O120">
            <v>0</v>
          </cell>
          <cell r="P120">
            <v>0</v>
          </cell>
        </row>
        <row r="121">
          <cell r="B121">
            <v>38001</v>
          </cell>
          <cell r="C121">
            <v>1</v>
          </cell>
          <cell r="D121">
            <v>15</v>
          </cell>
          <cell r="E121">
            <v>107</v>
          </cell>
          <cell r="F121">
            <v>285281.51040999999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795.45999999999992</v>
          </cell>
          <cell r="L121">
            <v>0</v>
          </cell>
          <cell r="M121">
            <v>2199.35</v>
          </cell>
          <cell r="N121">
            <v>0</v>
          </cell>
          <cell r="O121">
            <v>0</v>
          </cell>
          <cell r="P121">
            <v>0</v>
          </cell>
        </row>
        <row r="122">
          <cell r="B122">
            <v>38002</v>
          </cell>
          <cell r="C122">
            <v>1</v>
          </cell>
          <cell r="D122">
            <v>16</v>
          </cell>
          <cell r="E122">
            <v>108</v>
          </cell>
          <cell r="F122">
            <v>311954.03226000001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795.45999999999992</v>
          </cell>
          <cell r="L122">
            <v>0</v>
          </cell>
          <cell r="M122">
            <v>2199.35</v>
          </cell>
          <cell r="N122">
            <v>0</v>
          </cell>
          <cell r="O122">
            <v>0</v>
          </cell>
          <cell r="P122">
            <v>0</v>
          </cell>
        </row>
        <row r="123">
          <cell r="B123">
            <v>38003</v>
          </cell>
          <cell r="C123">
            <v>1</v>
          </cell>
          <cell r="D123">
            <v>17</v>
          </cell>
          <cell r="E123">
            <v>109</v>
          </cell>
          <cell r="F123">
            <v>334620.20877999999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795.45999999999992</v>
          </cell>
          <cell r="L123">
            <v>0</v>
          </cell>
          <cell r="M123">
            <v>2199.35</v>
          </cell>
          <cell r="N123">
            <v>0</v>
          </cell>
          <cell r="O123">
            <v>0</v>
          </cell>
          <cell r="P123">
            <v>0</v>
          </cell>
        </row>
        <row r="124">
          <cell r="B124">
            <v>38004</v>
          </cell>
          <cell r="C124">
            <v>1</v>
          </cell>
          <cell r="D124">
            <v>18</v>
          </cell>
          <cell r="E124">
            <v>110</v>
          </cell>
          <cell r="F124">
            <v>289892.57868999999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795.45999999999992</v>
          </cell>
          <cell r="L124">
            <v>0</v>
          </cell>
          <cell r="M124">
            <v>2199.35</v>
          </cell>
          <cell r="N124">
            <v>0</v>
          </cell>
          <cell r="O124">
            <v>0</v>
          </cell>
          <cell r="P124">
            <v>0</v>
          </cell>
        </row>
        <row r="125">
          <cell r="B125">
            <v>38005</v>
          </cell>
          <cell r="C125">
            <v>1</v>
          </cell>
          <cell r="D125">
            <v>19</v>
          </cell>
          <cell r="E125">
            <v>111</v>
          </cell>
          <cell r="F125">
            <v>401166.95697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795.45999999999992</v>
          </cell>
          <cell r="L125">
            <v>0</v>
          </cell>
          <cell r="M125">
            <v>2199.35</v>
          </cell>
          <cell r="N125">
            <v>0</v>
          </cell>
          <cell r="O125">
            <v>0</v>
          </cell>
          <cell r="P125">
            <v>0</v>
          </cell>
        </row>
        <row r="126">
          <cell r="B126">
            <v>38006</v>
          </cell>
          <cell r="C126">
            <v>1</v>
          </cell>
          <cell r="D126">
            <v>20</v>
          </cell>
          <cell r="E126">
            <v>112</v>
          </cell>
          <cell r="F126">
            <v>405507.12722000002</v>
          </cell>
          <cell r="G126">
            <v>0</v>
          </cell>
          <cell r="H126">
            <v>0</v>
          </cell>
          <cell r="I126">
            <v>0</v>
          </cell>
          <cell r="J126">
            <v>139851.46876000002</v>
          </cell>
          <cell r="K126">
            <v>795.45999999999992</v>
          </cell>
          <cell r="L126">
            <v>0</v>
          </cell>
          <cell r="M126">
            <v>2199.35</v>
          </cell>
          <cell r="N126">
            <v>0</v>
          </cell>
          <cell r="O126">
            <v>0</v>
          </cell>
          <cell r="P126">
            <v>0</v>
          </cell>
        </row>
        <row r="127">
          <cell r="B127">
            <v>38007</v>
          </cell>
          <cell r="C127">
            <v>1</v>
          </cell>
          <cell r="D127">
            <v>21</v>
          </cell>
          <cell r="E127">
            <v>113</v>
          </cell>
          <cell r="F127">
            <v>380944.2182</v>
          </cell>
          <cell r="G127">
            <v>0</v>
          </cell>
          <cell r="H127">
            <v>0</v>
          </cell>
          <cell r="I127">
            <v>0</v>
          </cell>
          <cell r="J127">
            <v>214803.598</v>
          </cell>
          <cell r="K127">
            <v>795.45999999999992</v>
          </cell>
          <cell r="L127">
            <v>0</v>
          </cell>
          <cell r="M127">
            <v>2199.35</v>
          </cell>
          <cell r="N127">
            <v>0</v>
          </cell>
          <cell r="O127">
            <v>0</v>
          </cell>
          <cell r="P127">
            <v>0</v>
          </cell>
        </row>
        <row r="128">
          <cell r="B128">
            <v>38008</v>
          </cell>
          <cell r="C128">
            <v>1</v>
          </cell>
          <cell r="D128">
            <v>22</v>
          </cell>
          <cell r="E128">
            <v>114</v>
          </cell>
          <cell r="F128">
            <v>357869.24004</v>
          </cell>
          <cell r="G128">
            <v>0</v>
          </cell>
          <cell r="H128">
            <v>0</v>
          </cell>
          <cell r="I128">
            <v>0</v>
          </cell>
          <cell r="J128">
            <v>214803.598</v>
          </cell>
          <cell r="K128">
            <v>795.45999999999992</v>
          </cell>
          <cell r="L128">
            <v>0</v>
          </cell>
          <cell r="M128">
            <v>2199.35</v>
          </cell>
          <cell r="N128">
            <v>0</v>
          </cell>
          <cell r="O128">
            <v>0</v>
          </cell>
          <cell r="P128">
            <v>0</v>
          </cell>
        </row>
        <row r="129">
          <cell r="B129">
            <v>38009</v>
          </cell>
          <cell r="C129">
            <v>1</v>
          </cell>
          <cell r="D129">
            <v>23</v>
          </cell>
          <cell r="E129">
            <v>115</v>
          </cell>
          <cell r="F129">
            <v>210885.85999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795.45999999999992</v>
          </cell>
          <cell r="L129">
            <v>0</v>
          </cell>
          <cell r="M129">
            <v>2199.35</v>
          </cell>
          <cell r="N129">
            <v>0</v>
          </cell>
          <cell r="O129">
            <v>0</v>
          </cell>
          <cell r="P129">
            <v>0</v>
          </cell>
        </row>
        <row r="130">
          <cell r="B130">
            <v>38010</v>
          </cell>
          <cell r="C130">
            <v>1</v>
          </cell>
          <cell r="D130">
            <v>24</v>
          </cell>
          <cell r="E130">
            <v>116</v>
          </cell>
          <cell r="F130">
            <v>323417.88349000004</v>
          </cell>
          <cell r="G130">
            <v>0</v>
          </cell>
          <cell r="H130">
            <v>0</v>
          </cell>
          <cell r="I130">
            <v>0</v>
          </cell>
          <cell r="J130">
            <v>142381.23262</v>
          </cell>
          <cell r="K130">
            <v>795.45999999999992</v>
          </cell>
          <cell r="L130">
            <v>0</v>
          </cell>
          <cell r="M130">
            <v>2199.35</v>
          </cell>
          <cell r="N130">
            <v>0</v>
          </cell>
          <cell r="O130">
            <v>0</v>
          </cell>
          <cell r="P130">
            <v>0</v>
          </cell>
        </row>
        <row r="131">
          <cell r="B131">
            <v>38011</v>
          </cell>
          <cell r="C131">
            <v>1</v>
          </cell>
          <cell r="D131">
            <v>25</v>
          </cell>
          <cell r="E131">
            <v>117</v>
          </cell>
          <cell r="F131">
            <v>303827.53765000001</v>
          </cell>
          <cell r="G131">
            <v>0</v>
          </cell>
          <cell r="H131">
            <v>0</v>
          </cell>
          <cell r="I131">
            <v>0</v>
          </cell>
          <cell r="J131">
            <v>12048.22788</v>
          </cell>
          <cell r="K131">
            <v>795.45999999999992</v>
          </cell>
          <cell r="L131">
            <v>0</v>
          </cell>
          <cell r="M131">
            <v>2199.35</v>
          </cell>
          <cell r="N131">
            <v>0</v>
          </cell>
          <cell r="O131">
            <v>0</v>
          </cell>
          <cell r="P131">
            <v>0</v>
          </cell>
        </row>
        <row r="132">
          <cell r="B132">
            <v>38012</v>
          </cell>
          <cell r="C132">
            <v>1</v>
          </cell>
          <cell r="D132">
            <v>26</v>
          </cell>
          <cell r="E132">
            <v>118</v>
          </cell>
          <cell r="F132">
            <v>284123.38786000002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795.45999999999992</v>
          </cell>
          <cell r="L132">
            <v>0</v>
          </cell>
          <cell r="M132">
            <v>2199.35</v>
          </cell>
          <cell r="N132">
            <v>0</v>
          </cell>
          <cell r="O132">
            <v>0</v>
          </cell>
          <cell r="P132">
            <v>0</v>
          </cell>
        </row>
        <row r="133">
          <cell r="B133">
            <v>38013</v>
          </cell>
          <cell r="C133">
            <v>1</v>
          </cell>
          <cell r="D133">
            <v>27</v>
          </cell>
          <cell r="E133">
            <v>119</v>
          </cell>
          <cell r="F133">
            <v>265683.57764000003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795.45999999999992</v>
          </cell>
          <cell r="L133">
            <v>0</v>
          </cell>
          <cell r="M133">
            <v>2199.35</v>
          </cell>
          <cell r="N133">
            <v>0</v>
          </cell>
          <cell r="O133">
            <v>0</v>
          </cell>
          <cell r="P133">
            <v>0</v>
          </cell>
        </row>
        <row r="134">
          <cell r="B134">
            <v>38014</v>
          </cell>
          <cell r="C134">
            <v>1</v>
          </cell>
          <cell r="D134">
            <v>28</v>
          </cell>
          <cell r="E134">
            <v>120</v>
          </cell>
          <cell r="F134">
            <v>183899.14998000002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795.45999999999992</v>
          </cell>
          <cell r="L134">
            <v>0</v>
          </cell>
          <cell r="M134">
            <v>2199.35</v>
          </cell>
          <cell r="N134">
            <v>0</v>
          </cell>
          <cell r="O134">
            <v>0</v>
          </cell>
          <cell r="P134">
            <v>0</v>
          </cell>
        </row>
        <row r="135">
          <cell r="B135">
            <v>38015</v>
          </cell>
          <cell r="C135">
            <v>1</v>
          </cell>
          <cell r="D135">
            <v>29</v>
          </cell>
          <cell r="E135">
            <v>121</v>
          </cell>
          <cell r="F135">
            <v>54886.52936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795.45999999999992</v>
          </cell>
          <cell r="L135">
            <v>0</v>
          </cell>
          <cell r="M135">
            <v>2199.35</v>
          </cell>
          <cell r="N135">
            <v>0</v>
          </cell>
          <cell r="O135">
            <v>0</v>
          </cell>
          <cell r="P135">
            <v>0</v>
          </cell>
        </row>
        <row r="136">
          <cell r="B136">
            <v>38016</v>
          </cell>
          <cell r="C136">
            <v>1</v>
          </cell>
          <cell r="D136">
            <v>30</v>
          </cell>
          <cell r="E136">
            <v>122</v>
          </cell>
          <cell r="F136">
            <v>232943.74324000001</v>
          </cell>
          <cell r="G136">
            <v>0</v>
          </cell>
          <cell r="H136">
            <v>0</v>
          </cell>
          <cell r="I136">
            <v>0</v>
          </cell>
          <cell r="J136">
            <v>99526.444840000011</v>
          </cell>
          <cell r="K136">
            <v>795.45999999999992</v>
          </cell>
          <cell r="L136">
            <v>0</v>
          </cell>
          <cell r="M136">
            <v>2199.35</v>
          </cell>
          <cell r="N136">
            <v>0</v>
          </cell>
          <cell r="O136">
            <v>0</v>
          </cell>
          <cell r="P136">
            <v>0</v>
          </cell>
        </row>
        <row r="137">
          <cell r="B137">
            <v>38017</v>
          </cell>
          <cell r="C137">
            <v>1</v>
          </cell>
          <cell r="D137">
            <v>31</v>
          </cell>
          <cell r="E137">
            <v>123</v>
          </cell>
          <cell r="F137">
            <v>217825.66949</v>
          </cell>
          <cell r="G137">
            <v>0</v>
          </cell>
          <cell r="H137">
            <v>0</v>
          </cell>
          <cell r="I137">
            <v>0</v>
          </cell>
          <cell r="J137">
            <v>168727.45624</v>
          </cell>
          <cell r="K137">
            <v>795.45999999999992</v>
          </cell>
          <cell r="L137">
            <v>0</v>
          </cell>
          <cell r="M137">
            <v>2199.35</v>
          </cell>
          <cell r="N137">
            <v>0</v>
          </cell>
          <cell r="O137">
            <v>0</v>
          </cell>
          <cell r="P137">
            <v>0</v>
          </cell>
        </row>
        <row r="138">
          <cell r="B138">
            <v>38018</v>
          </cell>
          <cell r="C138">
            <v>2</v>
          </cell>
          <cell r="D138">
            <v>1</v>
          </cell>
          <cell r="E138">
            <v>124</v>
          </cell>
          <cell r="F138">
            <v>203688.98745000002</v>
          </cell>
          <cell r="G138">
            <v>0</v>
          </cell>
          <cell r="H138">
            <v>0</v>
          </cell>
          <cell r="I138">
            <v>0</v>
          </cell>
          <cell r="J138">
            <v>189906.35368</v>
          </cell>
          <cell r="K138">
            <v>795.45999999999992</v>
          </cell>
          <cell r="L138">
            <v>0</v>
          </cell>
          <cell r="M138">
            <v>2199.35</v>
          </cell>
          <cell r="N138">
            <v>0</v>
          </cell>
          <cell r="O138">
            <v>0</v>
          </cell>
          <cell r="P138">
            <v>0</v>
          </cell>
        </row>
        <row r="139">
          <cell r="B139">
            <v>38019</v>
          </cell>
          <cell r="C139">
            <v>2</v>
          </cell>
          <cell r="D139">
            <v>2</v>
          </cell>
          <cell r="E139">
            <v>125</v>
          </cell>
          <cell r="F139">
            <v>190469.43136000002</v>
          </cell>
          <cell r="G139">
            <v>0</v>
          </cell>
          <cell r="H139">
            <v>0</v>
          </cell>
          <cell r="I139">
            <v>0</v>
          </cell>
          <cell r="J139">
            <v>182103.33182000002</v>
          </cell>
          <cell r="K139">
            <v>795.45999999999992</v>
          </cell>
          <cell r="L139">
            <v>0</v>
          </cell>
          <cell r="M139">
            <v>2199.35</v>
          </cell>
          <cell r="N139">
            <v>0</v>
          </cell>
          <cell r="O139">
            <v>0</v>
          </cell>
          <cell r="P139">
            <v>0</v>
          </cell>
        </row>
        <row r="140">
          <cell r="B140">
            <v>38020</v>
          </cell>
          <cell r="C140">
            <v>2</v>
          </cell>
          <cell r="D140">
            <v>3</v>
          </cell>
          <cell r="E140">
            <v>126</v>
          </cell>
          <cell r="F140">
            <v>178108.09093999999</v>
          </cell>
          <cell r="G140">
            <v>0</v>
          </cell>
          <cell r="H140">
            <v>0</v>
          </cell>
          <cell r="I140">
            <v>0</v>
          </cell>
          <cell r="J140">
            <v>174621.37204000002</v>
          </cell>
          <cell r="K140">
            <v>795.45999999999992</v>
          </cell>
          <cell r="L140">
            <v>0</v>
          </cell>
          <cell r="M140">
            <v>2199.35</v>
          </cell>
          <cell r="N140">
            <v>0</v>
          </cell>
          <cell r="O140">
            <v>0</v>
          </cell>
          <cell r="P140">
            <v>0</v>
          </cell>
        </row>
        <row r="141">
          <cell r="B141">
            <v>38021</v>
          </cell>
          <cell r="C141">
            <v>2</v>
          </cell>
          <cell r="D141">
            <v>4</v>
          </cell>
          <cell r="E141">
            <v>127</v>
          </cell>
          <cell r="F141">
            <v>166548.73365000001</v>
          </cell>
          <cell r="G141">
            <v>0</v>
          </cell>
          <cell r="H141">
            <v>0</v>
          </cell>
          <cell r="I141">
            <v>0</v>
          </cell>
          <cell r="J141">
            <v>35665.423820000004</v>
          </cell>
          <cell r="K141">
            <v>795.45999999999992</v>
          </cell>
          <cell r="L141">
            <v>0</v>
          </cell>
          <cell r="M141">
            <v>2199.35</v>
          </cell>
          <cell r="N141">
            <v>0</v>
          </cell>
          <cell r="O141">
            <v>0</v>
          </cell>
          <cell r="P141">
            <v>0</v>
          </cell>
        </row>
        <row r="142">
          <cell r="B142">
            <v>38022</v>
          </cell>
          <cell r="C142">
            <v>2</v>
          </cell>
          <cell r="D142">
            <v>5</v>
          </cell>
          <cell r="E142">
            <v>128</v>
          </cell>
          <cell r="F142">
            <v>155739.58985000002</v>
          </cell>
          <cell r="G142">
            <v>0</v>
          </cell>
          <cell r="H142">
            <v>0</v>
          </cell>
          <cell r="I142">
            <v>0</v>
          </cell>
          <cell r="J142">
            <v>30126.636280000002</v>
          </cell>
          <cell r="K142">
            <v>795.45999999999992</v>
          </cell>
          <cell r="L142">
            <v>0</v>
          </cell>
          <cell r="M142">
            <v>2199.35</v>
          </cell>
          <cell r="N142">
            <v>0</v>
          </cell>
          <cell r="O142">
            <v>0</v>
          </cell>
          <cell r="P142">
            <v>0</v>
          </cell>
        </row>
        <row r="143">
          <cell r="B143">
            <v>38023</v>
          </cell>
          <cell r="C143">
            <v>2</v>
          </cell>
          <cell r="D143">
            <v>6</v>
          </cell>
          <cell r="E143">
            <v>129</v>
          </cell>
          <cell r="F143">
            <v>146010.91414000001</v>
          </cell>
          <cell r="G143">
            <v>0</v>
          </cell>
          <cell r="H143">
            <v>0</v>
          </cell>
          <cell r="I143">
            <v>0</v>
          </cell>
          <cell r="J143">
            <v>30127.102940000001</v>
          </cell>
          <cell r="K143">
            <v>795.45999999999992</v>
          </cell>
          <cell r="L143">
            <v>0</v>
          </cell>
          <cell r="M143">
            <v>2199.35</v>
          </cell>
          <cell r="N143">
            <v>0</v>
          </cell>
          <cell r="O143">
            <v>0</v>
          </cell>
          <cell r="P143">
            <v>0</v>
          </cell>
        </row>
        <row r="144">
          <cell r="B144">
            <v>38024</v>
          </cell>
          <cell r="C144">
            <v>2</v>
          </cell>
          <cell r="D144">
            <v>7</v>
          </cell>
          <cell r="E144">
            <v>130</v>
          </cell>
          <cell r="F144">
            <v>140325.62583</v>
          </cell>
          <cell r="G144">
            <v>0</v>
          </cell>
          <cell r="H144">
            <v>0</v>
          </cell>
          <cell r="I144">
            <v>0</v>
          </cell>
          <cell r="J144">
            <v>30127.102940000001</v>
          </cell>
          <cell r="K144">
            <v>795.45999999999992</v>
          </cell>
          <cell r="L144">
            <v>0</v>
          </cell>
          <cell r="M144">
            <v>2199.35</v>
          </cell>
          <cell r="N144">
            <v>0</v>
          </cell>
          <cell r="O144">
            <v>0</v>
          </cell>
          <cell r="P144">
            <v>0</v>
          </cell>
        </row>
        <row r="145">
          <cell r="B145">
            <v>38025</v>
          </cell>
          <cell r="C145">
            <v>2</v>
          </cell>
          <cell r="D145">
            <v>8</v>
          </cell>
          <cell r="E145">
            <v>131</v>
          </cell>
          <cell r="F145">
            <v>134861.25107</v>
          </cell>
          <cell r="G145">
            <v>0</v>
          </cell>
          <cell r="H145">
            <v>0</v>
          </cell>
          <cell r="I145">
            <v>0</v>
          </cell>
          <cell r="J145">
            <v>30127.102940000001</v>
          </cell>
          <cell r="K145">
            <v>795.45999999999992</v>
          </cell>
          <cell r="L145">
            <v>0</v>
          </cell>
          <cell r="M145">
            <v>2199.35</v>
          </cell>
          <cell r="N145">
            <v>0</v>
          </cell>
          <cell r="O145">
            <v>0</v>
          </cell>
          <cell r="P145">
            <v>0</v>
          </cell>
        </row>
        <row r="146">
          <cell r="B146">
            <v>38026</v>
          </cell>
          <cell r="C146">
            <v>2</v>
          </cell>
          <cell r="D146">
            <v>9</v>
          </cell>
          <cell r="E146">
            <v>132</v>
          </cell>
          <cell r="F146">
            <v>129609.75664000001</v>
          </cell>
          <cell r="G146">
            <v>0</v>
          </cell>
          <cell r="H146">
            <v>0</v>
          </cell>
          <cell r="I146">
            <v>0</v>
          </cell>
          <cell r="J146">
            <v>30126.636280000002</v>
          </cell>
          <cell r="K146">
            <v>795.45999999999992</v>
          </cell>
          <cell r="L146">
            <v>0</v>
          </cell>
          <cell r="M146">
            <v>21050.85859</v>
          </cell>
          <cell r="N146">
            <v>0</v>
          </cell>
          <cell r="O146">
            <v>0</v>
          </cell>
          <cell r="P146">
            <v>0</v>
          </cell>
        </row>
        <row r="147">
          <cell r="B147">
            <v>38027</v>
          </cell>
          <cell r="C147">
            <v>2</v>
          </cell>
          <cell r="D147">
            <v>10</v>
          </cell>
          <cell r="E147">
            <v>133</v>
          </cell>
          <cell r="F147">
            <v>124562.66303000001</v>
          </cell>
          <cell r="G147">
            <v>0</v>
          </cell>
          <cell r="H147">
            <v>0</v>
          </cell>
          <cell r="I147">
            <v>0</v>
          </cell>
          <cell r="J147">
            <v>30127.102940000001</v>
          </cell>
          <cell r="K147">
            <v>795.45999999999992</v>
          </cell>
          <cell r="L147">
            <v>0</v>
          </cell>
          <cell r="M147">
            <v>51841.758589999998</v>
          </cell>
          <cell r="N147">
            <v>0</v>
          </cell>
          <cell r="O147">
            <v>0</v>
          </cell>
          <cell r="P147">
            <v>0</v>
          </cell>
        </row>
        <row r="148">
          <cell r="B148">
            <v>38028</v>
          </cell>
          <cell r="C148">
            <v>2</v>
          </cell>
          <cell r="D148">
            <v>11</v>
          </cell>
          <cell r="E148">
            <v>134</v>
          </cell>
          <cell r="F148">
            <v>119712.38331</v>
          </cell>
          <cell r="G148">
            <v>0</v>
          </cell>
          <cell r="H148">
            <v>0</v>
          </cell>
          <cell r="I148">
            <v>0</v>
          </cell>
          <cell r="J148">
            <v>30127.102940000001</v>
          </cell>
          <cell r="K148">
            <v>795.45999999999992</v>
          </cell>
          <cell r="L148">
            <v>0</v>
          </cell>
          <cell r="M148">
            <v>51841.758589999998</v>
          </cell>
          <cell r="N148">
            <v>0</v>
          </cell>
          <cell r="O148">
            <v>0</v>
          </cell>
          <cell r="P148">
            <v>0</v>
          </cell>
        </row>
        <row r="149">
          <cell r="B149">
            <v>38029</v>
          </cell>
          <cell r="C149">
            <v>2</v>
          </cell>
          <cell r="D149">
            <v>12</v>
          </cell>
          <cell r="E149">
            <v>135</v>
          </cell>
          <cell r="F149">
            <v>115050.43797</v>
          </cell>
          <cell r="G149">
            <v>0</v>
          </cell>
          <cell r="H149">
            <v>0</v>
          </cell>
          <cell r="I149">
            <v>0</v>
          </cell>
          <cell r="J149">
            <v>30127.102940000001</v>
          </cell>
          <cell r="K149">
            <v>795.45999999999992</v>
          </cell>
          <cell r="L149">
            <v>18549.920180000001</v>
          </cell>
          <cell r="M149">
            <v>51841.758589999998</v>
          </cell>
          <cell r="N149">
            <v>0</v>
          </cell>
          <cell r="O149">
            <v>0</v>
          </cell>
          <cell r="P149">
            <v>0</v>
          </cell>
        </row>
        <row r="150">
          <cell r="B150">
            <v>38030</v>
          </cell>
          <cell r="C150">
            <v>2</v>
          </cell>
          <cell r="D150">
            <v>13</v>
          </cell>
          <cell r="E150">
            <v>136</v>
          </cell>
          <cell r="F150">
            <v>110570.57895000001</v>
          </cell>
          <cell r="G150">
            <v>0</v>
          </cell>
          <cell r="H150">
            <v>0</v>
          </cell>
          <cell r="I150">
            <v>0</v>
          </cell>
          <cell r="J150">
            <v>30126.636280000002</v>
          </cell>
          <cell r="K150">
            <v>795.45999999999992</v>
          </cell>
          <cell r="L150">
            <v>39700.839920000006</v>
          </cell>
          <cell r="M150">
            <v>51842.19846</v>
          </cell>
          <cell r="N150">
            <v>0</v>
          </cell>
          <cell r="O150">
            <v>0</v>
          </cell>
          <cell r="P150">
            <v>0</v>
          </cell>
        </row>
        <row r="151">
          <cell r="B151">
            <v>38031</v>
          </cell>
          <cell r="C151">
            <v>2</v>
          </cell>
          <cell r="D151">
            <v>14</v>
          </cell>
          <cell r="E151">
            <v>137</v>
          </cell>
          <cell r="F151">
            <v>106264.77303000001</v>
          </cell>
          <cell r="G151">
            <v>0</v>
          </cell>
          <cell r="H151">
            <v>0</v>
          </cell>
          <cell r="I151">
            <v>0</v>
          </cell>
          <cell r="J151">
            <v>30127.102940000001</v>
          </cell>
          <cell r="K151">
            <v>795.45999999999992</v>
          </cell>
          <cell r="L151">
            <v>39700.839920000006</v>
          </cell>
          <cell r="M151">
            <v>51841.758589999998</v>
          </cell>
          <cell r="N151">
            <v>0</v>
          </cell>
          <cell r="O151">
            <v>0</v>
          </cell>
          <cell r="P151">
            <v>0</v>
          </cell>
        </row>
        <row r="152">
          <cell r="B152">
            <v>38032</v>
          </cell>
          <cell r="C152">
            <v>2</v>
          </cell>
          <cell r="D152">
            <v>15</v>
          </cell>
          <cell r="E152">
            <v>138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795.45999999999992</v>
          </cell>
          <cell r="L152">
            <v>0</v>
          </cell>
          <cell r="M152">
            <v>51841.758589999998</v>
          </cell>
          <cell r="N152">
            <v>0</v>
          </cell>
          <cell r="O152">
            <v>0</v>
          </cell>
          <cell r="P152">
            <v>0</v>
          </cell>
        </row>
        <row r="153">
          <cell r="B153">
            <v>38033</v>
          </cell>
          <cell r="C153">
            <v>2</v>
          </cell>
          <cell r="D153">
            <v>16</v>
          </cell>
          <cell r="E153">
            <v>139</v>
          </cell>
          <cell r="F153">
            <v>102126.77215</v>
          </cell>
          <cell r="G153">
            <v>0</v>
          </cell>
          <cell r="H153">
            <v>0</v>
          </cell>
          <cell r="I153">
            <v>0</v>
          </cell>
          <cell r="J153">
            <v>60254.205880000001</v>
          </cell>
          <cell r="K153">
            <v>795.45999999999992</v>
          </cell>
          <cell r="L153">
            <v>79402.223300000012</v>
          </cell>
          <cell r="M153">
            <v>51841.758589999998</v>
          </cell>
          <cell r="N153">
            <v>0</v>
          </cell>
          <cell r="O153">
            <v>0</v>
          </cell>
          <cell r="P153">
            <v>0</v>
          </cell>
        </row>
        <row r="154">
          <cell r="B154">
            <v>38034</v>
          </cell>
          <cell r="C154">
            <v>2</v>
          </cell>
          <cell r="D154">
            <v>17</v>
          </cell>
          <cell r="E154">
            <v>140</v>
          </cell>
          <cell r="F154">
            <v>98150.328250000006</v>
          </cell>
          <cell r="G154">
            <v>0</v>
          </cell>
          <cell r="H154">
            <v>0</v>
          </cell>
          <cell r="I154">
            <v>0</v>
          </cell>
          <cell r="J154">
            <v>30127.102940000001</v>
          </cell>
          <cell r="K154">
            <v>795.45999999999992</v>
          </cell>
          <cell r="L154">
            <v>39700.839920000006</v>
          </cell>
          <cell r="M154">
            <v>51841.758589999998</v>
          </cell>
          <cell r="N154">
            <v>0</v>
          </cell>
          <cell r="O154">
            <v>0</v>
          </cell>
          <cell r="P154">
            <v>0</v>
          </cell>
        </row>
        <row r="155">
          <cell r="B155">
            <v>38035</v>
          </cell>
          <cell r="C155">
            <v>2</v>
          </cell>
          <cell r="D155">
            <v>18</v>
          </cell>
          <cell r="E155">
            <v>141</v>
          </cell>
          <cell r="F155">
            <v>94328.300690000004</v>
          </cell>
          <cell r="G155">
            <v>0</v>
          </cell>
          <cell r="H155">
            <v>0</v>
          </cell>
          <cell r="I155">
            <v>0</v>
          </cell>
          <cell r="J155">
            <v>30127.102940000001</v>
          </cell>
          <cell r="K155">
            <v>795.45999999999992</v>
          </cell>
          <cell r="L155">
            <v>39700.839920000006</v>
          </cell>
          <cell r="M155">
            <v>51841.758589999998</v>
          </cell>
          <cell r="N155">
            <v>0</v>
          </cell>
          <cell r="O155">
            <v>0</v>
          </cell>
          <cell r="P155">
            <v>0</v>
          </cell>
        </row>
        <row r="156">
          <cell r="B156">
            <v>38036</v>
          </cell>
          <cell r="C156">
            <v>2</v>
          </cell>
          <cell r="D156">
            <v>19</v>
          </cell>
          <cell r="E156">
            <v>142</v>
          </cell>
          <cell r="F156">
            <v>90654.887700000007</v>
          </cell>
          <cell r="G156">
            <v>0</v>
          </cell>
          <cell r="H156">
            <v>0</v>
          </cell>
          <cell r="I156">
            <v>0</v>
          </cell>
          <cell r="J156">
            <v>30127.102940000001</v>
          </cell>
          <cell r="K156">
            <v>795.45999999999992</v>
          </cell>
          <cell r="L156">
            <v>39700.839920000006</v>
          </cell>
          <cell r="M156">
            <v>51841.758589999998</v>
          </cell>
          <cell r="N156">
            <v>0</v>
          </cell>
          <cell r="O156">
            <v>0</v>
          </cell>
          <cell r="P156">
            <v>0</v>
          </cell>
        </row>
        <row r="157">
          <cell r="B157">
            <v>38037</v>
          </cell>
          <cell r="C157">
            <v>2</v>
          </cell>
          <cell r="D157">
            <v>20</v>
          </cell>
          <cell r="E157">
            <v>143</v>
          </cell>
          <cell r="F157">
            <v>87124.733800000002</v>
          </cell>
          <cell r="G157">
            <v>0</v>
          </cell>
          <cell r="H157">
            <v>0</v>
          </cell>
          <cell r="I157">
            <v>0</v>
          </cell>
          <cell r="J157">
            <v>30126.636280000002</v>
          </cell>
          <cell r="K157">
            <v>795.45999999999992</v>
          </cell>
          <cell r="L157">
            <v>39700.839920000006</v>
          </cell>
          <cell r="M157">
            <v>51841.758589999998</v>
          </cell>
          <cell r="N157">
            <v>0</v>
          </cell>
          <cell r="O157">
            <v>0</v>
          </cell>
          <cell r="P157">
            <v>0</v>
          </cell>
        </row>
        <row r="158">
          <cell r="B158">
            <v>38038</v>
          </cell>
          <cell r="C158">
            <v>2</v>
          </cell>
          <cell r="D158">
            <v>21</v>
          </cell>
          <cell r="E158">
            <v>144</v>
          </cell>
          <cell r="F158">
            <v>64355.910580000003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795.45999999999992</v>
          </cell>
          <cell r="L158">
            <v>0</v>
          </cell>
          <cell r="M158">
            <v>51841.758589999998</v>
          </cell>
          <cell r="N158">
            <v>0</v>
          </cell>
          <cell r="O158">
            <v>0</v>
          </cell>
          <cell r="P158">
            <v>0</v>
          </cell>
        </row>
        <row r="159">
          <cell r="B159">
            <v>38039</v>
          </cell>
          <cell r="C159">
            <v>2</v>
          </cell>
          <cell r="D159">
            <v>22</v>
          </cell>
          <cell r="E159">
            <v>145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795.45999999999992</v>
          </cell>
          <cell r="L159">
            <v>0</v>
          </cell>
          <cell r="M159">
            <v>51841.758589999998</v>
          </cell>
          <cell r="N159">
            <v>0</v>
          </cell>
          <cell r="O159">
            <v>0</v>
          </cell>
          <cell r="P159">
            <v>0</v>
          </cell>
        </row>
        <row r="160">
          <cell r="B160">
            <v>38040</v>
          </cell>
          <cell r="C160">
            <v>2</v>
          </cell>
          <cell r="D160">
            <v>23</v>
          </cell>
          <cell r="E160">
            <v>146</v>
          </cell>
          <cell r="F160">
            <v>65377.468390000002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795.45999999999992</v>
          </cell>
          <cell r="L160">
            <v>0</v>
          </cell>
          <cell r="M160">
            <v>51841.758589999998</v>
          </cell>
          <cell r="N160">
            <v>0</v>
          </cell>
          <cell r="O160">
            <v>0</v>
          </cell>
          <cell r="P160">
            <v>0</v>
          </cell>
        </row>
        <row r="161">
          <cell r="B161">
            <v>38041</v>
          </cell>
          <cell r="C161">
            <v>2</v>
          </cell>
          <cell r="D161">
            <v>24</v>
          </cell>
          <cell r="E161">
            <v>147</v>
          </cell>
          <cell r="F161">
            <v>78680.480710000003</v>
          </cell>
          <cell r="G161">
            <v>0</v>
          </cell>
          <cell r="H161">
            <v>0</v>
          </cell>
          <cell r="I161">
            <v>0</v>
          </cell>
          <cell r="J161">
            <v>120508.41176</v>
          </cell>
          <cell r="K161">
            <v>795.45999999999992</v>
          </cell>
          <cell r="L161">
            <v>113494.55602000002</v>
          </cell>
          <cell r="M161">
            <v>51841.758589999998</v>
          </cell>
          <cell r="N161">
            <v>0</v>
          </cell>
          <cell r="O161">
            <v>0</v>
          </cell>
          <cell r="P161">
            <v>0</v>
          </cell>
        </row>
        <row r="162">
          <cell r="B162">
            <v>38042</v>
          </cell>
          <cell r="C162">
            <v>2</v>
          </cell>
          <cell r="D162">
            <v>25</v>
          </cell>
          <cell r="E162">
            <v>148</v>
          </cell>
          <cell r="F162">
            <v>75616.699860000008</v>
          </cell>
          <cell r="G162">
            <v>0</v>
          </cell>
          <cell r="H162">
            <v>0</v>
          </cell>
          <cell r="I162">
            <v>0</v>
          </cell>
          <cell r="J162">
            <v>30127.102940000001</v>
          </cell>
          <cell r="K162">
            <v>795.45999999999992</v>
          </cell>
          <cell r="L162">
            <v>85010.730500000005</v>
          </cell>
          <cell r="M162">
            <v>51841.758589999998</v>
          </cell>
          <cell r="N162">
            <v>0</v>
          </cell>
          <cell r="O162">
            <v>0</v>
          </cell>
          <cell r="P162">
            <v>0</v>
          </cell>
        </row>
        <row r="163">
          <cell r="B163">
            <v>38043</v>
          </cell>
          <cell r="C163">
            <v>2</v>
          </cell>
          <cell r="D163">
            <v>26</v>
          </cell>
          <cell r="E163">
            <v>149</v>
          </cell>
          <cell r="F163">
            <v>72672.078439999997</v>
          </cell>
          <cell r="G163">
            <v>0</v>
          </cell>
          <cell r="H163">
            <v>0</v>
          </cell>
          <cell r="I163">
            <v>0</v>
          </cell>
          <cell r="J163">
            <v>30127.102940000001</v>
          </cell>
          <cell r="K163">
            <v>795.45999999999992</v>
          </cell>
          <cell r="L163">
            <v>39700.839920000006</v>
          </cell>
          <cell r="M163">
            <v>51841.758589999998</v>
          </cell>
          <cell r="N163">
            <v>0</v>
          </cell>
          <cell r="O163">
            <v>0</v>
          </cell>
          <cell r="P163">
            <v>0</v>
          </cell>
        </row>
        <row r="164">
          <cell r="B164">
            <v>38044</v>
          </cell>
          <cell r="C164">
            <v>2</v>
          </cell>
          <cell r="D164">
            <v>27</v>
          </cell>
          <cell r="E164">
            <v>150</v>
          </cell>
          <cell r="F164">
            <v>69842.153550000003</v>
          </cell>
          <cell r="G164">
            <v>0</v>
          </cell>
          <cell r="H164">
            <v>0</v>
          </cell>
          <cell r="I164">
            <v>0</v>
          </cell>
          <cell r="J164">
            <v>30127.102940000001</v>
          </cell>
          <cell r="K164">
            <v>795.45999999999992</v>
          </cell>
          <cell r="L164">
            <v>39700.839920000006</v>
          </cell>
          <cell r="M164">
            <v>51841.758589999998</v>
          </cell>
          <cell r="N164">
            <v>0</v>
          </cell>
          <cell r="O164">
            <v>0</v>
          </cell>
          <cell r="P164">
            <v>0</v>
          </cell>
        </row>
        <row r="165">
          <cell r="B165">
            <v>38045</v>
          </cell>
          <cell r="C165">
            <v>2</v>
          </cell>
          <cell r="D165">
            <v>28</v>
          </cell>
          <cell r="E165">
            <v>151</v>
          </cell>
          <cell r="F165">
            <v>49614.951880000001</v>
          </cell>
          <cell r="G165">
            <v>0</v>
          </cell>
          <cell r="H165">
            <v>0</v>
          </cell>
          <cell r="I165">
            <v>0</v>
          </cell>
          <cell r="J165">
            <v>30126.636280000002</v>
          </cell>
          <cell r="K165">
            <v>795.45999999999992</v>
          </cell>
          <cell r="L165">
            <v>0</v>
          </cell>
          <cell r="M165">
            <v>51841.758589999998</v>
          </cell>
          <cell r="N165">
            <v>0</v>
          </cell>
          <cell r="O165">
            <v>0</v>
          </cell>
          <cell r="P165">
            <v>0</v>
          </cell>
        </row>
        <row r="166">
          <cell r="B166">
            <v>38047</v>
          </cell>
          <cell r="C166">
            <v>3</v>
          </cell>
          <cell r="D166">
            <v>1</v>
          </cell>
          <cell r="E166">
            <v>152</v>
          </cell>
          <cell r="F166">
            <v>65190.472880000001</v>
          </cell>
          <cell r="G166">
            <v>0</v>
          </cell>
          <cell r="H166">
            <v>0</v>
          </cell>
          <cell r="I166">
            <v>0</v>
          </cell>
          <cell r="J166">
            <v>30127.102940000001</v>
          </cell>
          <cell r="K166">
            <v>795.45999999999992</v>
          </cell>
          <cell r="L166">
            <v>60728.937700000009</v>
          </cell>
          <cell r="M166">
            <v>51841.758589999998</v>
          </cell>
          <cell r="N166">
            <v>0</v>
          </cell>
          <cell r="O166">
            <v>0</v>
          </cell>
          <cell r="P166">
            <v>0</v>
          </cell>
        </row>
        <row r="167">
          <cell r="B167">
            <v>38048</v>
          </cell>
          <cell r="C167">
            <v>3</v>
          </cell>
          <cell r="D167">
            <v>2</v>
          </cell>
          <cell r="E167">
            <v>153</v>
          </cell>
          <cell r="F167">
            <v>62651.975360000004</v>
          </cell>
          <cell r="G167">
            <v>0</v>
          </cell>
          <cell r="H167">
            <v>0</v>
          </cell>
          <cell r="I167">
            <v>0</v>
          </cell>
          <cell r="J167">
            <v>30127.102940000001</v>
          </cell>
          <cell r="K167">
            <v>45771.166129999998</v>
          </cell>
          <cell r="L167">
            <v>58374.125520000009</v>
          </cell>
          <cell r="M167">
            <v>47592.17452</v>
          </cell>
          <cell r="N167">
            <v>0</v>
          </cell>
          <cell r="O167">
            <v>0</v>
          </cell>
          <cell r="P167">
            <v>0</v>
          </cell>
        </row>
        <row r="168">
          <cell r="B168">
            <v>38049</v>
          </cell>
          <cell r="C168">
            <v>3</v>
          </cell>
          <cell r="D168">
            <v>3</v>
          </cell>
          <cell r="E168">
            <v>154</v>
          </cell>
          <cell r="F168">
            <v>60212.554220000005</v>
          </cell>
          <cell r="G168">
            <v>0</v>
          </cell>
          <cell r="H168">
            <v>0</v>
          </cell>
          <cell r="I168">
            <v>0</v>
          </cell>
          <cell r="J168">
            <v>30127.102940000001</v>
          </cell>
          <cell r="K168">
            <v>16178.860939999999</v>
          </cell>
          <cell r="L168">
            <v>39700.839920000006</v>
          </cell>
          <cell r="M168">
            <v>47592.614389999995</v>
          </cell>
          <cell r="N168">
            <v>0</v>
          </cell>
          <cell r="O168">
            <v>0</v>
          </cell>
          <cell r="P168">
            <v>0</v>
          </cell>
        </row>
        <row r="169">
          <cell r="B169">
            <v>38050</v>
          </cell>
          <cell r="C169">
            <v>3</v>
          </cell>
          <cell r="D169">
            <v>4</v>
          </cell>
          <cell r="E169">
            <v>155</v>
          </cell>
          <cell r="F169">
            <v>57867.74656</v>
          </cell>
          <cell r="G169">
            <v>0</v>
          </cell>
          <cell r="H169">
            <v>0</v>
          </cell>
          <cell r="I169">
            <v>0</v>
          </cell>
          <cell r="J169">
            <v>30126.636280000002</v>
          </cell>
          <cell r="K169">
            <v>16178.463209999998</v>
          </cell>
          <cell r="L169">
            <v>39700.839920000006</v>
          </cell>
          <cell r="M169">
            <v>47592.17452</v>
          </cell>
          <cell r="N169">
            <v>0</v>
          </cell>
          <cell r="O169">
            <v>0</v>
          </cell>
          <cell r="P169">
            <v>0</v>
          </cell>
        </row>
        <row r="170">
          <cell r="B170">
            <v>38051</v>
          </cell>
          <cell r="C170">
            <v>3</v>
          </cell>
          <cell r="D170">
            <v>5</v>
          </cell>
          <cell r="E170">
            <v>156</v>
          </cell>
          <cell r="F170">
            <v>55614.428350000002</v>
          </cell>
          <cell r="G170">
            <v>0</v>
          </cell>
          <cell r="H170">
            <v>0</v>
          </cell>
          <cell r="I170">
            <v>0</v>
          </cell>
          <cell r="J170">
            <v>30127.102940000001</v>
          </cell>
          <cell r="K170">
            <v>16178.860939999999</v>
          </cell>
          <cell r="L170">
            <v>39700.839920000006</v>
          </cell>
          <cell r="M170">
            <v>47592.614389999995</v>
          </cell>
          <cell r="N170">
            <v>0</v>
          </cell>
          <cell r="O170">
            <v>0</v>
          </cell>
          <cell r="P170">
            <v>0</v>
          </cell>
        </row>
        <row r="171">
          <cell r="B171">
            <v>38052</v>
          </cell>
          <cell r="C171">
            <v>3</v>
          </cell>
          <cell r="D171">
            <v>6</v>
          </cell>
          <cell r="E171">
            <v>157</v>
          </cell>
          <cell r="F171">
            <v>28226.503630000003</v>
          </cell>
          <cell r="G171">
            <v>0</v>
          </cell>
          <cell r="H171">
            <v>0</v>
          </cell>
          <cell r="I171">
            <v>0</v>
          </cell>
          <cell r="J171">
            <v>30127.102940000001</v>
          </cell>
          <cell r="K171">
            <v>16178.860939999999</v>
          </cell>
          <cell r="L171">
            <v>39700.839920000006</v>
          </cell>
          <cell r="M171">
            <v>47592.17452</v>
          </cell>
          <cell r="N171">
            <v>0</v>
          </cell>
          <cell r="O171">
            <v>0</v>
          </cell>
          <cell r="P171">
            <v>0</v>
          </cell>
        </row>
        <row r="172">
          <cell r="B172">
            <v>38053</v>
          </cell>
          <cell r="C172">
            <v>3</v>
          </cell>
          <cell r="D172">
            <v>7</v>
          </cell>
          <cell r="E172">
            <v>158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795.45999999999992</v>
          </cell>
          <cell r="L172">
            <v>0</v>
          </cell>
          <cell r="M172">
            <v>2199.35</v>
          </cell>
          <cell r="N172">
            <v>0</v>
          </cell>
          <cell r="O172">
            <v>0</v>
          </cell>
          <cell r="P172">
            <v>0</v>
          </cell>
        </row>
        <row r="173">
          <cell r="B173">
            <v>38054</v>
          </cell>
          <cell r="C173">
            <v>3</v>
          </cell>
          <cell r="D173">
            <v>8</v>
          </cell>
          <cell r="E173">
            <v>159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795.45999999999992</v>
          </cell>
          <cell r="L173">
            <v>0</v>
          </cell>
          <cell r="M173">
            <v>2199.35</v>
          </cell>
          <cell r="N173">
            <v>0</v>
          </cell>
          <cell r="O173">
            <v>0</v>
          </cell>
          <cell r="P173">
            <v>0</v>
          </cell>
        </row>
        <row r="174">
          <cell r="B174">
            <v>38055</v>
          </cell>
          <cell r="C174">
            <v>3</v>
          </cell>
          <cell r="D174">
            <v>9</v>
          </cell>
          <cell r="E174">
            <v>160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795.45999999999992</v>
          </cell>
          <cell r="L174">
            <v>0</v>
          </cell>
          <cell r="M174">
            <v>68600.365720000002</v>
          </cell>
          <cell r="N174">
            <v>0</v>
          </cell>
          <cell r="O174">
            <v>0</v>
          </cell>
          <cell r="P174">
            <v>0</v>
          </cell>
        </row>
        <row r="175">
          <cell r="B175">
            <v>38056</v>
          </cell>
          <cell r="C175">
            <v>3</v>
          </cell>
          <cell r="D175">
            <v>10</v>
          </cell>
          <cell r="E175">
            <v>161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108140.05512</v>
          </cell>
          <cell r="K175">
            <v>795.45999999999992</v>
          </cell>
          <cell r="L175">
            <v>0</v>
          </cell>
          <cell r="M175">
            <v>117370.95196999999</v>
          </cell>
          <cell r="N175">
            <v>0</v>
          </cell>
          <cell r="O175">
            <v>0</v>
          </cell>
          <cell r="P175">
            <v>0</v>
          </cell>
        </row>
        <row r="176">
          <cell r="B176">
            <v>38057</v>
          </cell>
          <cell r="C176">
            <v>3</v>
          </cell>
          <cell r="D176">
            <v>11</v>
          </cell>
          <cell r="E176">
            <v>162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795.45999999999992</v>
          </cell>
          <cell r="L176">
            <v>0</v>
          </cell>
          <cell r="M176">
            <v>15009.244139999999</v>
          </cell>
          <cell r="N176">
            <v>0</v>
          </cell>
          <cell r="O176">
            <v>0</v>
          </cell>
          <cell r="P176">
            <v>0</v>
          </cell>
        </row>
        <row r="177">
          <cell r="B177">
            <v>38058</v>
          </cell>
          <cell r="C177">
            <v>3</v>
          </cell>
          <cell r="D177">
            <v>12</v>
          </cell>
          <cell r="E177">
            <v>163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795.45999999999992</v>
          </cell>
          <cell r="L177">
            <v>0</v>
          </cell>
          <cell r="M177">
            <v>72677.520749999996</v>
          </cell>
          <cell r="N177">
            <v>0</v>
          </cell>
          <cell r="O177">
            <v>0</v>
          </cell>
          <cell r="P177">
            <v>0</v>
          </cell>
        </row>
        <row r="178">
          <cell r="B178">
            <v>38059</v>
          </cell>
          <cell r="C178">
            <v>3</v>
          </cell>
          <cell r="D178">
            <v>13</v>
          </cell>
          <cell r="E178">
            <v>164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795.45999999999992</v>
          </cell>
          <cell r="L178">
            <v>0</v>
          </cell>
          <cell r="M178">
            <v>2199.35</v>
          </cell>
          <cell r="N178">
            <v>0</v>
          </cell>
          <cell r="O178">
            <v>0</v>
          </cell>
          <cell r="P178">
            <v>0</v>
          </cell>
        </row>
        <row r="179">
          <cell r="B179">
            <v>38060</v>
          </cell>
          <cell r="C179">
            <v>3</v>
          </cell>
          <cell r="D179">
            <v>14</v>
          </cell>
          <cell r="E179">
            <v>165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795.45999999999992</v>
          </cell>
          <cell r="L179">
            <v>0</v>
          </cell>
          <cell r="M179">
            <v>2199.35</v>
          </cell>
          <cell r="N179">
            <v>0</v>
          </cell>
          <cell r="O179">
            <v>0</v>
          </cell>
          <cell r="P179">
            <v>0</v>
          </cell>
        </row>
        <row r="180">
          <cell r="B180">
            <v>38061</v>
          </cell>
          <cell r="C180">
            <v>3</v>
          </cell>
          <cell r="D180">
            <v>15</v>
          </cell>
          <cell r="E180">
            <v>166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795.45999999999992</v>
          </cell>
          <cell r="L180">
            <v>0</v>
          </cell>
          <cell r="M180">
            <v>49519.244989999999</v>
          </cell>
          <cell r="N180">
            <v>0</v>
          </cell>
          <cell r="O180">
            <v>0</v>
          </cell>
          <cell r="P180">
            <v>0</v>
          </cell>
        </row>
        <row r="181">
          <cell r="B181">
            <v>38062</v>
          </cell>
          <cell r="C181">
            <v>3</v>
          </cell>
          <cell r="D181">
            <v>16</v>
          </cell>
          <cell r="E181">
            <v>167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795.45999999999992</v>
          </cell>
          <cell r="L181">
            <v>0</v>
          </cell>
          <cell r="M181">
            <v>2199.35</v>
          </cell>
          <cell r="N181">
            <v>0</v>
          </cell>
          <cell r="O181">
            <v>0</v>
          </cell>
          <cell r="P181">
            <v>0</v>
          </cell>
        </row>
        <row r="182">
          <cell r="B182">
            <v>38063</v>
          </cell>
          <cell r="C182">
            <v>3</v>
          </cell>
          <cell r="D182">
            <v>17</v>
          </cell>
          <cell r="E182">
            <v>168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795.45999999999992</v>
          </cell>
          <cell r="L182">
            <v>0</v>
          </cell>
          <cell r="M182">
            <v>2199.35</v>
          </cell>
          <cell r="N182">
            <v>0</v>
          </cell>
          <cell r="O182">
            <v>0</v>
          </cell>
          <cell r="P182">
            <v>0</v>
          </cell>
        </row>
        <row r="183">
          <cell r="B183">
            <v>38064</v>
          </cell>
          <cell r="C183">
            <v>3</v>
          </cell>
          <cell r="D183">
            <v>18</v>
          </cell>
          <cell r="E183">
            <v>169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124402.2228</v>
          </cell>
          <cell r="K183">
            <v>43543.4804</v>
          </cell>
          <cell r="L183">
            <v>0</v>
          </cell>
          <cell r="M183">
            <v>115956.76991999999</v>
          </cell>
          <cell r="N183">
            <v>0</v>
          </cell>
          <cell r="O183">
            <v>0</v>
          </cell>
          <cell r="P183">
            <v>0</v>
          </cell>
        </row>
        <row r="184">
          <cell r="B184">
            <v>38065</v>
          </cell>
          <cell r="C184">
            <v>3</v>
          </cell>
          <cell r="D184">
            <v>19</v>
          </cell>
          <cell r="E184">
            <v>170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119290.89582000001</v>
          </cell>
          <cell r="K184">
            <v>19108.142389999997</v>
          </cell>
          <cell r="L184">
            <v>0</v>
          </cell>
          <cell r="M184">
            <v>115956.76991999999</v>
          </cell>
          <cell r="N184">
            <v>0</v>
          </cell>
          <cell r="O184">
            <v>0</v>
          </cell>
          <cell r="P184">
            <v>0</v>
          </cell>
        </row>
        <row r="185">
          <cell r="B185">
            <v>38066</v>
          </cell>
          <cell r="C185">
            <v>3</v>
          </cell>
          <cell r="D185">
            <v>20</v>
          </cell>
          <cell r="E185">
            <v>171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795.45999999999992</v>
          </cell>
          <cell r="L185">
            <v>0</v>
          </cell>
          <cell r="M185">
            <v>2199.35</v>
          </cell>
          <cell r="N185">
            <v>0</v>
          </cell>
          <cell r="O185">
            <v>0</v>
          </cell>
          <cell r="P185">
            <v>0</v>
          </cell>
        </row>
        <row r="186">
          <cell r="B186">
            <v>38067</v>
          </cell>
          <cell r="C186">
            <v>3</v>
          </cell>
          <cell r="D186">
            <v>21</v>
          </cell>
          <cell r="E186">
            <v>172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795.45999999999992</v>
          </cell>
          <cell r="L186">
            <v>0</v>
          </cell>
          <cell r="M186">
            <v>2199.35</v>
          </cell>
          <cell r="N186">
            <v>0</v>
          </cell>
          <cell r="O186">
            <v>0</v>
          </cell>
          <cell r="P186">
            <v>0</v>
          </cell>
        </row>
        <row r="187">
          <cell r="B187">
            <v>38068</v>
          </cell>
          <cell r="C187">
            <v>3</v>
          </cell>
          <cell r="D187">
            <v>22</v>
          </cell>
          <cell r="E187">
            <v>173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795.45999999999992</v>
          </cell>
          <cell r="L187">
            <v>0</v>
          </cell>
          <cell r="M187">
            <v>2199.35</v>
          </cell>
          <cell r="N187">
            <v>0</v>
          </cell>
          <cell r="O187">
            <v>0</v>
          </cell>
          <cell r="P187">
            <v>0</v>
          </cell>
        </row>
        <row r="188">
          <cell r="B188">
            <v>38069</v>
          </cell>
          <cell r="C188">
            <v>3</v>
          </cell>
          <cell r="D188">
            <v>23</v>
          </cell>
          <cell r="E188">
            <v>174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795.45999999999992</v>
          </cell>
          <cell r="L188">
            <v>0</v>
          </cell>
          <cell r="M188">
            <v>2199.35</v>
          </cell>
          <cell r="N188">
            <v>0</v>
          </cell>
          <cell r="O188">
            <v>0</v>
          </cell>
          <cell r="P188">
            <v>0</v>
          </cell>
        </row>
        <row r="189">
          <cell r="B189">
            <v>38070</v>
          </cell>
          <cell r="C189">
            <v>3</v>
          </cell>
          <cell r="D189">
            <v>24</v>
          </cell>
          <cell r="E189">
            <v>175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795.45999999999992</v>
          </cell>
          <cell r="L189">
            <v>0</v>
          </cell>
          <cell r="M189">
            <v>51809.648079999999</v>
          </cell>
          <cell r="N189">
            <v>0</v>
          </cell>
          <cell r="O189">
            <v>0</v>
          </cell>
          <cell r="P189">
            <v>0</v>
          </cell>
        </row>
        <row r="190">
          <cell r="B190">
            <v>38071</v>
          </cell>
          <cell r="C190">
            <v>3</v>
          </cell>
          <cell r="D190">
            <v>25</v>
          </cell>
          <cell r="E190">
            <v>176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114389.56584000001</v>
          </cell>
          <cell r="K190">
            <v>114029.19099999999</v>
          </cell>
          <cell r="L190">
            <v>0</v>
          </cell>
          <cell r="M190">
            <v>115956.76991999999</v>
          </cell>
          <cell r="N190">
            <v>0</v>
          </cell>
          <cell r="O190">
            <v>0</v>
          </cell>
          <cell r="P190">
            <v>0</v>
          </cell>
        </row>
        <row r="191">
          <cell r="B191">
            <v>38072</v>
          </cell>
          <cell r="C191">
            <v>3</v>
          </cell>
          <cell r="D191">
            <v>26</v>
          </cell>
          <cell r="E191">
            <v>177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795.45999999999992</v>
          </cell>
          <cell r="L191">
            <v>297618.80402000004</v>
          </cell>
          <cell r="M191">
            <v>115956.76991999999</v>
          </cell>
          <cell r="N191">
            <v>0</v>
          </cell>
          <cell r="O191">
            <v>0</v>
          </cell>
          <cell r="P191">
            <v>0</v>
          </cell>
        </row>
        <row r="192">
          <cell r="B192">
            <v>38073</v>
          </cell>
          <cell r="C192">
            <v>3</v>
          </cell>
          <cell r="D192">
            <v>27</v>
          </cell>
          <cell r="E192">
            <v>178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795.45999999999992</v>
          </cell>
          <cell r="L192">
            <v>0</v>
          </cell>
          <cell r="M192">
            <v>68566.935599999997</v>
          </cell>
          <cell r="N192">
            <v>0</v>
          </cell>
          <cell r="O192">
            <v>0</v>
          </cell>
          <cell r="P192">
            <v>0</v>
          </cell>
        </row>
        <row r="193">
          <cell r="B193">
            <v>38074</v>
          </cell>
          <cell r="C193">
            <v>3</v>
          </cell>
          <cell r="D193">
            <v>28</v>
          </cell>
          <cell r="E193">
            <v>179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795.45999999999992</v>
          </cell>
          <cell r="L193">
            <v>0</v>
          </cell>
          <cell r="M193">
            <v>2199.35</v>
          </cell>
          <cell r="N193">
            <v>0</v>
          </cell>
          <cell r="O193">
            <v>0</v>
          </cell>
          <cell r="P193">
            <v>0</v>
          </cell>
        </row>
        <row r="194">
          <cell r="B194">
            <v>38075</v>
          </cell>
          <cell r="C194">
            <v>3</v>
          </cell>
          <cell r="D194">
            <v>29</v>
          </cell>
          <cell r="E194">
            <v>180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795.45999999999992</v>
          </cell>
          <cell r="L194">
            <v>0</v>
          </cell>
          <cell r="M194">
            <v>2199.35</v>
          </cell>
          <cell r="N194">
            <v>0</v>
          </cell>
          <cell r="O194">
            <v>0</v>
          </cell>
          <cell r="P194">
            <v>0</v>
          </cell>
        </row>
        <row r="195">
          <cell r="B195">
            <v>38076</v>
          </cell>
          <cell r="C195">
            <v>3</v>
          </cell>
          <cell r="D195">
            <v>30</v>
          </cell>
          <cell r="E195">
            <v>181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76344.671229999993</v>
          </cell>
          <cell r="L195">
            <v>0</v>
          </cell>
          <cell r="M195">
            <v>115956.76991999999</v>
          </cell>
          <cell r="N195">
            <v>0</v>
          </cell>
          <cell r="O195">
            <v>0</v>
          </cell>
          <cell r="P195">
            <v>0</v>
          </cell>
        </row>
        <row r="196">
          <cell r="B196">
            <v>38077</v>
          </cell>
          <cell r="C196">
            <v>3</v>
          </cell>
          <cell r="D196">
            <v>31</v>
          </cell>
          <cell r="E196">
            <v>182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109689.36632</v>
          </cell>
          <cell r="K196">
            <v>100288.01723</v>
          </cell>
          <cell r="L196">
            <v>0</v>
          </cell>
          <cell r="M196">
            <v>115956.76991999999</v>
          </cell>
          <cell r="N196">
            <v>0</v>
          </cell>
          <cell r="O196">
            <v>0</v>
          </cell>
          <cell r="P196">
            <v>0</v>
          </cell>
        </row>
        <row r="197">
          <cell r="B197">
            <v>38078</v>
          </cell>
          <cell r="C197">
            <v>4</v>
          </cell>
          <cell r="D197">
            <v>1</v>
          </cell>
          <cell r="E197">
            <v>183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105182.83070000001</v>
          </cell>
          <cell r="K197">
            <v>51426.488999999994</v>
          </cell>
          <cell r="L197">
            <v>326619.46000000002</v>
          </cell>
          <cell r="M197">
            <v>71717.724409999995</v>
          </cell>
          <cell r="N197">
            <v>0</v>
          </cell>
          <cell r="O197">
            <v>0</v>
          </cell>
          <cell r="P197">
            <v>0</v>
          </cell>
        </row>
        <row r="198">
          <cell r="B198">
            <v>38079</v>
          </cell>
          <cell r="C198">
            <v>4</v>
          </cell>
          <cell r="D198">
            <v>2</v>
          </cell>
          <cell r="E198">
            <v>184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62165.596729999997</v>
          </cell>
          <cell r="L198">
            <v>80972.822700000004</v>
          </cell>
          <cell r="M198">
            <v>47592.17452</v>
          </cell>
          <cell r="N198">
            <v>0</v>
          </cell>
          <cell r="O198">
            <v>0</v>
          </cell>
          <cell r="P198">
            <v>0</v>
          </cell>
        </row>
        <row r="199">
          <cell r="B199">
            <v>38080</v>
          </cell>
          <cell r="C199">
            <v>4</v>
          </cell>
          <cell r="D199">
            <v>3</v>
          </cell>
          <cell r="E199">
            <v>185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795.45999999999992</v>
          </cell>
          <cell r="L199">
            <v>0</v>
          </cell>
          <cell r="M199">
            <v>2199.35</v>
          </cell>
          <cell r="N199">
            <v>0</v>
          </cell>
          <cell r="O199">
            <v>0</v>
          </cell>
          <cell r="P199">
            <v>0</v>
          </cell>
        </row>
        <row r="200">
          <cell r="B200">
            <v>38081</v>
          </cell>
          <cell r="C200">
            <v>4</v>
          </cell>
          <cell r="D200">
            <v>4</v>
          </cell>
          <cell r="E200">
            <v>186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66611.0484</v>
          </cell>
          <cell r="K200">
            <v>21121.053919999998</v>
          </cell>
          <cell r="L200">
            <v>0</v>
          </cell>
          <cell r="M200">
            <v>92985.438909999997</v>
          </cell>
          <cell r="N200">
            <v>0</v>
          </cell>
          <cell r="O200">
            <v>0</v>
          </cell>
          <cell r="P200">
            <v>0</v>
          </cell>
        </row>
        <row r="201">
          <cell r="B201">
            <v>38082</v>
          </cell>
          <cell r="C201">
            <v>4</v>
          </cell>
          <cell r="D201">
            <v>5</v>
          </cell>
          <cell r="E201">
            <v>187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19653.852559999999</v>
          </cell>
          <cell r="K201">
            <v>62165.596729999997</v>
          </cell>
          <cell r="L201">
            <v>326619.46000000002</v>
          </cell>
          <cell r="M201">
            <v>47592.17452</v>
          </cell>
          <cell r="N201">
            <v>0</v>
          </cell>
          <cell r="O201">
            <v>0</v>
          </cell>
          <cell r="P201">
            <v>0</v>
          </cell>
        </row>
        <row r="202">
          <cell r="B202">
            <v>38083</v>
          </cell>
          <cell r="C202">
            <v>4</v>
          </cell>
          <cell r="D202">
            <v>6</v>
          </cell>
          <cell r="E202">
            <v>188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15943.438900000001</v>
          </cell>
          <cell r="K202">
            <v>62165.596729999997</v>
          </cell>
          <cell r="L202">
            <v>398.89964000000003</v>
          </cell>
          <cell r="M202">
            <v>47592.17452</v>
          </cell>
          <cell r="N202">
            <v>0</v>
          </cell>
          <cell r="O202">
            <v>0</v>
          </cell>
          <cell r="P202">
            <v>0</v>
          </cell>
        </row>
        <row r="203">
          <cell r="B203">
            <v>38084</v>
          </cell>
          <cell r="C203">
            <v>4</v>
          </cell>
          <cell r="D203">
            <v>7</v>
          </cell>
          <cell r="E203">
            <v>189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62165.596729999997</v>
          </cell>
          <cell r="L203">
            <v>0</v>
          </cell>
          <cell r="M203">
            <v>47592.17452</v>
          </cell>
          <cell r="N203">
            <v>0</v>
          </cell>
          <cell r="O203">
            <v>0</v>
          </cell>
          <cell r="P203">
            <v>0</v>
          </cell>
        </row>
        <row r="204">
          <cell r="B204">
            <v>38085</v>
          </cell>
          <cell r="C204">
            <v>4</v>
          </cell>
          <cell r="D204">
            <v>8</v>
          </cell>
          <cell r="E204">
            <v>190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795.45999999999992</v>
          </cell>
          <cell r="L204">
            <v>0</v>
          </cell>
          <cell r="M204">
            <v>47592.17452</v>
          </cell>
          <cell r="N204">
            <v>0</v>
          </cell>
          <cell r="O204">
            <v>0</v>
          </cell>
          <cell r="P204">
            <v>0</v>
          </cell>
        </row>
        <row r="205">
          <cell r="B205">
            <v>38086</v>
          </cell>
          <cell r="C205">
            <v>4</v>
          </cell>
          <cell r="D205">
            <v>9</v>
          </cell>
          <cell r="E205">
            <v>191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795.45999999999992</v>
          </cell>
          <cell r="L205">
            <v>0</v>
          </cell>
          <cell r="M205">
            <v>47592.17452</v>
          </cell>
          <cell r="N205">
            <v>0</v>
          </cell>
          <cell r="O205">
            <v>0</v>
          </cell>
          <cell r="P205">
            <v>0</v>
          </cell>
        </row>
        <row r="206">
          <cell r="B206">
            <v>38087</v>
          </cell>
          <cell r="C206">
            <v>4</v>
          </cell>
          <cell r="D206">
            <v>10</v>
          </cell>
          <cell r="E206">
            <v>192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795.45999999999992</v>
          </cell>
          <cell r="L206">
            <v>0</v>
          </cell>
          <cell r="M206">
            <v>2199.35</v>
          </cell>
          <cell r="N206">
            <v>0</v>
          </cell>
          <cell r="O206">
            <v>0</v>
          </cell>
          <cell r="P206">
            <v>0</v>
          </cell>
        </row>
        <row r="207">
          <cell r="B207">
            <v>38088</v>
          </cell>
          <cell r="C207">
            <v>4</v>
          </cell>
          <cell r="D207">
            <v>11</v>
          </cell>
          <cell r="E207">
            <v>193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795.45999999999992</v>
          </cell>
          <cell r="L207">
            <v>0</v>
          </cell>
          <cell r="M207">
            <v>2199.35</v>
          </cell>
          <cell r="N207">
            <v>0</v>
          </cell>
          <cell r="O207">
            <v>0</v>
          </cell>
          <cell r="P207">
            <v>0</v>
          </cell>
        </row>
        <row r="208">
          <cell r="B208">
            <v>38089</v>
          </cell>
          <cell r="C208">
            <v>4</v>
          </cell>
          <cell r="D208">
            <v>12</v>
          </cell>
          <cell r="E208">
            <v>194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795.45999999999992</v>
          </cell>
          <cell r="L208">
            <v>0</v>
          </cell>
          <cell r="M208">
            <v>110807.21183</v>
          </cell>
          <cell r="N208">
            <v>0</v>
          </cell>
          <cell r="O208">
            <v>0</v>
          </cell>
          <cell r="P208">
            <v>0</v>
          </cell>
        </row>
        <row r="209">
          <cell r="B209">
            <v>38090</v>
          </cell>
          <cell r="C209">
            <v>4</v>
          </cell>
          <cell r="D209">
            <v>13</v>
          </cell>
          <cell r="E209">
            <v>195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795.45999999999992</v>
          </cell>
          <cell r="L209">
            <v>0</v>
          </cell>
          <cell r="M209">
            <v>75164.105859999996</v>
          </cell>
          <cell r="N209">
            <v>0</v>
          </cell>
          <cell r="O209">
            <v>0</v>
          </cell>
          <cell r="P209">
            <v>0</v>
          </cell>
        </row>
        <row r="210">
          <cell r="B210">
            <v>38091</v>
          </cell>
          <cell r="C210">
            <v>4</v>
          </cell>
          <cell r="D210">
            <v>14</v>
          </cell>
          <cell r="E210">
            <v>196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795.45999999999992</v>
          </cell>
          <cell r="L210">
            <v>0</v>
          </cell>
          <cell r="M210">
            <v>47592.17452</v>
          </cell>
          <cell r="N210">
            <v>0</v>
          </cell>
          <cell r="O210">
            <v>0</v>
          </cell>
          <cell r="P210">
            <v>0</v>
          </cell>
        </row>
        <row r="211">
          <cell r="B211">
            <v>38092</v>
          </cell>
          <cell r="C211">
            <v>4</v>
          </cell>
          <cell r="D211">
            <v>15</v>
          </cell>
          <cell r="E211">
            <v>197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795.45999999999992</v>
          </cell>
          <cell r="L211">
            <v>0</v>
          </cell>
          <cell r="M211">
            <v>47592.614389999995</v>
          </cell>
          <cell r="N211">
            <v>0</v>
          </cell>
          <cell r="O211">
            <v>0</v>
          </cell>
          <cell r="P211">
            <v>0</v>
          </cell>
        </row>
        <row r="212">
          <cell r="B212">
            <v>38093</v>
          </cell>
          <cell r="C212">
            <v>4</v>
          </cell>
          <cell r="D212">
            <v>16</v>
          </cell>
          <cell r="E212">
            <v>198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795.45999999999992</v>
          </cell>
          <cell r="L212">
            <v>0</v>
          </cell>
          <cell r="M212">
            <v>2199.35</v>
          </cell>
          <cell r="N212">
            <v>0</v>
          </cell>
          <cell r="O212">
            <v>0</v>
          </cell>
          <cell r="P212">
            <v>0</v>
          </cell>
        </row>
        <row r="213">
          <cell r="B213">
            <v>38094</v>
          </cell>
          <cell r="C213">
            <v>4</v>
          </cell>
          <cell r="D213">
            <v>17</v>
          </cell>
          <cell r="E213">
            <v>199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795.45999999999992</v>
          </cell>
          <cell r="L213">
            <v>0</v>
          </cell>
          <cell r="M213">
            <v>2199.35</v>
          </cell>
          <cell r="N213">
            <v>0</v>
          </cell>
          <cell r="O213">
            <v>0</v>
          </cell>
          <cell r="P213">
            <v>0</v>
          </cell>
        </row>
        <row r="214">
          <cell r="B214">
            <v>38095</v>
          </cell>
          <cell r="C214">
            <v>4</v>
          </cell>
          <cell r="D214">
            <v>18</v>
          </cell>
          <cell r="E214">
            <v>200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795.45999999999992</v>
          </cell>
          <cell r="L214">
            <v>0</v>
          </cell>
          <cell r="M214">
            <v>2199.35</v>
          </cell>
          <cell r="N214">
            <v>0</v>
          </cell>
          <cell r="O214">
            <v>0</v>
          </cell>
          <cell r="P214">
            <v>0</v>
          </cell>
        </row>
        <row r="215">
          <cell r="B215">
            <v>38096</v>
          </cell>
          <cell r="C215">
            <v>4</v>
          </cell>
          <cell r="D215">
            <v>19</v>
          </cell>
          <cell r="E215">
            <v>201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795.45999999999992</v>
          </cell>
          <cell r="L215">
            <v>0</v>
          </cell>
          <cell r="M215">
            <v>2199.35</v>
          </cell>
          <cell r="N215">
            <v>0</v>
          </cell>
          <cell r="O215">
            <v>0</v>
          </cell>
          <cell r="P215">
            <v>0</v>
          </cell>
        </row>
        <row r="216">
          <cell r="B216">
            <v>38097</v>
          </cell>
          <cell r="C216">
            <v>4</v>
          </cell>
          <cell r="D216">
            <v>20</v>
          </cell>
          <cell r="E216">
            <v>202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795.45999999999992</v>
          </cell>
          <cell r="L216">
            <v>0</v>
          </cell>
          <cell r="M216">
            <v>2199.35</v>
          </cell>
          <cell r="N216">
            <v>0</v>
          </cell>
          <cell r="O216">
            <v>0</v>
          </cell>
          <cell r="P216">
            <v>0</v>
          </cell>
        </row>
        <row r="217">
          <cell r="B217">
            <v>38098</v>
          </cell>
          <cell r="C217">
            <v>4</v>
          </cell>
          <cell r="D217">
            <v>21</v>
          </cell>
          <cell r="E217">
            <v>203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795.45999999999992</v>
          </cell>
          <cell r="L217">
            <v>0</v>
          </cell>
          <cell r="M217">
            <v>2199.35</v>
          </cell>
          <cell r="N217">
            <v>0</v>
          </cell>
          <cell r="O217">
            <v>0</v>
          </cell>
          <cell r="P217">
            <v>0</v>
          </cell>
        </row>
        <row r="218">
          <cell r="B218">
            <v>38099</v>
          </cell>
          <cell r="C218">
            <v>4</v>
          </cell>
          <cell r="D218">
            <v>22</v>
          </cell>
          <cell r="E218">
            <v>204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795.45999999999992</v>
          </cell>
          <cell r="L218">
            <v>0</v>
          </cell>
          <cell r="M218">
            <v>2199.35</v>
          </cell>
          <cell r="N218">
            <v>0</v>
          </cell>
          <cell r="O218">
            <v>0</v>
          </cell>
          <cell r="P218">
            <v>0</v>
          </cell>
        </row>
        <row r="219">
          <cell r="B219">
            <v>38100</v>
          </cell>
          <cell r="C219">
            <v>4</v>
          </cell>
          <cell r="D219">
            <v>23</v>
          </cell>
          <cell r="E219">
            <v>205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795.45999999999992</v>
          </cell>
          <cell r="L219">
            <v>0</v>
          </cell>
          <cell r="M219">
            <v>2199.35</v>
          </cell>
          <cell r="N219">
            <v>0</v>
          </cell>
          <cell r="O219">
            <v>0</v>
          </cell>
          <cell r="P219">
            <v>0</v>
          </cell>
        </row>
        <row r="220">
          <cell r="B220">
            <v>38101</v>
          </cell>
          <cell r="C220">
            <v>4</v>
          </cell>
          <cell r="D220">
            <v>24</v>
          </cell>
          <cell r="E220">
            <v>206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795.45999999999992</v>
          </cell>
          <cell r="L220">
            <v>0</v>
          </cell>
          <cell r="M220">
            <v>2199.35</v>
          </cell>
          <cell r="N220">
            <v>0</v>
          </cell>
          <cell r="O220">
            <v>0</v>
          </cell>
          <cell r="P220">
            <v>0</v>
          </cell>
        </row>
        <row r="221">
          <cell r="B221">
            <v>38102</v>
          </cell>
          <cell r="C221">
            <v>4</v>
          </cell>
          <cell r="D221">
            <v>25</v>
          </cell>
          <cell r="E221">
            <v>207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795.45999999999992</v>
          </cell>
          <cell r="L221">
            <v>0</v>
          </cell>
          <cell r="M221">
            <v>2199.35</v>
          </cell>
          <cell r="N221">
            <v>0</v>
          </cell>
          <cell r="O221">
            <v>0</v>
          </cell>
          <cell r="P221">
            <v>0</v>
          </cell>
        </row>
        <row r="222">
          <cell r="B222">
            <v>38103</v>
          </cell>
          <cell r="C222">
            <v>4</v>
          </cell>
          <cell r="D222">
            <v>26</v>
          </cell>
          <cell r="E222">
            <v>208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795.45999999999992</v>
          </cell>
          <cell r="L222">
            <v>0</v>
          </cell>
          <cell r="M222">
            <v>2199.35</v>
          </cell>
          <cell r="N222">
            <v>0</v>
          </cell>
          <cell r="O222">
            <v>0</v>
          </cell>
          <cell r="P222">
            <v>0</v>
          </cell>
        </row>
        <row r="223">
          <cell r="B223">
            <v>38104</v>
          </cell>
          <cell r="C223">
            <v>4</v>
          </cell>
          <cell r="D223">
            <v>27</v>
          </cell>
          <cell r="E223">
            <v>209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795.45999999999992</v>
          </cell>
          <cell r="L223">
            <v>0</v>
          </cell>
          <cell r="M223">
            <v>2199.35</v>
          </cell>
          <cell r="N223">
            <v>0</v>
          </cell>
          <cell r="O223">
            <v>0</v>
          </cell>
          <cell r="P223">
            <v>0</v>
          </cell>
        </row>
        <row r="224">
          <cell r="B224">
            <v>38105</v>
          </cell>
          <cell r="C224">
            <v>4</v>
          </cell>
          <cell r="D224">
            <v>28</v>
          </cell>
          <cell r="E224">
            <v>210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795.45999999999992</v>
          </cell>
          <cell r="L224">
            <v>0</v>
          </cell>
          <cell r="M224">
            <v>2199.35</v>
          </cell>
          <cell r="N224">
            <v>0</v>
          </cell>
          <cell r="O224">
            <v>0</v>
          </cell>
          <cell r="P224">
            <v>0</v>
          </cell>
        </row>
        <row r="225">
          <cell r="B225">
            <v>38106</v>
          </cell>
          <cell r="C225">
            <v>4</v>
          </cell>
          <cell r="D225">
            <v>29</v>
          </cell>
          <cell r="E225">
            <v>211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795.45999999999992</v>
          </cell>
          <cell r="L225">
            <v>0</v>
          </cell>
          <cell r="M225">
            <v>2199.35</v>
          </cell>
          <cell r="N225">
            <v>0</v>
          </cell>
          <cell r="O225">
            <v>0</v>
          </cell>
          <cell r="P225">
            <v>0</v>
          </cell>
        </row>
        <row r="226">
          <cell r="B226">
            <v>38107</v>
          </cell>
          <cell r="C226">
            <v>4</v>
          </cell>
          <cell r="D226">
            <v>30</v>
          </cell>
          <cell r="E226">
            <v>212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795.45999999999992</v>
          </cell>
          <cell r="L226">
            <v>0</v>
          </cell>
          <cell r="M226">
            <v>2199.35</v>
          </cell>
          <cell r="N226">
            <v>0</v>
          </cell>
          <cell r="O226">
            <v>0</v>
          </cell>
          <cell r="P226">
            <v>0</v>
          </cell>
        </row>
        <row r="227">
          <cell r="B227">
            <v>38108</v>
          </cell>
          <cell r="C227">
            <v>5</v>
          </cell>
          <cell r="D227">
            <v>1</v>
          </cell>
          <cell r="E227">
            <v>213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795.45999999999992</v>
          </cell>
          <cell r="L227">
            <v>0</v>
          </cell>
          <cell r="M227">
            <v>2199.35</v>
          </cell>
          <cell r="N227">
            <v>0</v>
          </cell>
          <cell r="O227">
            <v>0</v>
          </cell>
          <cell r="P227">
            <v>0</v>
          </cell>
        </row>
        <row r="228">
          <cell r="B228">
            <v>38109</v>
          </cell>
          <cell r="C228">
            <v>5</v>
          </cell>
          <cell r="D228">
            <v>2</v>
          </cell>
          <cell r="E228">
            <v>214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795.45999999999992</v>
          </cell>
          <cell r="L228">
            <v>0</v>
          </cell>
          <cell r="M228">
            <v>2199.35</v>
          </cell>
          <cell r="N228">
            <v>0</v>
          </cell>
          <cell r="O228">
            <v>0</v>
          </cell>
          <cell r="P228">
            <v>0</v>
          </cell>
        </row>
        <row r="229">
          <cell r="B229">
            <v>38110</v>
          </cell>
          <cell r="C229">
            <v>5</v>
          </cell>
          <cell r="D229">
            <v>3</v>
          </cell>
          <cell r="E229">
            <v>215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795.45999999999992</v>
          </cell>
          <cell r="L229">
            <v>0</v>
          </cell>
          <cell r="M229">
            <v>2199.35</v>
          </cell>
          <cell r="N229">
            <v>0</v>
          </cell>
          <cell r="O229">
            <v>0</v>
          </cell>
          <cell r="P229">
            <v>0</v>
          </cell>
        </row>
        <row r="230">
          <cell r="B230">
            <v>38111</v>
          </cell>
          <cell r="C230">
            <v>5</v>
          </cell>
          <cell r="D230">
            <v>4</v>
          </cell>
          <cell r="E230">
            <v>216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795.45999999999992</v>
          </cell>
          <cell r="L230">
            <v>0</v>
          </cell>
          <cell r="M230">
            <v>2199.35</v>
          </cell>
          <cell r="N230">
            <v>0</v>
          </cell>
          <cell r="O230">
            <v>0</v>
          </cell>
          <cell r="P230">
            <v>0</v>
          </cell>
        </row>
        <row r="231">
          <cell r="B231">
            <v>38112</v>
          </cell>
          <cell r="C231">
            <v>5</v>
          </cell>
          <cell r="D231">
            <v>5</v>
          </cell>
          <cell r="E231">
            <v>217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795.45999999999992</v>
          </cell>
          <cell r="L231">
            <v>0</v>
          </cell>
          <cell r="M231">
            <v>2199.35</v>
          </cell>
          <cell r="N231">
            <v>0</v>
          </cell>
          <cell r="O231">
            <v>0</v>
          </cell>
          <cell r="P231">
            <v>0</v>
          </cell>
        </row>
        <row r="232">
          <cell r="B232">
            <v>38113</v>
          </cell>
          <cell r="C232">
            <v>5</v>
          </cell>
          <cell r="D232">
            <v>6</v>
          </cell>
          <cell r="E232">
            <v>218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795.45999999999992</v>
          </cell>
          <cell r="L232">
            <v>0</v>
          </cell>
          <cell r="M232">
            <v>2199.35</v>
          </cell>
          <cell r="N232">
            <v>0</v>
          </cell>
          <cell r="O232">
            <v>0</v>
          </cell>
          <cell r="P232">
            <v>0</v>
          </cell>
        </row>
        <row r="233">
          <cell r="B233">
            <v>38114</v>
          </cell>
          <cell r="C233">
            <v>5</v>
          </cell>
          <cell r="D233">
            <v>7</v>
          </cell>
          <cell r="E233">
            <v>219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795.45999999999992</v>
          </cell>
          <cell r="L233">
            <v>0</v>
          </cell>
          <cell r="M233">
            <v>2199.35</v>
          </cell>
          <cell r="N233">
            <v>0</v>
          </cell>
          <cell r="O233">
            <v>0</v>
          </cell>
          <cell r="P233">
            <v>0</v>
          </cell>
        </row>
        <row r="234">
          <cell r="B234">
            <v>38115</v>
          </cell>
          <cell r="C234">
            <v>5</v>
          </cell>
          <cell r="D234">
            <v>8</v>
          </cell>
          <cell r="E234">
            <v>220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795.45999999999992</v>
          </cell>
          <cell r="L234">
            <v>0</v>
          </cell>
          <cell r="M234">
            <v>2199.35</v>
          </cell>
          <cell r="N234">
            <v>0</v>
          </cell>
          <cell r="O234">
            <v>0</v>
          </cell>
          <cell r="P234">
            <v>0</v>
          </cell>
        </row>
        <row r="235">
          <cell r="B235">
            <v>38116</v>
          </cell>
          <cell r="C235">
            <v>5</v>
          </cell>
          <cell r="D235">
            <v>9</v>
          </cell>
          <cell r="E235">
            <v>221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795.45999999999992</v>
          </cell>
          <cell r="L235">
            <v>0</v>
          </cell>
          <cell r="M235">
            <v>2199.35</v>
          </cell>
          <cell r="N235">
            <v>0</v>
          </cell>
          <cell r="O235">
            <v>0</v>
          </cell>
          <cell r="P235">
            <v>0</v>
          </cell>
        </row>
        <row r="236">
          <cell r="B236">
            <v>38117</v>
          </cell>
          <cell r="C236">
            <v>5</v>
          </cell>
          <cell r="D236">
            <v>10</v>
          </cell>
          <cell r="E236">
            <v>222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795.45999999999992</v>
          </cell>
          <cell r="L236">
            <v>0</v>
          </cell>
          <cell r="M236">
            <v>2199.35</v>
          </cell>
          <cell r="N236">
            <v>0</v>
          </cell>
          <cell r="O236">
            <v>0</v>
          </cell>
          <cell r="P236">
            <v>0</v>
          </cell>
        </row>
        <row r="237">
          <cell r="B237">
            <v>38118</v>
          </cell>
          <cell r="C237">
            <v>5</v>
          </cell>
          <cell r="D237">
            <v>11</v>
          </cell>
          <cell r="E237">
            <v>223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795.45999999999992</v>
          </cell>
          <cell r="L237">
            <v>0</v>
          </cell>
          <cell r="M237">
            <v>2199.35</v>
          </cell>
          <cell r="N237">
            <v>0</v>
          </cell>
          <cell r="O237">
            <v>0</v>
          </cell>
          <cell r="P237">
            <v>0</v>
          </cell>
        </row>
        <row r="238">
          <cell r="B238">
            <v>38119</v>
          </cell>
          <cell r="C238">
            <v>5</v>
          </cell>
          <cell r="D238">
            <v>12</v>
          </cell>
          <cell r="E238">
            <v>224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795.45999999999992</v>
          </cell>
          <cell r="L238">
            <v>0</v>
          </cell>
          <cell r="M238">
            <v>2199.35</v>
          </cell>
          <cell r="N238">
            <v>0</v>
          </cell>
          <cell r="O238">
            <v>0</v>
          </cell>
          <cell r="P238">
            <v>0</v>
          </cell>
        </row>
        <row r="239">
          <cell r="B239">
            <v>38120</v>
          </cell>
          <cell r="C239">
            <v>5</v>
          </cell>
          <cell r="D239">
            <v>13</v>
          </cell>
          <cell r="E239">
            <v>225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795.45999999999992</v>
          </cell>
          <cell r="L239">
            <v>0</v>
          </cell>
          <cell r="M239">
            <v>2199.35</v>
          </cell>
          <cell r="N239">
            <v>0</v>
          </cell>
          <cell r="O239">
            <v>0</v>
          </cell>
          <cell r="P239">
            <v>0</v>
          </cell>
        </row>
        <row r="240">
          <cell r="B240">
            <v>38121</v>
          </cell>
          <cell r="C240">
            <v>5</v>
          </cell>
          <cell r="D240">
            <v>14</v>
          </cell>
          <cell r="E240">
            <v>226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795.45999999999992</v>
          </cell>
          <cell r="L240">
            <v>0</v>
          </cell>
          <cell r="M240">
            <v>2199.35</v>
          </cell>
          <cell r="N240">
            <v>0</v>
          </cell>
          <cell r="O240">
            <v>0</v>
          </cell>
          <cell r="P240">
            <v>0</v>
          </cell>
        </row>
        <row r="241">
          <cell r="B241">
            <v>38122</v>
          </cell>
          <cell r="C241">
            <v>5</v>
          </cell>
          <cell r="D241">
            <v>15</v>
          </cell>
          <cell r="E241">
            <v>227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795.45999999999992</v>
          </cell>
          <cell r="L241">
            <v>0</v>
          </cell>
          <cell r="M241">
            <v>2199.35</v>
          </cell>
          <cell r="N241">
            <v>0</v>
          </cell>
          <cell r="O241">
            <v>0</v>
          </cell>
          <cell r="P241">
            <v>0</v>
          </cell>
        </row>
        <row r="242">
          <cell r="B242">
            <v>38123</v>
          </cell>
          <cell r="C242">
            <v>5</v>
          </cell>
          <cell r="D242">
            <v>16</v>
          </cell>
          <cell r="E242">
            <v>228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795.45999999999992</v>
          </cell>
          <cell r="L242">
            <v>0</v>
          </cell>
          <cell r="M242">
            <v>2199.35</v>
          </cell>
          <cell r="N242">
            <v>0</v>
          </cell>
          <cell r="O242">
            <v>0</v>
          </cell>
          <cell r="P242">
            <v>0</v>
          </cell>
        </row>
        <row r="243">
          <cell r="B243">
            <v>38124</v>
          </cell>
          <cell r="C243">
            <v>5</v>
          </cell>
          <cell r="D243">
            <v>17</v>
          </cell>
          <cell r="E243">
            <v>229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795.45999999999992</v>
          </cell>
          <cell r="L243">
            <v>0</v>
          </cell>
          <cell r="M243">
            <v>2199.35</v>
          </cell>
          <cell r="N243">
            <v>0</v>
          </cell>
          <cell r="O243">
            <v>0</v>
          </cell>
          <cell r="P243">
            <v>0</v>
          </cell>
        </row>
        <row r="244">
          <cell r="B244">
            <v>38125</v>
          </cell>
          <cell r="C244">
            <v>5</v>
          </cell>
          <cell r="D244">
            <v>18</v>
          </cell>
          <cell r="E244">
            <v>230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795.45999999999992</v>
          </cell>
          <cell r="L244">
            <v>0</v>
          </cell>
          <cell r="M244">
            <v>2199.35</v>
          </cell>
          <cell r="N244">
            <v>0</v>
          </cell>
          <cell r="O244">
            <v>0</v>
          </cell>
          <cell r="P244">
            <v>0</v>
          </cell>
        </row>
        <row r="245">
          <cell r="B245">
            <v>38126</v>
          </cell>
          <cell r="C245">
            <v>5</v>
          </cell>
          <cell r="D245">
            <v>19</v>
          </cell>
          <cell r="E245">
            <v>231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795.45999999999992</v>
          </cell>
          <cell r="L245">
            <v>0</v>
          </cell>
          <cell r="M245">
            <v>2199.35</v>
          </cell>
          <cell r="N245">
            <v>0</v>
          </cell>
          <cell r="O245">
            <v>0</v>
          </cell>
          <cell r="P245">
            <v>0</v>
          </cell>
        </row>
        <row r="246">
          <cell r="B246">
            <v>38127</v>
          </cell>
          <cell r="C246">
            <v>5</v>
          </cell>
          <cell r="D246">
            <v>20</v>
          </cell>
          <cell r="E246">
            <v>232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795.45999999999992</v>
          </cell>
          <cell r="L246">
            <v>0</v>
          </cell>
          <cell r="M246">
            <v>2199.35</v>
          </cell>
          <cell r="N246">
            <v>0</v>
          </cell>
          <cell r="O246">
            <v>0</v>
          </cell>
          <cell r="P246">
            <v>0</v>
          </cell>
        </row>
        <row r="247">
          <cell r="B247">
            <v>38128</v>
          </cell>
          <cell r="C247">
            <v>5</v>
          </cell>
          <cell r="D247">
            <v>21</v>
          </cell>
          <cell r="E247">
            <v>233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795.45999999999992</v>
          </cell>
          <cell r="L247">
            <v>0</v>
          </cell>
          <cell r="M247">
            <v>2199.35</v>
          </cell>
          <cell r="N247">
            <v>0</v>
          </cell>
          <cell r="O247">
            <v>0</v>
          </cell>
          <cell r="P247">
            <v>0</v>
          </cell>
        </row>
        <row r="248">
          <cell r="B248">
            <v>38129</v>
          </cell>
          <cell r="C248">
            <v>5</v>
          </cell>
          <cell r="D248">
            <v>22</v>
          </cell>
          <cell r="E248">
            <v>234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795.45999999999992</v>
          </cell>
          <cell r="L248">
            <v>0</v>
          </cell>
          <cell r="M248">
            <v>2199.35</v>
          </cell>
          <cell r="N248">
            <v>0</v>
          </cell>
          <cell r="O248">
            <v>0</v>
          </cell>
          <cell r="P248">
            <v>0</v>
          </cell>
        </row>
        <row r="249">
          <cell r="B249">
            <v>38130</v>
          </cell>
          <cell r="C249">
            <v>5</v>
          </cell>
          <cell r="D249">
            <v>23</v>
          </cell>
          <cell r="E249">
            <v>235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795.45999999999992</v>
          </cell>
          <cell r="L249">
            <v>0</v>
          </cell>
          <cell r="M249">
            <v>2199.35</v>
          </cell>
          <cell r="N249">
            <v>0</v>
          </cell>
          <cell r="O249">
            <v>0</v>
          </cell>
          <cell r="P249">
            <v>0</v>
          </cell>
        </row>
        <row r="250">
          <cell r="B250">
            <v>38131</v>
          </cell>
          <cell r="C250">
            <v>5</v>
          </cell>
          <cell r="D250">
            <v>24</v>
          </cell>
          <cell r="E250">
            <v>236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795.45999999999992</v>
          </cell>
          <cell r="L250">
            <v>0</v>
          </cell>
          <cell r="M250">
            <v>2199.35</v>
          </cell>
          <cell r="N250">
            <v>0</v>
          </cell>
          <cell r="O250">
            <v>0</v>
          </cell>
          <cell r="P250">
            <v>0</v>
          </cell>
        </row>
        <row r="251">
          <cell r="B251">
            <v>38132</v>
          </cell>
          <cell r="C251">
            <v>5</v>
          </cell>
          <cell r="D251">
            <v>25</v>
          </cell>
          <cell r="E251">
            <v>237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795.45999999999992</v>
          </cell>
          <cell r="L251">
            <v>0</v>
          </cell>
          <cell r="M251">
            <v>2199.35</v>
          </cell>
          <cell r="N251">
            <v>0</v>
          </cell>
          <cell r="O251">
            <v>0</v>
          </cell>
          <cell r="P251">
            <v>0</v>
          </cell>
        </row>
        <row r="252">
          <cell r="B252">
            <v>38133</v>
          </cell>
          <cell r="C252">
            <v>5</v>
          </cell>
          <cell r="D252">
            <v>26</v>
          </cell>
          <cell r="E252">
            <v>238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795.45999999999992</v>
          </cell>
          <cell r="L252">
            <v>0</v>
          </cell>
          <cell r="M252">
            <v>2199.35</v>
          </cell>
          <cell r="N252">
            <v>0</v>
          </cell>
          <cell r="O252">
            <v>0</v>
          </cell>
          <cell r="P252">
            <v>0</v>
          </cell>
        </row>
        <row r="253">
          <cell r="B253">
            <v>38134</v>
          </cell>
          <cell r="C253">
            <v>5</v>
          </cell>
          <cell r="D253">
            <v>27</v>
          </cell>
          <cell r="E253">
            <v>239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795.45999999999992</v>
          </cell>
          <cell r="L253">
            <v>0</v>
          </cell>
          <cell r="M253">
            <v>2199.35</v>
          </cell>
          <cell r="N253">
            <v>0</v>
          </cell>
          <cell r="O253">
            <v>0</v>
          </cell>
          <cell r="P253">
            <v>0</v>
          </cell>
        </row>
        <row r="254">
          <cell r="B254">
            <v>38135</v>
          </cell>
          <cell r="C254">
            <v>5</v>
          </cell>
          <cell r="D254">
            <v>28</v>
          </cell>
          <cell r="E254">
            <v>240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795.45999999999992</v>
          </cell>
          <cell r="L254">
            <v>0</v>
          </cell>
          <cell r="M254">
            <v>2199.35</v>
          </cell>
          <cell r="N254">
            <v>0</v>
          </cell>
          <cell r="O254">
            <v>0</v>
          </cell>
          <cell r="P254">
            <v>0</v>
          </cell>
        </row>
        <row r="255">
          <cell r="B255">
            <v>38136</v>
          </cell>
          <cell r="C255">
            <v>5</v>
          </cell>
          <cell r="D255">
            <v>29</v>
          </cell>
          <cell r="E255">
            <v>241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795.45999999999992</v>
          </cell>
          <cell r="L255">
            <v>0</v>
          </cell>
          <cell r="M255">
            <v>2199.35</v>
          </cell>
          <cell r="N255">
            <v>0</v>
          </cell>
          <cell r="O255">
            <v>0</v>
          </cell>
          <cell r="P255">
            <v>0</v>
          </cell>
        </row>
        <row r="256">
          <cell r="B256">
            <v>38137</v>
          </cell>
          <cell r="C256">
            <v>5</v>
          </cell>
          <cell r="D256">
            <v>30</v>
          </cell>
          <cell r="E256">
            <v>242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795.45999999999992</v>
          </cell>
          <cell r="L256">
            <v>0</v>
          </cell>
          <cell r="M256">
            <v>2199.35</v>
          </cell>
          <cell r="N256">
            <v>0</v>
          </cell>
          <cell r="O256">
            <v>0</v>
          </cell>
          <cell r="P256">
            <v>0</v>
          </cell>
        </row>
        <row r="257">
          <cell r="B257">
            <v>38138</v>
          </cell>
          <cell r="C257">
            <v>5</v>
          </cell>
          <cell r="D257">
            <v>31</v>
          </cell>
          <cell r="E257">
            <v>243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795.45999999999992</v>
          </cell>
          <cell r="L257">
            <v>0</v>
          </cell>
          <cell r="M257">
            <v>2199.35</v>
          </cell>
          <cell r="N257">
            <v>0</v>
          </cell>
          <cell r="O257">
            <v>0</v>
          </cell>
          <cell r="P257">
            <v>0</v>
          </cell>
        </row>
        <row r="258">
          <cell r="B258">
            <v>38139</v>
          </cell>
          <cell r="C258">
            <v>6</v>
          </cell>
          <cell r="D258">
            <v>1</v>
          </cell>
          <cell r="E258">
            <v>244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795.45999999999992</v>
          </cell>
          <cell r="L258">
            <v>0</v>
          </cell>
          <cell r="M258">
            <v>2199.35</v>
          </cell>
          <cell r="N258">
            <v>0</v>
          </cell>
          <cell r="O258">
            <v>0</v>
          </cell>
          <cell r="P258">
            <v>0</v>
          </cell>
        </row>
        <row r="259">
          <cell r="B259">
            <v>38140</v>
          </cell>
          <cell r="C259">
            <v>6</v>
          </cell>
          <cell r="D259">
            <v>2</v>
          </cell>
          <cell r="E259">
            <v>245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795.45999999999992</v>
          </cell>
          <cell r="L259">
            <v>0</v>
          </cell>
          <cell r="M259">
            <v>2199.35</v>
          </cell>
          <cell r="N259">
            <v>0</v>
          </cell>
          <cell r="O259">
            <v>0</v>
          </cell>
          <cell r="P259">
            <v>0</v>
          </cell>
        </row>
        <row r="260">
          <cell r="B260">
            <v>38141</v>
          </cell>
          <cell r="C260">
            <v>6</v>
          </cell>
          <cell r="D260">
            <v>3</v>
          </cell>
          <cell r="E260">
            <v>246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795.45999999999992</v>
          </cell>
          <cell r="L260">
            <v>0</v>
          </cell>
          <cell r="M260">
            <v>2199.35</v>
          </cell>
          <cell r="N260">
            <v>0</v>
          </cell>
          <cell r="O260">
            <v>0</v>
          </cell>
          <cell r="P260">
            <v>0</v>
          </cell>
        </row>
        <row r="261">
          <cell r="B261">
            <v>38142</v>
          </cell>
          <cell r="C261">
            <v>6</v>
          </cell>
          <cell r="D261">
            <v>4</v>
          </cell>
          <cell r="E261">
            <v>247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795.45999999999992</v>
          </cell>
          <cell r="L261">
            <v>0</v>
          </cell>
          <cell r="M261">
            <v>2199.35</v>
          </cell>
          <cell r="N261">
            <v>0</v>
          </cell>
          <cell r="O261">
            <v>0</v>
          </cell>
          <cell r="P261">
            <v>0</v>
          </cell>
        </row>
        <row r="262">
          <cell r="B262">
            <v>38143</v>
          </cell>
          <cell r="C262">
            <v>6</v>
          </cell>
          <cell r="D262">
            <v>5</v>
          </cell>
          <cell r="E262">
            <v>248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795.45999999999992</v>
          </cell>
          <cell r="L262">
            <v>0</v>
          </cell>
          <cell r="M262">
            <v>2199.35</v>
          </cell>
          <cell r="N262">
            <v>0</v>
          </cell>
          <cell r="O262">
            <v>0</v>
          </cell>
          <cell r="P262">
            <v>0</v>
          </cell>
        </row>
        <row r="263">
          <cell r="B263">
            <v>38144</v>
          </cell>
          <cell r="C263">
            <v>6</v>
          </cell>
          <cell r="D263">
            <v>6</v>
          </cell>
          <cell r="E263">
            <v>249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795.45999999999992</v>
          </cell>
          <cell r="L263">
            <v>0</v>
          </cell>
          <cell r="M263">
            <v>2199.35</v>
          </cell>
          <cell r="N263">
            <v>0</v>
          </cell>
          <cell r="O263">
            <v>0</v>
          </cell>
          <cell r="P263">
            <v>0</v>
          </cell>
        </row>
        <row r="264">
          <cell r="B264">
            <v>38145</v>
          </cell>
          <cell r="C264">
            <v>6</v>
          </cell>
          <cell r="D264">
            <v>7</v>
          </cell>
          <cell r="E264">
            <v>250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795.45999999999992</v>
          </cell>
          <cell r="L264">
            <v>0</v>
          </cell>
          <cell r="M264">
            <v>2199.35</v>
          </cell>
          <cell r="N264">
            <v>0</v>
          </cell>
          <cell r="O264">
            <v>0</v>
          </cell>
          <cell r="P264">
            <v>0</v>
          </cell>
        </row>
        <row r="265">
          <cell r="B265">
            <v>38146</v>
          </cell>
          <cell r="C265">
            <v>6</v>
          </cell>
          <cell r="D265">
            <v>8</v>
          </cell>
          <cell r="E265">
            <v>251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795.45999999999992</v>
          </cell>
          <cell r="L265">
            <v>0</v>
          </cell>
          <cell r="M265">
            <v>2199.35</v>
          </cell>
          <cell r="N265">
            <v>0</v>
          </cell>
          <cell r="O265">
            <v>0</v>
          </cell>
          <cell r="P265">
            <v>0</v>
          </cell>
        </row>
        <row r="266">
          <cell r="B266">
            <v>38147</v>
          </cell>
          <cell r="C266">
            <v>6</v>
          </cell>
          <cell r="D266">
            <v>9</v>
          </cell>
          <cell r="E266">
            <v>252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795.45999999999992</v>
          </cell>
          <cell r="L266">
            <v>0</v>
          </cell>
          <cell r="M266">
            <v>2199.35</v>
          </cell>
          <cell r="N266">
            <v>0</v>
          </cell>
          <cell r="O266">
            <v>0</v>
          </cell>
          <cell r="P266">
            <v>0</v>
          </cell>
        </row>
        <row r="267">
          <cell r="B267">
            <v>38148</v>
          </cell>
          <cell r="C267">
            <v>6</v>
          </cell>
          <cell r="D267">
            <v>10</v>
          </cell>
          <cell r="E267">
            <v>253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795.45999999999992</v>
          </cell>
          <cell r="L267">
            <v>0</v>
          </cell>
          <cell r="M267">
            <v>2199.35</v>
          </cell>
          <cell r="N267">
            <v>0</v>
          </cell>
          <cell r="O267">
            <v>0</v>
          </cell>
          <cell r="P267">
            <v>0</v>
          </cell>
        </row>
        <row r="268">
          <cell r="B268">
            <v>38149</v>
          </cell>
          <cell r="C268">
            <v>6</v>
          </cell>
          <cell r="D268">
            <v>11</v>
          </cell>
          <cell r="E268">
            <v>254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795.45999999999992</v>
          </cell>
          <cell r="L268">
            <v>0</v>
          </cell>
          <cell r="M268">
            <v>2199.35</v>
          </cell>
          <cell r="N268">
            <v>0</v>
          </cell>
          <cell r="O268">
            <v>0</v>
          </cell>
          <cell r="P268">
            <v>0</v>
          </cell>
        </row>
        <row r="269">
          <cell r="B269">
            <v>38150</v>
          </cell>
          <cell r="C269">
            <v>6</v>
          </cell>
          <cell r="D269">
            <v>12</v>
          </cell>
          <cell r="E269">
            <v>255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795.45999999999992</v>
          </cell>
          <cell r="L269">
            <v>0</v>
          </cell>
          <cell r="M269">
            <v>2199.35</v>
          </cell>
          <cell r="N269">
            <v>0</v>
          </cell>
          <cell r="O269">
            <v>0</v>
          </cell>
          <cell r="P269">
            <v>0</v>
          </cell>
        </row>
        <row r="270">
          <cell r="B270">
            <v>38151</v>
          </cell>
          <cell r="C270">
            <v>6</v>
          </cell>
          <cell r="D270">
            <v>13</v>
          </cell>
          <cell r="E270">
            <v>256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795.45999999999992</v>
          </cell>
          <cell r="L270">
            <v>0</v>
          </cell>
          <cell r="M270">
            <v>2199.35</v>
          </cell>
          <cell r="N270">
            <v>0</v>
          </cell>
          <cell r="O270">
            <v>0</v>
          </cell>
          <cell r="P270">
            <v>0</v>
          </cell>
        </row>
        <row r="271">
          <cell r="B271">
            <v>38152</v>
          </cell>
          <cell r="C271">
            <v>6</v>
          </cell>
          <cell r="D271">
            <v>14</v>
          </cell>
          <cell r="E271">
            <v>257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795.45999999999992</v>
          </cell>
          <cell r="L271">
            <v>0</v>
          </cell>
          <cell r="M271">
            <v>2199.35</v>
          </cell>
          <cell r="N271">
            <v>0</v>
          </cell>
          <cell r="O271">
            <v>0</v>
          </cell>
          <cell r="P271">
            <v>0</v>
          </cell>
        </row>
        <row r="272">
          <cell r="B272">
            <v>38153</v>
          </cell>
          <cell r="C272">
            <v>6</v>
          </cell>
          <cell r="D272">
            <v>15</v>
          </cell>
          <cell r="E272">
            <v>258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795.45999999999992</v>
          </cell>
          <cell r="L272">
            <v>0</v>
          </cell>
          <cell r="M272">
            <v>2199.35</v>
          </cell>
          <cell r="N272">
            <v>0</v>
          </cell>
          <cell r="O272">
            <v>0</v>
          </cell>
          <cell r="P272">
            <v>0</v>
          </cell>
        </row>
        <row r="273">
          <cell r="B273">
            <v>38154</v>
          </cell>
          <cell r="C273">
            <v>6</v>
          </cell>
          <cell r="D273">
            <v>16</v>
          </cell>
          <cell r="E273">
            <v>259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795.45999999999992</v>
          </cell>
          <cell r="L273">
            <v>0</v>
          </cell>
          <cell r="M273">
            <v>2199.35</v>
          </cell>
          <cell r="N273">
            <v>0</v>
          </cell>
          <cell r="O273">
            <v>0</v>
          </cell>
          <cell r="P273">
            <v>0</v>
          </cell>
        </row>
        <row r="274">
          <cell r="B274">
            <v>38155</v>
          </cell>
          <cell r="C274">
            <v>6</v>
          </cell>
          <cell r="D274">
            <v>17</v>
          </cell>
          <cell r="E274">
            <v>260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795.45999999999992</v>
          </cell>
          <cell r="L274">
            <v>0</v>
          </cell>
          <cell r="M274">
            <v>2199.35</v>
          </cell>
          <cell r="N274">
            <v>0</v>
          </cell>
          <cell r="O274">
            <v>0</v>
          </cell>
          <cell r="P274">
            <v>0</v>
          </cell>
        </row>
        <row r="275">
          <cell r="B275">
            <v>38156</v>
          </cell>
          <cell r="C275">
            <v>6</v>
          </cell>
          <cell r="D275">
            <v>18</v>
          </cell>
          <cell r="E275">
            <v>261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795.45999999999992</v>
          </cell>
          <cell r="L275">
            <v>0</v>
          </cell>
          <cell r="M275">
            <v>2199.35</v>
          </cell>
          <cell r="N275">
            <v>0</v>
          </cell>
          <cell r="O275">
            <v>0</v>
          </cell>
          <cell r="P275">
            <v>0</v>
          </cell>
        </row>
        <row r="276">
          <cell r="B276">
            <v>38157</v>
          </cell>
          <cell r="C276">
            <v>6</v>
          </cell>
          <cell r="D276">
            <v>19</v>
          </cell>
          <cell r="E276">
            <v>262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795.45999999999992</v>
          </cell>
          <cell r="L276">
            <v>0</v>
          </cell>
          <cell r="M276">
            <v>2199.35</v>
          </cell>
          <cell r="N276">
            <v>0</v>
          </cell>
          <cell r="O276">
            <v>0</v>
          </cell>
          <cell r="P276">
            <v>0</v>
          </cell>
        </row>
        <row r="277">
          <cell r="B277">
            <v>38158</v>
          </cell>
          <cell r="C277">
            <v>6</v>
          </cell>
          <cell r="D277">
            <v>20</v>
          </cell>
          <cell r="E277">
            <v>263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795.45999999999992</v>
          </cell>
          <cell r="L277">
            <v>0</v>
          </cell>
          <cell r="M277">
            <v>2199.35</v>
          </cell>
          <cell r="N277">
            <v>0</v>
          </cell>
          <cell r="O277">
            <v>0</v>
          </cell>
          <cell r="P277">
            <v>0</v>
          </cell>
        </row>
        <row r="278">
          <cell r="B278">
            <v>38159</v>
          </cell>
          <cell r="C278">
            <v>6</v>
          </cell>
          <cell r="D278">
            <v>21</v>
          </cell>
          <cell r="E278">
            <v>264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795.45999999999992</v>
          </cell>
          <cell r="L278">
            <v>0</v>
          </cell>
          <cell r="M278">
            <v>2199.35</v>
          </cell>
          <cell r="N278">
            <v>0</v>
          </cell>
          <cell r="O278">
            <v>0</v>
          </cell>
          <cell r="P278">
            <v>0</v>
          </cell>
        </row>
        <row r="279">
          <cell r="B279">
            <v>38160</v>
          </cell>
          <cell r="C279">
            <v>6</v>
          </cell>
          <cell r="D279">
            <v>22</v>
          </cell>
          <cell r="E279">
            <v>265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795.45999999999992</v>
          </cell>
          <cell r="L279">
            <v>0</v>
          </cell>
          <cell r="M279">
            <v>2199.35</v>
          </cell>
          <cell r="N279">
            <v>0</v>
          </cell>
          <cell r="O279">
            <v>0</v>
          </cell>
          <cell r="P279">
            <v>0</v>
          </cell>
        </row>
        <row r="280">
          <cell r="B280">
            <v>38161</v>
          </cell>
          <cell r="C280">
            <v>6</v>
          </cell>
          <cell r="D280">
            <v>23</v>
          </cell>
          <cell r="E280">
            <v>266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795.45999999999992</v>
          </cell>
          <cell r="L280">
            <v>0</v>
          </cell>
          <cell r="M280">
            <v>2199.35</v>
          </cell>
          <cell r="N280">
            <v>0</v>
          </cell>
          <cell r="O280">
            <v>0</v>
          </cell>
          <cell r="P280">
            <v>0</v>
          </cell>
        </row>
        <row r="281">
          <cell r="B281">
            <v>38162</v>
          </cell>
          <cell r="C281">
            <v>6</v>
          </cell>
          <cell r="D281">
            <v>24</v>
          </cell>
          <cell r="E281">
            <v>267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795.45999999999992</v>
          </cell>
          <cell r="L281">
            <v>0</v>
          </cell>
          <cell r="M281">
            <v>2199.35</v>
          </cell>
          <cell r="N281">
            <v>0</v>
          </cell>
          <cell r="O281">
            <v>0</v>
          </cell>
          <cell r="P281">
            <v>0</v>
          </cell>
        </row>
        <row r="282">
          <cell r="B282">
            <v>38163</v>
          </cell>
          <cell r="C282">
            <v>6</v>
          </cell>
          <cell r="D282">
            <v>25</v>
          </cell>
          <cell r="E282">
            <v>268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795.45999999999992</v>
          </cell>
          <cell r="L282">
            <v>0</v>
          </cell>
          <cell r="M282">
            <v>2199.35</v>
          </cell>
          <cell r="N282">
            <v>0</v>
          </cell>
          <cell r="O282">
            <v>0</v>
          </cell>
          <cell r="P282">
            <v>0</v>
          </cell>
        </row>
        <row r="283">
          <cell r="B283">
            <v>38164</v>
          </cell>
          <cell r="C283">
            <v>6</v>
          </cell>
          <cell r="D283">
            <v>26</v>
          </cell>
          <cell r="E283">
            <v>269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795.45999999999992</v>
          </cell>
          <cell r="L283">
            <v>0</v>
          </cell>
          <cell r="M283">
            <v>2199.35</v>
          </cell>
          <cell r="N283">
            <v>0</v>
          </cell>
          <cell r="O283">
            <v>0</v>
          </cell>
          <cell r="P283">
            <v>0</v>
          </cell>
        </row>
        <row r="284">
          <cell r="B284">
            <v>38165</v>
          </cell>
          <cell r="C284">
            <v>6</v>
          </cell>
          <cell r="D284">
            <v>27</v>
          </cell>
          <cell r="E284">
            <v>270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795.45999999999992</v>
          </cell>
          <cell r="L284">
            <v>0</v>
          </cell>
          <cell r="M284">
            <v>2199.35</v>
          </cell>
          <cell r="N284">
            <v>0</v>
          </cell>
          <cell r="O284">
            <v>0</v>
          </cell>
          <cell r="P284">
            <v>0</v>
          </cell>
        </row>
        <row r="285">
          <cell r="B285">
            <v>38166</v>
          </cell>
          <cell r="C285">
            <v>6</v>
          </cell>
          <cell r="D285">
            <v>28</v>
          </cell>
          <cell r="E285">
            <v>271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795.45999999999992</v>
          </cell>
          <cell r="L285">
            <v>0</v>
          </cell>
          <cell r="M285">
            <v>2199.35</v>
          </cell>
          <cell r="N285">
            <v>0</v>
          </cell>
          <cell r="O285">
            <v>0</v>
          </cell>
          <cell r="P285">
            <v>0</v>
          </cell>
        </row>
        <row r="286">
          <cell r="B286">
            <v>38167</v>
          </cell>
          <cell r="C286">
            <v>6</v>
          </cell>
          <cell r="D286">
            <v>29</v>
          </cell>
          <cell r="E286">
            <v>272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795.45999999999992</v>
          </cell>
          <cell r="L286">
            <v>0</v>
          </cell>
          <cell r="M286">
            <v>2199.35</v>
          </cell>
          <cell r="N286">
            <v>0</v>
          </cell>
          <cell r="O286">
            <v>0</v>
          </cell>
          <cell r="P286">
            <v>0</v>
          </cell>
        </row>
        <row r="287">
          <cell r="B287">
            <v>38168</v>
          </cell>
          <cell r="C287">
            <v>6</v>
          </cell>
          <cell r="D287">
            <v>30</v>
          </cell>
          <cell r="E287">
            <v>273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795.45999999999992</v>
          </cell>
          <cell r="L287">
            <v>0</v>
          </cell>
          <cell r="M287">
            <v>2199.35</v>
          </cell>
          <cell r="N287">
            <v>0</v>
          </cell>
          <cell r="O287">
            <v>0</v>
          </cell>
          <cell r="P287">
            <v>0</v>
          </cell>
        </row>
        <row r="288">
          <cell r="B288">
            <v>38169</v>
          </cell>
          <cell r="C288">
            <v>7</v>
          </cell>
          <cell r="D288">
            <v>1</v>
          </cell>
          <cell r="E288">
            <v>274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795.45999999999992</v>
          </cell>
          <cell r="L288">
            <v>0</v>
          </cell>
          <cell r="M288">
            <v>2199.35</v>
          </cell>
          <cell r="N288">
            <v>0</v>
          </cell>
          <cell r="O288">
            <v>0</v>
          </cell>
          <cell r="P288">
            <v>0</v>
          </cell>
        </row>
        <row r="289">
          <cell r="B289">
            <v>38170</v>
          </cell>
          <cell r="C289">
            <v>7</v>
          </cell>
          <cell r="D289">
            <v>2</v>
          </cell>
          <cell r="E289">
            <v>275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795.45999999999992</v>
          </cell>
          <cell r="L289">
            <v>0</v>
          </cell>
          <cell r="M289">
            <v>2199.35</v>
          </cell>
          <cell r="N289">
            <v>0</v>
          </cell>
          <cell r="O289">
            <v>0</v>
          </cell>
          <cell r="P289">
            <v>0</v>
          </cell>
        </row>
        <row r="290">
          <cell r="B290">
            <v>38171</v>
          </cell>
          <cell r="C290">
            <v>7</v>
          </cell>
          <cell r="D290">
            <v>3</v>
          </cell>
          <cell r="E290">
            <v>276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795.45999999999992</v>
          </cell>
          <cell r="L290">
            <v>0</v>
          </cell>
          <cell r="M290">
            <v>2199.35</v>
          </cell>
          <cell r="N290">
            <v>0</v>
          </cell>
          <cell r="O290">
            <v>0</v>
          </cell>
          <cell r="P290">
            <v>0</v>
          </cell>
        </row>
        <row r="291">
          <cell r="B291">
            <v>38172</v>
          </cell>
          <cell r="C291">
            <v>7</v>
          </cell>
          <cell r="D291">
            <v>4</v>
          </cell>
          <cell r="E291">
            <v>277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795.45999999999992</v>
          </cell>
          <cell r="L291">
            <v>0</v>
          </cell>
          <cell r="M291">
            <v>2199.35</v>
          </cell>
          <cell r="N291">
            <v>0</v>
          </cell>
          <cell r="O291">
            <v>0</v>
          </cell>
          <cell r="P291">
            <v>0</v>
          </cell>
        </row>
        <row r="292">
          <cell r="B292">
            <v>38173</v>
          </cell>
          <cell r="C292">
            <v>7</v>
          </cell>
          <cell r="D292">
            <v>5</v>
          </cell>
          <cell r="E292">
            <v>278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795.45999999999992</v>
          </cell>
          <cell r="L292">
            <v>0</v>
          </cell>
          <cell r="M292">
            <v>2199.35</v>
          </cell>
          <cell r="N292">
            <v>0</v>
          </cell>
          <cell r="O292">
            <v>0</v>
          </cell>
          <cell r="P292">
            <v>0</v>
          </cell>
        </row>
        <row r="293">
          <cell r="B293">
            <v>38174</v>
          </cell>
          <cell r="C293">
            <v>7</v>
          </cell>
          <cell r="D293">
            <v>6</v>
          </cell>
          <cell r="E293">
            <v>279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795.45999999999992</v>
          </cell>
          <cell r="L293">
            <v>0</v>
          </cell>
          <cell r="M293">
            <v>2199.35</v>
          </cell>
          <cell r="N293">
            <v>0</v>
          </cell>
          <cell r="O293">
            <v>0</v>
          </cell>
          <cell r="P293">
            <v>0</v>
          </cell>
        </row>
        <row r="294">
          <cell r="B294">
            <v>38175</v>
          </cell>
          <cell r="C294">
            <v>7</v>
          </cell>
          <cell r="D294">
            <v>7</v>
          </cell>
          <cell r="E294">
            <v>280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795.45999999999992</v>
          </cell>
          <cell r="L294">
            <v>0</v>
          </cell>
          <cell r="M294">
            <v>2199.35</v>
          </cell>
          <cell r="N294">
            <v>0</v>
          </cell>
          <cell r="O294">
            <v>0</v>
          </cell>
          <cell r="P294">
            <v>0</v>
          </cell>
        </row>
        <row r="295">
          <cell r="B295">
            <v>38176</v>
          </cell>
          <cell r="C295">
            <v>7</v>
          </cell>
          <cell r="D295">
            <v>8</v>
          </cell>
          <cell r="E295">
            <v>281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795.45999999999992</v>
          </cell>
          <cell r="L295">
            <v>0</v>
          </cell>
          <cell r="M295">
            <v>2199.35</v>
          </cell>
          <cell r="N295">
            <v>0</v>
          </cell>
          <cell r="O295">
            <v>0</v>
          </cell>
          <cell r="P295">
            <v>0</v>
          </cell>
        </row>
        <row r="296">
          <cell r="B296">
            <v>38177</v>
          </cell>
          <cell r="C296">
            <v>7</v>
          </cell>
          <cell r="D296">
            <v>9</v>
          </cell>
          <cell r="E296">
            <v>282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795.45999999999992</v>
          </cell>
          <cell r="L296">
            <v>0</v>
          </cell>
          <cell r="M296">
            <v>2199.35</v>
          </cell>
          <cell r="N296">
            <v>0</v>
          </cell>
          <cell r="O296">
            <v>0</v>
          </cell>
          <cell r="P296">
            <v>0</v>
          </cell>
        </row>
        <row r="297">
          <cell r="B297">
            <v>38178</v>
          </cell>
          <cell r="C297">
            <v>7</v>
          </cell>
          <cell r="D297">
            <v>10</v>
          </cell>
          <cell r="E297">
            <v>283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795.45999999999992</v>
          </cell>
          <cell r="L297">
            <v>0</v>
          </cell>
          <cell r="M297">
            <v>2199.35</v>
          </cell>
          <cell r="N297">
            <v>0</v>
          </cell>
          <cell r="O297">
            <v>0</v>
          </cell>
          <cell r="P297">
            <v>0</v>
          </cell>
        </row>
        <row r="298">
          <cell r="B298">
            <v>38179</v>
          </cell>
          <cell r="C298">
            <v>7</v>
          </cell>
          <cell r="D298">
            <v>11</v>
          </cell>
          <cell r="E298">
            <v>284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795.45999999999992</v>
          </cell>
          <cell r="L298">
            <v>0</v>
          </cell>
          <cell r="M298">
            <v>2199.35</v>
          </cell>
          <cell r="N298">
            <v>0</v>
          </cell>
          <cell r="O298">
            <v>0</v>
          </cell>
          <cell r="P298">
            <v>0</v>
          </cell>
        </row>
        <row r="299">
          <cell r="B299">
            <v>38180</v>
          </cell>
          <cell r="C299">
            <v>7</v>
          </cell>
          <cell r="D299">
            <v>12</v>
          </cell>
          <cell r="E299">
            <v>285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795.45999999999992</v>
          </cell>
          <cell r="L299">
            <v>0</v>
          </cell>
          <cell r="M299">
            <v>2199.35</v>
          </cell>
          <cell r="N299">
            <v>0</v>
          </cell>
          <cell r="O299">
            <v>0</v>
          </cell>
          <cell r="P299">
            <v>0</v>
          </cell>
        </row>
        <row r="300">
          <cell r="B300">
            <v>38181</v>
          </cell>
          <cell r="C300">
            <v>7</v>
          </cell>
          <cell r="D300">
            <v>13</v>
          </cell>
          <cell r="E300">
            <v>286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795.45999999999992</v>
          </cell>
          <cell r="L300">
            <v>0</v>
          </cell>
          <cell r="M300">
            <v>2199.35</v>
          </cell>
          <cell r="N300">
            <v>0</v>
          </cell>
          <cell r="O300">
            <v>0</v>
          </cell>
          <cell r="P300">
            <v>0</v>
          </cell>
        </row>
        <row r="301">
          <cell r="B301">
            <v>38182</v>
          </cell>
          <cell r="C301">
            <v>7</v>
          </cell>
          <cell r="D301">
            <v>14</v>
          </cell>
          <cell r="E301">
            <v>287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795.45999999999992</v>
          </cell>
          <cell r="L301">
            <v>0</v>
          </cell>
          <cell r="M301">
            <v>2199.35</v>
          </cell>
          <cell r="N301">
            <v>0</v>
          </cell>
          <cell r="O301">
            <v>0</v>
          </cell>
          <cell r="P301">
            <v>0</v>
          </cell>
        </row>
        <row r="302">
          <cell r="B302">
            <v>38183</v>
          </cell>
          <cell r="C302">
            <v>7</v>
          </cell>
          <cell r="D302">
            <v>15</v>
          </cell>
          <cell r="E302">
            <v>288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795.45999999999992</v>
          </cell>
          <cell r="L302">
            <v>0</v>
          </cell>
          <cell r="M302">
            <v>2199.35</v>
          </cell>
          <cell r="N302">
            <v>0</v>
          </cell>
          <cell r="O302">
            <v>0</v>
          </cell>
          <cell r="P302">
            <v>0</v>
          </cell>
        </row>
        <row r="303">
          <cell r="B303">
            <v>38184</v>
          </cell>
          <cell r="C303">
            <v>7</v>
          </cell>
          <cell r="D303">
            <v>16</v>
          </cell>
          <cell r="E303">
            <v>289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795.45999999999992</v>
          </cell>
          <cell r="L303">
            <v>0</v>
          </cell>
          <cell r="M303">
            <v>2199.35</v>
          </cell>
          <cell r="N303">
            <v>0</v>
          </cell>
          <cell r="O303">
            <v>0</v>
          </cell>
          <cell r="P303">
            <v>0</v>
          </cell>
        </row>
        <row r="304">
          <cell r="B304">
            <v>38185</v>
          </cell>
          <cell r="C304">
            <v>7</v>
          </cell>
          <cell r="D304">
            <v>17</v>
          </cell>
          <cell r="E304">
            <v>290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795.45999999999992</v>
          </cell>
          <cell r="L304">
            <v>0</v>
          </cell>
          <cell r="M304">
            <v>2199.35</v>
          </cell>
          <cell r="N304">
            <v>0</v>
          </cell>
          <cell r="O304">
            <v>0</v>
          </cell>
          <cell r="P304">
            <v>0</v>
          </cell>
        </row>
        <row r="305">
          <cell r="B305">
            <v>38186</v>
          </cell>
          <cell r="C305">
            <v>7</v>
          </cell>
          <cell r="D305">
            <v>18</v>
          </cell>
          <cell r="E305">
            <v>291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795.45999999999992</v>
          </cell>
          <cell r="L305">
            <v>0</v>
          </cell>
          <cell r="M305">
            <v>2199.35</v>
          </cell>
          <cell r="N305">
            <v>0</v>
          </cell>
          <cell r="O305">
            <v>0</v>
          </cell>
          <cell r="P305">
            <v>0</v>
          </cell>
        </row>
        <row r="306">
          <cell r="B306">
            <v>38187</v>
          </cell>
          <cell r="C306">
            <v>7</v>
          </cell>
          <cell r="D306">
            <v>19</v>
          </cell>
          <cell r="E306">
            <v>292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795.45999999999992</v>
          </cell>
          <cell r="L306">
            <v>0</v>
          </cell>
          <cell r="M306">
            <v>2199.35</v>
          </cell>
          <cell r="N306">
            <v>0</v>
          </cell>
          <cell r="O306">
            <v>0</v>
          </cell>
          <cell r="P306">
            <v>0</v>
          </cell>
        </row>
        <row r="307">
          <cell r="B307">
            <v>38188</v>
          </cell>
          <cell r="C307">
            <v>7</v>
          </cell>
          <cell r="D307">
            <v>20</v>
          </cell>
          <cell r="E307">
            <v>293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795.45999999999992</v>
          </cell>
          <cell r="L307">
            <v>0</v>
          </cell>
          <cell r="M307">
            <v>2199.35</v>
          </cell>
          <cell r="N307">
            <v>0</v>
          </cell>
          <cell r="O307">
            <v>0</v>
          </cell>
          <cell r="P307">
            <v>0</v>
          </cell>
        </row>
        <row r="308">
          <cell r="B308">
            <v>38189</v>
          </cell>
          <cell r="C308">
            <v>7</v>
          </cell>
          <cell r="D308">
            <v>21</v>
          </cell>
          <cell r="E308">
            <v>294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795.45999999999992</v>
          </cell>
          <cell r="L308">
            <v>0</v>
          </cell>
          <cell r="M308">
            <v>2199.35</v>
          </cell>
          <cell r="N308">
            <v>0</v>
          </cell>
          <cell r="O308">
            <v>0</v>
          </cell>
          <cell r="P308">
            <v>0</v>
          </cell>
        </row>
        <row r="309">
          <cell r="B309">
            <v>38190</v>
          </cell>
          <cell r="C309">
            <v>7</v>
          </cell>
          <cell r="D309">
            <v>22</v>
          </cell>
          <cell r="E309">
            <v>295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795.45999999999992</v>
          </cell>
          <cell r="L309">
            <v>0</v>
          </cell>
          <cell r="M309">
            <v>2199.35</v>
          </cell>
          <cell r="N309">
            <v>0</v>
          </cell>
          <cell r="O309">
            <v>0</v>
          </cell>
          <cell r="P309">
            <v>0</v>
          </cell>
        </row>
        <row r="310">
          <cell r="B310">
            <v>38191</v>
          </cell>
          <cell r="C310">
            <v>7</v>
          </cell>
          <cell r="D310">
            <v>23</v>
          </cell>
          <cell r="E310">
            <v>296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795.45999999999992</v>
          </cell>
          <cell r="L310">
            <v>0</v>
          </cell>
          <cell r="M310">
            <v>2199.35</v>
          </cell>
          <cell r="N310">
            <v>0</v>
          </cell>
          <cell r="O310">
            <v>0</v>
          </cell>
          <cell r="P310">
            <v>0</v>
          </cell>
        </row>
        <row r="311">
          <cell r="B311">
            <v>38192</v>
          </cell>
          <cell r="C311">
            <v>7</v>
          </cell>
          <cell r="D311">
            <v>24</v>
          </cell>
          <cell r="E311">
            <v>297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795.45999999999992</v>
          </cell>
          <cell r="L311">
            <v>0</v>
          </cell>
          <cell r="M311">
            <v>2199.35</v>
          </cell>
          <cell r="N311">
            <v>0</v>
          </cell>
          <cell r="O311">
            <v>0</v>
          </cell>
          <cell r="P311">
            <v>0</v>
          </cell>
        </row>
        <row r="312">
          <cell r="B312">
            <v>38193</v>
          </cell>
          <cell r="C312">
            <v>7</v>
          </cell>
          <cell r="D312">
            <v>25</v>
          </cell>
          <cell r="E312">
            <v>298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795.45999999999992</v>
          </cell>
          <cell r="L312">
            <v>0</v>
          </cell>
          <cell r="M312">
            <v>2199.35</v>
          </cell>
          <cell r="N312">
            <v>0</v>
          </cell>
          <cell r="O312">
            <v>0</v>
          </cell>
          <cell r="P312">
            <v>0</v>
          </cell>
        </row>
        <row r="313">
          <cell r="B313">
            <v>38194</v>
          </cell>
          <cell r="C313">
            <v>7</v>
          </cell>
          <cell r="D313">
            <v>26</v>
          </cell>
          <cell r="E313">
            <v>299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795.45999999999992</v>
          </cell>
          <cell r="L313">
            <v>0</v>
          </cell>
          <cell r="M313">
            <v>2199.35</v>
          </cell>
          <cell r="N313">
            <v>0</v>
          </cell>
          <cell r="O313">
            <v>0</v>
          </cell>
          <cell r="P313">
            <v>0</v>
          </cell>
        </row>
        <row r="314">
          <cell r="B314">
            <v>38195</v>
          </cell>
          <cell r="C314">
            <v>7</v>
          </cell>
          <cell r="D314">
            <v>27</v>
          </cell>
          <cell r="E314">
            <v>300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795.45999999999992</v>
          </cell>
          <cell r="L314">
            <v>0</v>
          </cell>
          <cell r="M314">
            <v>2199.35</v>
          </cell>
          <cell r="N314">
            <v>0</v>
          </cell>
          <cell r="O314">
            <v>0</v>
          </cell>
          <cell r="P314">
            <v>0</v>
          </cell>
        </row>
        <row r="315">
          <cell r="B315">
            <v>38196</v>
          </cell>
          <cell r="C315">
            <v>7</v>
          </cell>
          <cell r="D315">
            <v>28</v>
          </cell>
          <cell r="E315">
            <v>301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795.45999999999992</v>
          </cell>
          <cell r="L315">
            <v>0</v>
          </cell>
          <cell r="M315">
            <v>2199.35</v>
          </cell>
          <cell r="N315">
            <v>0</v>
          </cell>
          <cell r="O315">
            <v>0</v>
          </cell>
          <cell r="P315">
            <v>0</v>
          </cell>
        </row>
        <row r="316">
          <cell r="B316">
            <v>38197</v>
          </cell>
          <cell r="C316">
            <v>7</v>
          </cell>
          <cell r="D316">
            <v>29</v>
          </cell>
          <cell r="E316">
            <v>302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795.45999999999992</v>
          </cell>
          <cell r="L316">
            <v>0</v>
          </cell>
          <cell r="M316">
            <v>2199.35</v>
          </cell>
          <cell r="N316">
            <v>0</v>
          </cell>
          <cell r="O316">
            <v>0</v>
          </cell>
          <cell r="P316">
            <v>0</v>
          </cell>
        </row>
        <row r="317">
          <cell r="B317">
            <v>38198</v>
          </cell>
          <cell r="C317">
            <v>7</v>
          </cell>
          <cell r="D317">
            <v>30</v>
          </cell>
          <cell r="E317">
            <v>303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795.45999999999992</v>
          </cell>
          <cell r="L317">
            <v>0</v>
          </cell>
          <cell r="M317">
            <v>2199.35</v>
          </cell>
          <cell r="N317">
            <v>0</v>
          </cell>
          <cell r="O317">
            <v>0</v>
          </cell>
          <cell r="P317">
            <v>0</v>
          </cell>
        </row>
        <row r="318">
          <cell r="B318">
            <v>38199</v>
          </cell>
          <cell r="C318">
            <v>7</v>
          </cell>
          <cell r="D318">
            <v>31</v>
          </cell>
          <cell r="E318">
            <v>304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795.45999999999992</v>
          </cell>
          <cell r="L318">
            <v>0</v>
          </cell>
          <cell r="M318">
            <v>2199.35</v>
          </cell>
          <cell r="N318">
            <v>0</v>
          </cell>
          <cell r="O318">
            <v>0</v>
          </cell>
          <cell r="P318">
            <v>0</v>
          </cell>
        </row>
        <row r="319">
          <cell r="B319">
            <v>38200</v>
          </cell>
          <cell r="C319">
            <v>8</v>
          </cell>
          <cell r="D319">
            <v>1</v>
          </cell>
          <cell r="E319">
            <v>305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795.45999999999992</v>
          </cell>
          <cell r="L319">
            <v>0</v>
          </cell>
          <cell r="M319">
            <v>2199.35</v>
          </cell>
          <cell r="N319">
            <v>0</v>
          </cell>
          <cell r="O319">
            <v>0</v>
          </cell>
          <cell r="P319">
            <v>0</v>
          </cell>
        </row>
        <row r="320">
          <cell r="B320">
            <v>38201</v>
          </cell>
          <cell r="C320">
            <v>8</v>
          </cell>
          <cell r="D320">
            <v>2</v>
          </cell>
          <cell r="E320">
            <v>306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795.45999999999992</v>
          </cell>
          <cell r="L320">
            <v>0</v>
          </cell>
          <cell r="M320">
            <v>2199.35</v>
          </cell>
          <cell r="N320">
            <v>0</v>
          </cell>
          <cell r="O320">
            <v>0</v>
          </cell>
          <cell r="P320">
            <v>0</v>
          </cell>
        </row>
        <row r="321">
          <cell r="B321">
            <v>38202</v>
          </cell>
          <cell r="C321">
            <v>8</v>
          </cell>
          <cell r="D321">
            <v>3</v>
          </cell>
          <cell r="E321">
            <v>307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795.45999999999992</v>
          </cell>
          <cell r="L321">
            <v>0</v>
          </cell>
          <cell r="M321">
            <v>2199.35</v>
          </cell>
          <cell r="N321">
            <v>0</v>
          </cell>
          <cell r="O321">
            <v>0</v>
          </cell>
          <cell r="P321">
            <v>0</v>
          </cell>
        </row>
        <row r="322">
          <cell r="B322">
            <v>38203</v>
          </cell>
          <cell r="C322">
            <v>8</v>
          </cell>
          <cell r="D322">
            <v>4</v>
          </cell>
          <cell r="E322">
            <v>308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795.45999999999992</v>
          </cell>
          <cell r="L322">
            <v>0</v>
          </cell>
          <cell r="M322">
            <v>2199.35</v>
          </cell>
          <cell r="N322">
            <v>0</v>
          </cell>
          <cell r="O322">
            <v>0</v>
          </cell>
          <cell r="P322">
            <v>0</v>
          </cell>
        </row>
        <row r="323">
          <cell r="B323">
            <v>38204</v>
          </cell>
          <cell r="C323">
            <v>8</v>
          </cell>
          <cell r="D323">
            <v>5</v>
          </cell>
          <cell r="E323">
            <v>309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795.45999999999992</v>
          </cell>
          <cell r="L323">
            <v>0</v>
          </cell>
          <cell r="M323">
            <v>2199.35</v>
          </cell>
          <cell r="N323">
            <v>0</v>
          </cell>
          <cell r="O323">
            <v>0</v>
          </cell>
          <cell r="P323">
            <v>0</v>
          </cell>
        </row>
        <row r="324">
          <cell r="B324">
            <v>38205</v>
          </cell>
          <cell r="C324">
            <v>8</v>
          </cell>
          <cell r="D324">
            <v>6</v>
          </cell>
          <cell r="E324">
            <v>310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795.45999999999992</v>
          </cell>
          <cell r="L324">
            <v>0</v>
          </cell>
          <cell r="M324">
            <v>2199.35</v>
          </cell>
          <cell r="N324">
            <v>0</v>
          </cell>
          <cell r="O324">
            <v>0</v>
          </cell>
          <cell r="P324">
            <v>0</v>
          </cell>
        </row>
        <row r="325">
          <cell r="B325">
            <v>38206</v>
          </cell>
          <cell r="C325">
            <v>8</v>
          </cell>
          <cell r="D325">
            <v>7</v>
          </cell>
          <cell r="E325">
            <v>311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795.45999999999992</v>
          </cell>
          <cell r="L325">
            <v>0</v>
          </cell>
          <cell r="M325">
            <v>2199.35</v>
          </cell>
          <cell r="N325">
            <v>0</v>
          </cell>
          <cell r="O325">
            <v>0</v>
          </cell>
          <cell r="P325">
            <v>0</v>
          </cell>
        </row>
        <row r="326">
          <cell r="B326">
            <v>38207</v>
          </cell>
          <cell r="C326">
            <v>8</v>
          </cell>
          <cell r="D326">
            <v>8</v>
          </cell>
          <cell r="E326">
            <v>312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795.45999999999992</v>
          </cell>
          <cell r="L326">
            <v>0</v>
          </cell>
          <cell r="M326">
            <v>2199.35</v>
          </cell>
          <cell r="N326">
            <v>0</v>
          </cell>
          <cell r="O326">
            <v>0</v>
          </cell>
          <cell r="P326">
            <v>0</v>
          </cell>
        </row>
        <row r="327">
          <cell r="B327">
            <v>38208</v>
          </cell>
          <cell r="C327">
            <v>8</v>
          </cell>
          <cell r="D327">
            <v>9</v>
          </cell>
          <cell r="E327">
            <v>313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795.45999999999992</v>
          </cell>
          <cell r="L327">
            <v>0</v>
          </cell>
          <cell r="M327">
            <v>2199.35</v>
          </cell>
          <cell r="N327">
            <v>0</v>
          </cell>
          <cell r="O327">
            <v>0</v>
          </cell>
          <cell r="P327">
            <v>0</v>
          </cell>
        </row>
        <row r="328">
          <cell r="B328">
            <v>38209</v>
          </cell>
          <cell r="C328">
            <v>8</v>
          </cell>
          <cell r="D328">
            <v>10</v>
          </cell>
          <cell r="E328">
            <v>314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795.45999999999992</v>
          </cell>
          <cell r="L328">
            <v>0</v>
          </cell>
          <cell r="M328">
            <v>2199.35</v>
          </cell>
          <cell r="N328">
            <v>0</v>
          </cell>
          <cell r="O328">
            <v>0</v>
          </cell>
          <cell r="P328">
            <v>0</v>
          </cell>
        </row>
        <row r="329">
          <cell r="B329">
            <v>38210</v>
          </cell>
          <cell r="C329">
            <v>8</v>
          </cell>
          <cell r="D329">
            <v>11</v>
          </cell>
          <cell r="E329">
            <v>315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795.45999999999992</v>
          </cell>
          <cell r="L329">
            <v>0</v>
          </cell>
          <cell r="M329">
            <v>2199.35</v>
          </cell>
          <cell r="N329">
            <v>0</v>
          </cell>
          <cell r="O329">
            <v>0</v>
          </cell>
          <cell r="P329">
            <v>0</v>
          </cell>
        </row>
        <row r="330">
          <cell r="B330">
            <v>38211</v>
          </cell>
          <cell r="C330">
            <v>8</v>
          </cell>
          <cell r="D330">
            <v>12</v>
          </cell>
          <cell r="E330">
            <v>316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795.45999999999992</v>
          </cell>
          <cell r="L330">
            <v>0</v>
          </cell>
          <cell r="M330">
            <v>2199.35</v>
          </cell>
          <cell r="N330">
            <v>0</v>
          </cell>
          <cell r="O330">
            <v>0</v>
          </cell>
          <cell r="P330">
            <v>0</v>
          </cell>
        </row>
        <row r="331">
          <cell r="B331">
            <v>38212</v>
          </cell>
          <cell r="C331">
            <v>8</v>
          </cell>
          <cell r="D331">
            <v>13</v>
          </cell>
          <cell r="E331">
            <v>317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795.45999999999992</v>
          </cell>
          <cell r="L331">
            <v>0</v>
          </cell>
          <cell r="M331">
            <v>2199.35</v>
          </cell>
          <cell r="N331">
            <v>0</v>
          </cell>
          <cell r="O331">
            <v>0</v>
          </cell>
          <cell r="P331">
            <v>0</v>
          </cell>
        </row>
        <row r="332">
          <cell r="B332">
            <v>38213</v>
          </cell>
          <cell r="C332">
            <v>8</v>
          </cell>
          <cell r="D332">
            <v>14</v>
          </cell>
          <cell r="E332">
            <v>318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795.45999999999992</v>
          </cell>
          <cell r="L332">
            <v>0</v>
          </cell>
          <cell r="M332">
            <v>2199.35</v>
          </cell>
          <cell r="N332">
            <v>0</v>
          </cell>
          <cell r="O332">
            <v>0</v>
          </cell>
          <cell r="P332">
            <v>0</v>
          </cell>
        </row>
        <row r="333">
          <cell r="B333">
            <v>38214</v>
          </cell>
          <cell r="C333">
            <v>8</v>
          </cell>
          <cell r="D333">
            <v>15</v>
          </cell>
          <cell r="E333">
            <v>319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795.45999999999992</v>
          </cell>
          <cell r="L333">
            <v>0</v>
          </cell>
          <cell r="M333">
            <v>2199.35</v>
          </cell>
          <cell r="N333">
            <v>0</v>
          </cell>
          <cell r="O333">
            <v>0</v>
          </cell>
          <cell r="P333">
            <v>0</v>
          </cell>
        </row>
        <row r="334">
          <cell r="B334">
            <v>38215</v>
          </cell>
          <cell r="C334">
            <v>8</v>
          </cell>
          <cell r="D334">
            <v>16</v>
          </cell>
          <cell r="E334">
            <v>320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795.45999999999992</v>
          </cell>
          <cell r="L334">
            <v>0</v>
          </cell>
          <cell r="M334">
            <v>2199.35</v>
          </cell>
          <cell r="N334">
            <v>0</v>
          </cell>
          <cell r="O334">
            <v>0</v>
          </cell>
          <cell r="P334">
            <v>0</v>
          </cell>
        </row>
        <row r="335">
          <cell r="B335">
            <v>38216</v>
          </cell>
          <cell r="C335">
            <v>8</v>
          </cell>
          <cell r="D335">
            <v>17</v>
          </cell>
          <cell r="E335">
            <v>321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795.45999999999992</v>
          </cell>
          <cell r="L335">
            <v>0</v>
          </cell>
          <cell r="M335">
            <v>2199.35</v>
          </cell>
          <cell r="N335">
            <v>0</v>
          </cell>
          <cell r="O335">
            <v>0</v>
          </cell>
          <cell r="P335">
            <v>0</v>
          </cell>
        </row>
        <row r="336">
          <cell r="B336">
            <v>38217</v>
          </cell>
          <cell r="C336">
            <v>8</v>
          </cell>
          <cell r="D336">
            <v>18</v>
          </cell>
          <cell r="E336">
            <v>322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795.45999999999992</v>
          </cell>
          <cell r="L336">
            <v>0</v>
          </cell>
          <cell r="M336">
            <v>2199.35</v>
          </cell>
          <cell r="N336">
            <v>0</v>
          </cell>
          <cell r="O336">
            <v>0</v>
          </cell>
          <cell r="P336">
            <v>0</v>
          </cell>
        </row>
        <row r="337">
          <cell r="B337">
            <v>38218</v>
          </cell>
          <cell r="C337">
            <v>8</v>
          </cell>
          <cell r="D337">
            <v>19</v>
          </cell>
          <cell r="E337">
            <v>323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795.45999999999992</v>
          </cell>
          <cell r="L337">
            <v>0</v>
          </cell>
          <cell r="M337">
            <v>2199.35</v>
          </cell>
          <cell r="N337">
            <v>0</v>
          </cell>
          <cell r="O337">
            <v>0</v>
          </cell>
          <cell r="P337">
            <v>0</v>
          </cell>
        </row>
        <row r="338">
          <cell r="B338">
            <v>38219</v>
          </cell>
          <cell r="C338">
            <v>8</v>
          </cell>
          <cell r="D338">
            <v>20</v>
          </cell>
          <cell r="E338">
            <v>324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795.45999999999992</v>
          </cell>
          <cell r="L338">
            <v>0</v>
          </cell>
          <cell r="M338">
            <v>2199.35</v>
          </cell>
          <cell r="N338">
            <v>0</v>
          </cell>
          <cell r="O338">
            <v>0</v>
          </cell>
          <cell r="P338">
            <v>0</v>
          </cell>
        </row>
        <row r="339">
          <cell r="B339">
            <v>38220</v>
          </cell>
          <cell r="C339">
            <v>8</v>
          </cell>
          <cell r="D339">
            <v>21</v>
          </cell>
          <cell r="E339">
            <v>325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795.45999999999992</v>
          </cell>
          <cell r="L339">
            <v>0</v>
          </cell>
          <cell r="M339">
            <v>2199.35</v>
          </cell>
          <cell r="N339">
            <v>0</v>
          </cell>
          <cell r="O339">
            <v>0</v>
          </cell>
          <cell r="P339">
            <v>0</v>
          </cell>
        </row>
        <row r="340">
          <cell r="B340">
            <v>38221</v>
          </cell>
          <cell r="C340">
            <v>8</v>
          </cell>
          <cell r="D340">
            <v>22</v>
          </cell>
          <cell r="E340">
            <v>326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795.45999999999992</v>
          </cell>
          <cell r="L340">
            <v>0</v>
          </cell>
          <cell r="M340">
            <v>2199.35</v>
          </cell>
          <cell r="N340">
            <v>0</v>
          </cell>
          <cell r="O340">
            <v>0</v>
          </cell>
          <cell r="P340">
            <v>0</v>
          </cell>
        </row>
        <row r="341">
          <cell r="B341">
            <v>38222</v>
          </cell>
          <cell r="C341">
            <v>8</v>
          </cell>
          <cell r="D341">
            <v>23</v>
          </cell>
          <cell r="E341">
            <v>327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795.45999999999992</v>
          </cell>
          <cell r="L341">
            <v>0</v>
          </cell>
          <cell r="M341">
            <v>2199.35</v>
          </cell>
          <cell r="N341">
            <v>0</v>
          </cell>
          <cell r="O341">
            <v>0</v>
          </cell>
          <cell r="P341">
            <v>0</v>
          </cell>
        </row>
        <row r="342">
          <cell r="B342">
            <v>38223</v>
          </cell>
          <cell r="C342">
            <v>8</v>
          </cell>
          <cell r="D342">
            <v>24</v>
          </cell>
          <cell r="E342">
            <v>328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795.45999999999992</v>
          </cell>
          <cell r="L342">
            <v>0</v>
          </cell>
          <cell r="M342">
            <v>2199.35</v>
          </cell>
          <cell r="N342">
            <v>0</v>
          </cell>
          <cell r="O342">
            <v>0</v>
          </cell>
          <cell r="P342">
            <v>0</v>
          </cell>
        </row>
        <row r="343">
          <cell r="B343">
            <v>38224</v>
          </cell>
          <cell r="C343">
            <v>8</v>
          </cell>
          <cell r="D343">
            <v>25</v>
          </cell>
          <cell r="E343">
            <v>329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795.45999999999992</v>
          </cell>
          <cell r="L343">
            <v>0</v>
          </cell>
          <cell r="M343">
            <v>2199.35</v>
          </cell>
          <cell r="N343">
            <v>0</v>
          </cell>
          <cell r="O343">
            <v>0</v>
          </cell>
          <cell r="P343">
            <v>0</v>
          </cell>
        </row>
        <row r="344">
          <cell r="B344">
            <v>38225</v>
          </cell>
          <cell r="C344">
            <v>8</v>
          </cell>
          <cell r="D344">
            <v>26</v>
          </cell>
          <cell r="E344">
            <v>330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795.45999999999992</v>
          </cell>
          <cell r="L344">
            <v>0</v>
          </cell>
          <cell r="M344">
            <v>2199.35</v>
          </cell>
          <cell r="N344">
            <v>0</v>
          </cell>
          <cell r="O344">
            <v>0</v>
          </cell>
          <cell r="P344">
            <v>0</v>
          </cell>
        </row>
        <row r="345">
          <cell r="B345">
            <v>38226</v>
          </cell>
          <cell r="C345">
            <v>8</v>
          </cell>
          <cell r="D345">
            <v>27</v>
          </cell>
          <cell r="E345">
            <v>331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795.45999999999992</v>
          </cell>
          <cell r="L345">
            <v>0</v>
          </cell>
          <cell r="M345">
            <v>2199.35</v>
          </cell>
          <cell r="N345">
            <v>0</v>
          </cell>
          <cell r="O345">
            <v>0</v>
          </cell>
          <cell r="P345">
            <v>0</v>
          </cell>
        </row>
        <row r="346">
          <cell r="B346">
            <v>38227</v>
          </cell>
          <cell r="C346">
            <v>8</v>
          </cell>
          <cell r="D346">
            <v>28</v>
          </cell>
          <cell r="E346">
            <v>332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795.45999999999992</v>
          </cell>
          <cell r="L346">
            <v>0</v>
          </cell>
          <cell r="M346">
            <v>2199.35</v>
          </cell>
          <cell r="N346">
            <v>0</v>
          </cell>
          <cell r="O346">
            <v>0</v>
          </cell>
          <cell r="P346">
            <v>0</v>
          </cell>
        </row>
        <row r="347">
          <cell r="B347">
            <v>38228</v>
          </cell>
          <cell r="C347">
            <v>8</v>
          </cell>
          <cell r="D347">
            <v>29</v>
          </cell>
          <cell r="E347">
            <v>333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795.45999999999992</v>
          </cell>
          <cell r="L347">
            <v>0</v>
          </cell>
          <cell r="M347">
            <v>2199.35</v>
          </cell>
          <cell r="N347">
            <v>0</v>
          </cell>
          <cell r="O347">
            <v>0</v>
          </cell>
          <cell r="P347">
            <v>0</v>
          </cell>
        </row>
        <row r="348">
          <cell r="B348">
            <v>38229</v>
          </cell>
          <cell r="C348">
            <v>8</v>
          </cell>
          <cell r="D348">
            <v>30</v>
          </cell>
          <cell r="E348">
            <v>334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795.45999999999992</v>
          </cell>
          <cell r="L348">
            <v>0</v>
          </cell>
          <cell r="M348">
            <v>2199.35</v>
          </cell>
          <cell r="N348">
            <v>0</v>
          </cell>
          <cell r="O348">
            <v>0</v>
          </cell>
          <cell r="P348">
            <v>0</v>
          </cell>
        </row>
        <row r="349">
          <cell r="B349">
            <v>38230</v>
          </cell>
          <cell r="C349">
            <v>8</v>
          </cell>
          <cell r="D349">
            <v>31</v>
          </cell>
          <cell r="E349">
            <v>335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795.45999999999992</v>
          </cell>
          <cell r="L349">
            <v>0</v>
          </cell>
          <cell r="M349">
            <v>2199.35</v>
          </cell>
          <cell r="N349">
            <v>0</v>
          </cell>
          <cell r="O349">
            <v>0</v>
          </cell>
          <cell r="P349">
            <v>0</v>
          </cell>
        </row>
        <row r="350">
          <cell r="B350">
            <v>38231</v>
          </cell>
          <cell r="C350">
            <v>9</v>
          </cell>
          <cell r="D350">
            <v>1</v>
          </cell>
          <cell r="E350">
            <v>336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795.45999999999992</v>
          </cell>
          <cell r="L350">
            <v>0</v>
          </cell>
          <cell r="M350">
            <v>2199.35</v>
          </cell>
          <cell r="N350">
            <v>0</v>
          </cell>
          <cell r="O350">
            <v>0</v>
          </cell>
          <cell r="P350">
            <v>0</v>
          </cell>
        </row>
        <row r="351">
          <cell r="B351">
            <v>38232</v>
          </cell>
          <cell r="C351">
            <v>9</v>
          </cell>
          <cell r="D351">
            <v>2</v>
          </cell>
          <cell r="E351">
            <v>337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795.45999999999992</v>
          </cell>
          <cell r="L351">
            <v>0</v>
          </cell>
          <cell r="M351">
            <v>2199.35</v>
          </cell>
          <cell r="N351">
            <v>0</v>
          </cell>
          <cell r="O351">
            <v>0</v>
          </cell>
          <cell r="P351">
            <v>0</v>
          </cell>
        </row>
        <row r="352">
          <cell r="B352">
            <v>38233</v>
          </cell>
          <cell r="C352">
            <v>9</v>
          </cell>
          <cell r="D352">
            <v>3</v>
          </cell>
          <cell r="E352">
            <v>338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795.45999999999992</v>
          </cell>
          <cell r="L352">
            <v>0</v>
          </cell>
          <cell r="M352">
            <v>2199.35</v>
          </cell>
          <cell r="N352">
            <v>0</v>
          </cell>
          <cell r="O352">
            <v>0</v>
          </cell>
          <cell r="P352">
            <v>0</v>
          </cell>
        </row>
        <row r="353">
          <cell r="B353">
            <v>38234</v>
          </cell>
          <cell r="C353">
            <v>9</v>
          </cell>
          <cell r="D353">
            <v>4</v>
          </cell>
          <cell r="E353">
            <v>339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795.45999999999992</v>
          </cell>
          <cell r="L353">
            <v>0</v>
          </cell>
          <cell r="M353">
            <v>2199.35</v>
          </cell>
          <cell r="N353">
            <v>0</v>
          </cell>
          <cell r="O353">
            <v>0</v>
          </cell>
          <cell r="P353">
            <v>0</v>
          </cell>
        </row>
        <row r="354">
          <cell r="B354">
            <v>38235</v>
          </cell>
          <cell r="C354">
            <v>9</v>
          </cell>
          <cell r="D354">
            <v>5</v>
          </cell>
          <cell r="E354">
            <v>340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795.45999999999992</v>
          </cell>
          <cell r="L354">
            <v>0</v>
          </cell>
          <cell r="M354">
            <v>2199.35</v>
          </cell>
          <cell r="N354">
            <v>0</v>
          </cell>
          <cell r="O354">
            <v>0</v>
          </cell>
          <cell r="P354">
            <v>0</v>
          </cell>
        </row>
        <row r="355">
          <cell r="B355">
            <v>38236</v>
          </cell>
          <cell r="C355">
            <v>9</v>
          </cell>
          <cell r="D355">
            <v>6</v>
          </cell>
          <cell r="E355">
            <v>341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795.45999999999992</v>
          </cell>
          <cell r="L355">
            <v>0</v>
          </cell>
          <cell r="M355">
            <v>2199.35</v>
          </cell>
          <cell r="N355">
            <v>0</v>
          </cell>
          <cell r="O355">
            <v>0</v>
          </cell>
          <cell r="P355">
            <v>0</v>
          </cell>
        </row>
        <row r="356">
          <cell r="B356">
            <v>38237</v>
          </cell>
          <cell r="C356">
            <v>9</v>
          </cell>
          <cell r="D356">
            <v>7</v>
          </cell>
          <cell r="E356">
            <v>342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795.45999999999992</v>
          </cell>
          <cell r="L356">
            <v>0</v>
          </cell>
          <cell r="M356">
            <v>2199.35</v>
          </cell>
          <cell r="N356">
            <v>0</v>
          </cell>
          <cell r="O356">
            <v>0</v>
          </cell>
          <cell r="P356">
            <v>0</v>
          </cell>
        </row>
        <row r="357">
          <cell r="B357">
            <v>38238</v>
          </cell>
          <cell r="C357">
            <v>9</v>
          </cell>
          <cell r="D357">
            <v>8</v>
          </cell>
          <cell r="E357">
            <v>343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795.45999999999992</v>
          </cell>
          <cell r="L357">
            <v>0</v>
          </cell>
          <cell r="M357">
            <v>2199.35</v>
          </cell>
          <cell r="N357">
            <v>0</v>
          </cell>
          <cell r="O357">
            <v>0</v>
          </cell>
          <cell r="P357">
            <v>0</v>
          </cell>
        </row>
        <row r="358">
          <cell r="B358">
            <v>38239</v>
          </cell>
          <cell r="C358">
            <v>9</v>
          </cell>
          <cell r="D358">
            <v>9</v>
          </cell>
          <cell r="E358">
            <v>344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795.45999999999992</v>
          </cell>
          <cell r="L358">
            <v>0</v>
          </cell>
          <cell r="M358">
            <v>2199.35</v>
          </cell>
          <cell r="N358">
            <v>0</v>
          </cell>
          <cell r="O358">
            <v>0</v>
          </cell>
          <cell r="P358">
            <v>0</v>
          </cell>
        </row>
        <row r="359">
          <cell r="B359">
            <v>38240</v>
          </cell>
          <cell r="C359">
            <v>9</v>
          </cell>
          <cell r="D359">
            <v>10</v>
          </cell>
          <cell r="E359">
            <v>345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795.45999999999992</v>
          </cell>
          <cell r="L359">
            <v>0</v>
          </cell>
          <cell r="M359">
            <v>2199.35</v>
          </cell>
          <cell r="N359">
            <v>0</v>
          </cell>
          <cell r="O359">
            <v>0</v>
          </cell>
          <cell r="P359">
            <v>0</v>
          </cell>
        </row>
        <row r="360">
          <cell r="B360">
            <v>38241</v>
          </cell>
          <cell r="C360">
            <v>9</v>
          </cell>
          <cell r="D360">
            <v>11</v>
          </cell>
          <cell r="E360">
            <v>346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795.45999999999992</v>
          </cell>
          <cell r="L360">
            <v>0</v>
          </cell>
          <cell r="M360">
            <v>2199.35</v>
          </cell>
          <cell r="N360">
            <v>0</v>
          </cell>
          <cell r="O360">
            <v>0</v>
          </cell>
          <cell r="P360">
            <v>0</v>
          </cell>
        </row>
        <row r="361">
          <cell r="B361">
            <v>38242</v>
          </cell>
          <cell r="C361">
            <v>9</v>
          </cell>
          <cell r="D361">
            <v>12</v>
          </cell>
          <cell r="E361">
            <v>347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795.45999999999992</v>
          </cell>
          <cell r="L361">
            <v>0</v>
          </cell>
          <cell r="M361">
            <v>2199.35</v>
          </cell>
          <cell r="N361">
            <v>0</v>
          </cell>
          <cell r="O361">
            <v>0</v>
          </cell>
          <cell r="P361">
            <v>0</v>
          </cell>
        </row>
        <row r="362">
          <cell r="B362">
            <v>38243</v>
          </cell>
          <cell r="C362">
            <v>9</v>
          </cell>
          <cell r="D362">
            <v>13</v>
          </cell>
          <cell r="E362">
            <v>348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795.45999999999992</v>
          </cell>
          <cell r="L362">
            <v>0</v>
          </cell>
          <cell r="M362">
            <v>2199.35</v>
          </cell>
          <cell r="N362">
            <v>0</v>
          </cell>
          <cell r="O362">
            <v>0</v>
          </cell>
          <cell r="P362">
            <v>0</v>
          </cell>
        </row>
        <row r="363">
          <cell r="B363">
            <v>38244</v>
          </cell>
          <cell r="C363">
            <v>9</v>
          </cell>
          <cell r="D363">
            <v>14</v>
          </cell>
          <cell r="E363">
            <v>349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795.45999999999992</v>
          </cell>
          <cell r="L363">
            <v>0</v>
          </cell>
          <cell r="M363">
            <v>2199.35</v>
          </cell>
          <cell r="N363">
            <v>0</v>
          </cell>
          <cell r="O363">
            <v>0</v>
          </cell>
          <cell r="P363">
            <v>0</v>
          </cell>
        </row>
        <row r="364">
          <cell r="B364">
            <v>38245</v>
          </cell>
          <cell r="C364">
            <v>9</v>
          </cell>
          <cell r="D364">
            <v>15</v>
          </cell>
          <cell r="E364">
            <v>350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795.45999999999992</v>
          </cell>
          <cell r="L364">
            <v>0</v>
          </cell>
          <cell r="M364">
            <v>2199.35</v>
          </cell>
          <cell r="N364">
            <v>0</v>
          </cell>
          <cell r="O364">
            <v>0</v>
          </cell>
          <cell r="P364">
            <v>0</v>
          </cell>
        </row>
        <row r="365">
          <cell r="B365">
            <v>38246</v>
          </cell>
          <cell r="C365">
            <v>9</v>
          </cell>
          <cell r="D365">
            <v>16</v>
          </cell>
          <cell r="E365">
            <v>351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795.45999999999992</v>
          </cell>
          <cell r="L365">
            <v>0</v>
          </cell>
          <cell r="M365">
            <v>2199.35</v>
          </cell>
          <cell r="N365">
            <v>0</v>
          </cell>
          <cell r="O365">
            <v>0</v>
          </cell>
          <cell r="P365">
            <v>0</v>
          </cell>
        </row>
        <row r="366">
          <cell r="B366">
            <v>38247</v>
          </cell>
          <cell r="C366">
            <v>9</v>
          </cell>
          <cell r="D366">
            <v>17</v>
          </cell>
          <cell r="E366">
            <v>352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795.45999999999992</v>
          </cell>
          <cell r="L366">
            <v>0</v>
          </cell>
          <cell r="M366">
            <v>2199.35</v>
          </cell>
          <cell r="N366">
            <v>0</v>
          </cell>
          <cell r="O366">
            <v>0</v>
          </cell>
          <cell r="P366">
            <v>0</v>
          </cell>
        </row>
        <row r="367">
          <cell r="B367">
            <v>38248</v>
          </cell>
          <cell r="C367">
            <v>9</v>
          </cell>
          <cell r="D367">
            <v>18</v>
          </cell>
          <cell r="E367">
            <v>353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795.45999999999992</v>
          </cell>
          <cell r="L367">
            <v>0</v>
          </cell>
          <cell r="M367">
            <v>2199.35</v>
          </cell>
          <cell r="N367">
            <v>0</v>
          </cell>
          <cell r="O367">
            <v>0</v>
          </cell>
          <cell r="P367">
            <v>0</v>
          </cell>
        </row>
        <row r="368">
          <cell r="B368">
            <v>38249</v>
          </cell>
          <cell r="C368">
            <v>9</v>
          </cell>
          <cell r="D368">
            <v>19</v>
          </cell>
          <cell r="E368">
            <v>354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795.45999999999992</v>
          </cell>
          <cell r="L368">
            <v>0</v>
          </cell>
          <cell r="M368">
            <v>2199.35</v>
          </cell>
          <cell r="N368">
            <v>0</v>
          </cell>
          <cell r="O368">
            <v>0</v>
          </cell>
          <cell r="P368">
            <v>0</v>
          </cell>
        </row>
        <row r="369">
          <cell r="B369">
            <v>38250</v>
          </cell>
          <cell r="C369">
            <v>9</v>
          </cell>
          <cell r="D369">
            <v>20</v>
          </cell>
          <cell r="E369">
            <v>355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795.45999999999992</v>
          </cell>
          <cell r="L369">
            <v>0</v>
          </cell>
          <cell r="M369">
            <v>2199.35</v>
          </cell>
          <cell r="N369">
            <v>0</v>
          </cell>
          <cell r="O369">
            <v>0</v>
          </cell>
          <cell r="P369">
            <v>0</v>
          </cell>
        </row>
        <row r="370">
          <cell r="B370">
            <v>38251</v>
          </cell>
          <cell r="C370">
            <v>9</v>
          </cell>
          <cell r="D370">
            <v>21</v>
          </cell>
          <cell r="E370">
            <v>356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795.45999999999992</v>
          </cell>
          <cell r="L370">
            <v>0</v>
          </cell>
          <cell r="M370">
            <v>2199.35</v>
          </cell>
          <cell r="N370">
            <v>0</v>
          </cell>
          <cell r="O370">
            <v>0</v>
          </cell>
          <cell r="P370">
            <v>0</v>
          </cell>
        </row>
        <row r="371">
          <cell r="B371">
            <v>38252</v>
          </cell>
          <cell r="C371">
            <v>9</v>
          </cell>
          <cell r="D371">
            <v>22</v>
          </cell>
          <cell r="E371">
            <v>357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795.45999999999992</v>
          </cell>
          <cell r="L371">
            <v>0</v>
          </cell>
          <cell r="M371">
            <v>2199.35</v>
          </cell>
          <cell r="N371">
            <v>0</v>
          </cell>
          <cell r="O371">
            <v>0</v>
          </cell>
          <cell r="P371">
            <v>0</v>
          </cell>
        </row>
        <row r="372">
          <cell r="B372">
            <v>38253</v>
          </cell>
          <cell r="C372">
            <v>9</v>
          </cell>
          <cell r="D372">
            <v>23</v>
          </cell>
          <cell r="E372">
            <v>358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795.45999999999992</v>
          </cell>
          <cell r="L372">
            <v>0</v>
          </cell>
          <cell r="M372">
            <v>2199.35</v>
          </cell>
          <cell r="N372">
            <v>0</v>
          </cell>
          <cell r="O372">
            <v>0</v>
          </cell>
          <cell r="P372">
            <v>0</v>
          </cell>
        </row>
        <row r="373">
          <cell r="B373">
            <v>38254</v>
          </cell>
          <cell r="C373">
            <v>9</v>
          </cell>
          <cell r="D373">
            <v>24</v>
          </cell>
          <cell r="E373">
            <v>359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795.45999999999992</v>
          </cell>
          <cell r="L373">
            <v>0</v>
          </cell>
          <cell r="M373">
            <v>2199.35</v>
          </cell>
          <cell r="N373">
            <v>0</v>
          </cell>
          <cell r="O373">
            <v>0</v>
          </cell>
          <cell r="P373">
            <v>0</v>
          </cell>
        </row>
        <row r="374">
          <cell r="B374">
            <v>38255</v>
          </cell>
          <cell r="C374">
            <v>9</v>
          </cell>
          <cell r="D374">
            <v>25</v>
          </cell>
          <cell r="E374">
            <v>360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795.45999999999992</v>
          </cell>
          <cell r="L374">
            <v>0</v>
          </cell>
          <cell r="M374">
            <v>2199.35</v>
          </cell>
          <cell r="N374">
            <v>0</v>
          </cell>
          <cell r="O374">
            <v>0</v>
          </cell>
          <cell r="P374">
            <v>0</v>
          </cell>
        </row>
        <row r="375">
          <cell r="B375">
            <v>38256</v>
          </cell>
          <cell r="C375">
            <v>9</v>
          </cell>
          <cell r="D375">
            <v>26</v>
          </cell>
          <cell r="E375">
            <v>361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795.45999999999992</v>
          </cell>
          <cell r="L375">
            <v>0</v>
          </cell>
          <cell r="M375">
            <v>2199.35</v>
          </cell>
          <cell r="N375">
            <v>0</v>
          </cell>
          <cell r="O375">
            <v>0</v>
          </cell>
          <cell r="P375">
            <v>0</v>
          </cell>
        </row>
        <row r="376">
          <cell r="B376">
            <v>38257</v>
          </cell>
          <cell r="C376">
            <v>9</v>
          </cell>
          <cell r="D376">
            <v>27</v>
          </cell>
          <cell r="E376">
            <v>362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795.45999999999992</v>
          </cell>
          <cell r="L376">
            <v>0</v>
          </cell>
          <cell r="M376">
            <v>2199.35</v>
          </cell>
          <cell r="N376">
            <v>0</v>
          </cell>
          <cell r="O376">
            <v>0</v>
          </cell>
          <cell r="P376">
            <v>0</v>
          </cell>
        </row>
        <row r="377">
          <cell r="B377">
            <v>38258</v>
          </cell>
          <cell r="C377">
            <v>9</v>
          </cell>
          <cell r="D377">
            <v>28</v>
          </cell>
          <cell r="E377">
            <v>363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795.45999999999992</v>
          </cell>
          <cell r="L377">
            <v>0</v>
          </cell>
          <cell r="M377">
            <v>2199.35</v>
          </cell>
          <cell r="N377">
            <v>0</v>
          </cell>
          <cell r="O377">
            <v>0</v>
          </cell>
          <cell r="P377">
            <v>0</v>
          </cell>
        </row>
        <row r="378">
          <cell r="B378">
            <v>38259</v>
          </cell>
          <cell r="C378">
            <v>9</v>
          </cell>
          <cell r="D378">
            <v>29</v>
          </cell>
          <cell r="E378">
            <v>364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795.45999999999992</v>
          </cell>
          <cell r="L378">
            <v>0</v>
          </cell>
          <cell r="M378">
            <v>2199.35</v>
          </cell>
          <cell r="N378">
            <v>0</v>
          </cell>
          <cell r="O378">
            <v>0</v>
          </cell>
          <cell r="P378">
            <v>0</v>
          </cell>
        </row>
        <row r="379">
          <cell r="B379">
            <v>38260</v>
          </cell>
          <cell r="C379">
            <v>9</v>
          </cell>
          <cell r="D379">
            <v>30</v>
          </cell>
          <cell r="E379">
            <v>365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795.45999999999992</v>
          </cell>
          <cell r="L379">
            <v>0</v>
          </cell>
          <cell r="M379">
            <v>2199.35</v>
          </cell>
          <cell r="N379">
            <v>0</v>
          </cell>
          <cell r="O379">
            <v>0</v>
          </cell>
          <cell r="P379">
            <v>0</v>
          </cell>
        </row>
        <row r="381">
          <cell r="F381">
            <v>40331263.003199995</v>
          </cell>
          <cell r="G381">
            <v>0</v>
          </cell>
          <cell r="H381">
            <v>0</v>
          </cell>
          <cell r="I381">
            <v>0</v>
          </cell>
          <cell r="J381">
            <v>5227929.9142199997</v>
          </cell>
          <cell r="K381">
            <v>1254560.9321899947</v>
          </cell>
          <cell r="L381">
            <v>2602625.5923199998</v>
          </cell>
          <cell r="M381">
            <v>4380596.2704099752</v>
          </cell>
          <cell r="O381">
            <v>0</v>
          </cell>
          <cell r="P381">
            <v>0</v>
          </cell>
          <cell r="Q381">
            <v>0</v>
          </cell>
        </row>
        <row r="382">
          <cell r="F382">
            <v>40331263.003199995</v>
          </cell>
          <cell r="G382">
            <v>40331263.003199995</v>
          </cell>
          <cell r="H382">
            <v>40331263.003199995</v>
          </cell>
          <cell r="I382">
            <v>0</v>
          </cell>
          <cell r="J382">
            <v>5227929.9142199997</v>
          </cell>
          <cell r="K382">
            <v>1254560.9321900003</v>
          </cell>
          <cell r="L382">
            <v>2602625.5923200003</v>
          </cell>
          <cell r="M382">
            <v>4380596.2704099976</v>
          </cell>
          <cell r="O382">
            <v>0</v>
          </cell>
          <cell r="P382">
            <v>0</v>
          </cell>
          <cell r="Q382">
            <v>0</v>
          </cell>
        </row>
      </sheetData>
      <sheetData sheetId="7" refreshError="1">
        <row r="7">
          <cell r="W7">
            <v>0.98660000000000003</v>
          </cell>
          <cell r="X7" t="str">
            <v>NWP Shrinkage</v>
          </cell>
        </row>
        <row r="8">
          <cell r="W8">
            <v>0.96660000000000001</v>
          </cell>
          <cell r="X8" t="str">
            <v>Alberta to city gate shrinkage</v>
          </cell>
          <cell r="Y8">
            <v>48330</v>
          </cell>
          <cell r="Z8">
            <v>144990</v>
          </cell>
          <cell r="AA8">
            <v>96660</v>
          </cell>
          <cell r="AB8">
            <v>96000</v>
          </cell>
          <cell r="AC8">
            <v>98660</v>
          </cell>
          <cell r="AD8">
            <v>147990</v>
          </cell>
          <cell r="AE8">
            <v>98660</v>
          </cell>
          <cell r="AF8">
            <v>98660</v>
          </cell>
          <cell r="AG8">
            <v>49330</v>
          </cell>
          <cell r="AH8">
            <v>78928</v>
          </cell>
          <cell r="AI8">
            <v>49330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U8">
            <v>96660</v>
          </cell>
        </row>
        <row r="9">
          <cell r="H9">
            <v>13100</v>
          </cell>
          <cell r="I9">
            <v>192920</v>
          </cell>
          <cell r="J9">
            <v>96660</v>
          </cell>
          <cell r="K9">
            <v>96660</v>
          </cell>
          <cell r="L9">
            <v>96460</v>
          </cell>
          <cell r="M9">
            <v>96460</v>
          </cell>
          <cell r="N9">
            <v>96460</v>
          </cell>
          <cell r="O9">
            <v>96000</v>
          </cell>
          <cell r="P9">
            <v>96660</v>
          </cell>
          <cell r="Q9">
            <v>144990</v>
          </cell>
          <cell r="R9">
            <v>0</v>
          </cell>
          <cell r="S9">
            <v>96000</v>
          </cell>
          <cell r="T9">
            <v>0</v>
          </cell>
          <cell r="U9">
            <v>96660</v>
          </cell>
          <cell r="V9">
            <v>0</v>
          </cell>
          <cell r="Y9">
            <v>0.96660000000000001</v>
          </cell>
          <cell r="Z9">
            <v>0.96660000000000001</v>
          </cell>
          <cell r="AA9">
            <v>0.96660000000000001</v>
          </cell>
          <cell r="AB9">
            <v>0.96</v>
          </cell>
          <cell r="AC9">
            <v>0.98660000000000003</v>
          </cell>
          <cell r="AD9">
            <v>0.98660000000000003</v>
          </cell>
          <cell r="AE9">
            <v>0.98660000000000003</v>
          </cell>
          <cell r="AF9">
            <v>0.98660000000000003</v>
          </cell>
          <cell r="AG9">
            <v>0.98660000000000003</v>
          </cell>
          <cell r="AH9">
            <v>0.98660000000000003</v>
          </cell>
          <cell r="AI9">
            <v>0.98660000000000003</v>
          </cell>
          <cell r="AJ9">
            <v>0.98660000000000003</v>
          </cell>
          <cell r="AK9">
            <v>0.98660000000000003</v>
          </cell>
          <cell r="AL9">
            <v>0.98660000000000003</v>
          </cell>
          <cell r="AM9">
            <v>0.98660000000000003</v>
          </cell>
          <cell r="AN9">
            <v>0.98660000000000003</v>
          </cell>
          <cell r="AO9">
            <v>0.98660000000000003</v>
          </cell>
          <cell r="AP9">
            <v>0.98660000000000003</v>
          </cell>
          <cell r="AQ9">
            <v>0.98660000000000003</v>
          </cell>
          <cell r="AR9">
            <v>0.98660000000000003</v>
          </cell>
          <cell r="AU9">
            <v>0.96660000000000001</v>
          </cell>
        </row>
        <row r="10">
          <cell r="M10">
            <v>56482.85</v>
          </cell>
          <cell r="Y10">
            <v>50000</v>
          </cell>
          <cell r="Z10">
            <v>150000</v>
          </cell>
          <cell r="AA10">
            <v>100000</v>
          </cell>
          <cell r="AB10">
            <v>100000</v>
          </cell>
          <cell r="AC10">
            <v>100000</v>
          </cell>
          <cell r="AD10">
            <v>150000</v>
          </cell>
          <cell r="AE10">
            <v>100000</v>
          </cell>
          <cell r="AF10">
            <v>100000</v>
          </cell>
          <cell r="AG10">
            <v>50000</v>
          </cell>
          <cell r="AH10">
            <v>80000</v>
          </cell>
          <cell r="AI10">
            <v>50000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U10">
            <v>100000</v>
          </cell>
        </row>
        <row r="11">
          <cell r="H11" t="str">
            <v>Mist Production</v>
          </cell>
          <cell r="I11" t="str">
            <v>DukeBCS2BS</v>
          </cell>
          <cell r="J11" t="str">
            <v>Duke1ABSTBS</v>
          </cell>
          <cell r="K11" t="str">
            <v>CoralABSTBS</v>
          </cell>
          <cell r="L11" t="str">
            <v>CoralBCS2BS</v>
          </cell>
          <cell r="M11" t="str">
            <v>SempraBCS2BS</v>
          </cell>
          <cell r="N11" t="str">
            <v>BPCanadaBCS2BS</v>
          </cell>
          <cell r="O11" t="str">
            <v>SempraABTCBS</v>
          </cell>
          <cell r="P11" t="str">
            <v>HuskeyABSTBS</v>
          </cell>
          <cell r="Q11" t="str">
            <v>BurlingtonABSTBS</v>
          </cell>
          <cell r="R11" t="str">
            <v>Unused "R"</v>
          </cell>
          <cell r="S11" t="str">
            <v>BPCanadaABTCBS</v>
          </cell>
          <cell r="T11" t="str">
            <v>Unused "T"</v>
          </cell>
          <cell r="U11" t="str">
            <v>BPCanadaABSTBS</v>
          </cell>
          <cell r="V11" t="str">
            <v>Unused "V"</v>
          </cell>
          <cell r="Y11" t="str">
            <v>Duke2ABSTBS</v>
          </cell>
          <cell r="Z11" t="str">
            <v>Duke3ABSTBS</v>
          </cell>
          <cell r="AA11" t="str">
            <v>SempraABSTBS</v>
          </cell>
          <cell r="AB11" t="str">
            <v>CanadianresABTCBS</v>
          </cell>
          <cell r="AC11" t="str">
            <v>NationalFuelRKBS</v>
          </cell>
          <cell r="AD11" t="str">
            <v>OneokRKBS</v>
          </cell>
          <cell r="AE11" t="str">
            <v>EnsercoRKBS</v>
          </cell>
          <cell r="AF11" t="str">
            <v>WesternGasRKBS</v>
          </cell>
          <cell r="AG11" t="str">
            <v>ConocoPhRKBS</v>
          </cell>
          <cell r="AH11" t="str">
            <v>SempraRKBS</v>
          </cell>
          <cell r="AI11" t="str">
            <v>NationalFuelRKBS</v>
          </cell>
          <cell r="AJ11" t="str">
            <v>Unused "AJ"</v>
          </cell>
          <cell r="AK11" t="str">
            <v>Unused "AK"</v>
          </cell>
          <cell r="AL11" t="str">
            <v>Unused "AL"</v>
          </cell>
          <cell r="AM11" t="str">
            <v>Unused "AM"</v>
          </cell>
          <cell r="AN11" t="str">
            <v>Unused "AN"</v>
          </cell>
          <cell r="AO11" t="str">
            <v>Unused "AO"</v>
          </cell>
          <cell r="AP11" t="str">
            <v>Unused "AP"</v>
          </cell>
          <cell r="AQ11" t="str">
            <v>Unused "AQ"</v>
          </cell>
          <cell r="AR11" t="str">
            <v>Unused "AR"</v>
          </cell>
          <cell r="AS11" t="str">
            <v>Swing to Dispatch</v>
          </cell>
          <cell r="AT11" t="str">
            <v>Swing</v>
          </cell>
          <cell r="AU11" t="str">
            <v>SEMPRAABSTSW</v>
          </cell>
        </row>
        <row r="12">
          <cell r="C12" t="str">
            <v>Mo</v>
          </cell>
          <cell r="D12" t="str">
            <v>Dy</v>
          </cell>
          <cell r="E12" t="str">
            <v>Yr</v>
          </cell>
          <cell r="G12" t="str">
            <v>Take or Pay</v>
          </cell>
        </row>
        <row r="13">
          <cell r="C13" t="str">
            <v/>
          </cell>
          <cell r="D13" t="str">
            <v/>
          </cell>
          <cell r="E13" t="str">
            <v/>
          </cell>
          <cell r="F13" t="str">
            <v>Sum of</v>
          </cell>
          <cell r="G13" t="str">
            <v xml:space="preserve">Dispatch </v>
          </cell>
          <cell r="I13" t="str">
            <v>DukeBCS2BS</v>
          </cell>
          <cell r="J13" t="str">
            <v>Duke1ABSTBS</v>
          </cell>
          <cell r="K13" t="str">
            <v>CoralABSTBS</v>
          </cell>
          <cell r="W13" t="str">
            <v>Load after annual</v>
          </cell>
        </row>
        <row r="14">
          <cell r="C14" t="str">
            <v>Mo</v>
          </cell>
          <cell r="D14" t="str">
            <v>Dy</v>
          </cell>
          <cell r="E14" t="str">
            <v>Year</v>
          </cell>
          <cell r="F14" t="str">
            <v>Take or Pay</v>
          </cell>
          <cell r="G14" t="str">
            <v>Percentage</v>
          </cell>
          <cell r="H14" t="str">
            <v>Mist Production</v>
          </cell>
          <cell r="I14" t="str">
            <v>DukeBCS2BS</v>
          </cell>
          <cell r="J14" t="str">
            <v>Duke1ABSTBS</v>
          </cell>
          <cell r="K14" t="str">
            <v>CoralABSTBS</v>
          </cell>
          <cell r="L14" t="str">
            <v>CoralBCS2BS</v>
          </cell>
          <cell r="M14" t="str">
            <v>SempraBCS2BS</v>
          </cell>
          <cell r="N14" t="str">
            <v>BPCanadaBCS2BS</v>
          </cell>
          <cell r="O14" t="str">
            <v>SempraABTCBS</v>
          </cell>
          <cell r="P14" t="str">
            <v>HuskeyABSTBS</v>
          </cell>
          <cell r="Q14" t="str">
            <v>BurlingtonABSTBS</v>
          </cell>
          <cell r="R14" t="str">
            <v>Unused "R"</v>
          </cell>
          <cell r="S14" t="str">
            <v>BPCanadaABTCBS</v>
          </cell>
          <cell r="T14" t="str">
            <v>Unused "T"</v>
          </cell>
          <cell r="U14" t="str">
            <v>BPCanadaABSTBS</v>
          </cell>
          <cell r="V14" t="str">
            <v>Unused "V"</v>
          </cell>
          <cell r="W14" t="str">
            <v>Base Load Contracts</v>
          </cell>
          <cell r="X14" t="str">
            <v>Winter Only Load</v>
          </cell>
          <cell r="Y14" t="str">
            <v>Duke2ABSTBS</v>
          </cell>
          <cell r="Z14" t="str">
            <v>Duke3ABSTBS</v>
          </cell>
          <cell r="AA14" t="str">
            <v>SempraABSTBS</v>
          </cell>
          <cell r="AB14" t="str">
            <v>CanadianresABTCBS</v>
          </cell>
          <cell r="AC14" t="str">
            <v>NationalFuelRKBS</v>
          </cell>
          <cell r="AD14" t="str">
            <v>OneokRKBS</v>
          </cell>
          <cell r="AE14" t="str">
            <v>EnsercoRKBS</v>
          </cell>
          <cell r="AF14" t="str">
            <v>WesternGasRKBS</v>
          </cell>
          <cell r="AG14" t="str">
            <v>ConocoPhRKBS</v>
          </cell>
          <cell r="AH14" t="str">
            <v>SempraRKBS</v>
          </cell>
          <cell r="AI14" t="str">
            <v>NationalFuelRKBS</v>
          </cell>
          <cell r="AJ14" t="str">
            <v>Unused "AJ"</v>
          </cell>
          <cell r="AK14" t="str">
            <v>Unused "AK"</v>
          </cell>
          <cell r="AL14" t="str">
            <v>Unused "AL"</v>
          </cell>
          <cell r="AM14" t="str">
            <v>Unused "AM"</v>
          </cell>
          <cell r="AN14" t="str">
            <v>Unused "AN"</v>
          </cell>
          <cell r="AO14" t="str">
            <v>Unused "AO"</v>
          </cell>
          <cell r="AP14" t="str">
            <v>Unused "AP"</v>
          </cell>
          <cell r="AQ14" t="str">
            <v>Unused "AQ"</v>
          </cell>
          <cell r="AR14" t="str">
            <v>Unused "AR"</v>
          </cell>
          <cell r="AS14" t="str">
            <v>Swing to Dispatch</v>
          </cell>
          <cell r="AT14" t="str">
            <v>Swing</v>
          </cell>
          <cell r="AU14" t="str">
            <v>SEMPRAABSTSW</v>
          </cell>
        </row>
        <row r="15">
          <cell r="C15">
            <v>10</v>
          </cell>
          <cell r="D15">
            <v>982272.01963119593</v>
          </cell>
          <cell r="E15">
            <v>982272.01963119593</v>
          </cell>
          <cell r="F15">
            <v>688720</v>
          </cell>
          <cell r="G15">
            <v>1</v>
          </cell>
          <cell r="H15">
            <v>13100</v>
          </cell>
          <cell r="I15">
            <v>192920</v>
          </cell>
          <cell r="J15">
            <v>96660</v>
          </cell>
          <cell r="K15">
            <v>96660</v>
          </cell>
          <cell r="L15">
            <v>96460</v>
          </cell>
          <cell r="M15">
            <v>96460</v>
          </cell>
          <cell r="N15">
            <v>96460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293552.01963119593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293552.01963119593</v>
          </cell>
          <cell r="AT15">
            <v>293552.01963119593</v>
          </cell>
          <cell r="AU15" t="b">
            <v>0</v>
          </cell>
        </row>
        <row r="16">
          <cell r="C16">
            <v>10</v>
          </cell>
          <cell r="D16">
            <v>1048117.82776624</v>
          </cell>
          <cell r="E16">
            <v>1048117.82776624</v>
          </cell>
          <cell r="F16">
            <v>688720</v>
          </cell>
          <cell r="G16">
            <v>1</v>
          </cell>
          <cell r="H16">
            <v>13100</v>
          </cell>
          <cell r="I16">
            <v>192920</v>
          </cell>
          <cell r="J16">
            <v>96660</v>
          </cell>
          <cell r="K16">
            <v>96660</v>
          </cell>
          <cell r="L16">
            <v>96460</v>
          </cell>
          <cell r="M16">
            <v>96460</v>
          </cell>
          <cell r="N16">
            <v>96460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359397.82776623999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359397.82776623999</v>
          </cell>
          <cell r="AT16">
            <v>359397.82776623999</v>
          </cell>
          <cell r="AU16" t="b">
            <v>0</v>
          </cell>
        </row>
        <row r="17">
          <cell r="C17">
            <v>10</v>
          </cell>
          <cell r="D17">
            <v>957398.88890559191</v>
          </cell>
          <cell r="E17">
            <v>957398.88890559191</v>
          </cell>
          <cell r="F17">
            <v>688720</v>
          </cell>
          <cell r="G17">
            <v>1</v>
          </cell>
          <cell r="H17">
            <v>13100</v>
          </cell>
          <cell r="I17">
            <v>192920</v>
          </cell>
          <cell r="J17">
            <v>96660</v>
          </cell>
          <cell r="K17">
            <v>96660</v>
          </cell>
          <cell r="L17">
            <v>96460</v>
          </cell>
          <cell r="M17">
            <v>96460</v>
          </cell>
          <cell r="N17">
            <v>96460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268678.88890559191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268678.88890559191</v>
          </cell>
          <cell r="AT17">
            <v>268678.88890559191</v>
          </cell>
          <cell r="AU17" t="b">
            <v>0</v>
          </cell>
        </row>
        <row r="18">
          <cell r="C18">
            <v>10</v>
          </cell>
          <cell r="D18">
            <v>934664.24441319995</v>
          </cell>
          <cell r="E18">
            <v>934664.24441319995</v>
          </cell>
          <cell r="F18">
            <v>688720</v>
          </cell>
          <cell r="G18">
            <v>1</v>
          </cell>
          <cell r="H18">
            <v>13100</v>
          </cell>
          <cell r="I18">
            <v>192920</v>
          </cell>
          <cell r="J18">
            <v>96660</v>
          </cell>
          <cell r="K18">
            <v>96660</v>
          </cell>
          <cell r="L18">
            <v>96460</v>
          </cell>
          <cell r="M18">
            <v>96460</v>
          </cell>
          <cell r="N18">
            <v>96460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245944.24441319995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245944.24441319995</v>
          </cell>
          <cell r="AT18">
            <v>245944.24441319995</v>
          </cell>
          <cell r="AU18" t="b">
            <v>0</v>
          </cell>
        </row>
        <row r="19">
          <cell r="C19">
            <v>10</v>
          </cell>
          <cell r="D19">
            <v>891271.54336729599</v>
          </cell>
          <cell r="E19">
            <v>891271.54336729599</v>
          </cell>
          <cell r="F19">
            <v>688720</v>
          </cell>
          <cell r="G19">
            <v>1</v>
          </cell>
          <cell r="H19">
            <v>13100</v>
          </cell>
          <cell r="I19">
            <v>192920</v>
          </cell>
          <cell r="J19">
            <v>96660</v>
          </cell>
          <cell r="K19">
            <v>96660</v>
          </cell>
          <cell r="L19">
            <v>96460</v>
          </cell>
          <cell r="M19">
            <v>96460</v>
          </cell>
          <cell r="N19">
            <v>96460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202551.54336729599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202551.54336729599</v>
          </cell>
          <cell r="AT19">
            <v>202551.54336729599</v>
          </cell>
          <cell r="AU19" t="b">
            <v>0</v>
          </cell>
        </row>
        <row r="20">
          <cell r="C20">
            <v>10</v>
          </cell>
          <cell r="D20">
            <v>1055407.8494632121</v>
          </cell>
          <cell r="E20">
            <v>1055407.8494632121</v>
          </cell>
          <cell r="F20">
            <v>688720</v>
          </cell>
          <cell r="G20">
            <v>1</v>
          </cell>
          <cell r="H20">
            <v>13100</v>
          </cell>
          <cell r="I20">
            <v>192920</v>
          </cell>
          <cell r="J20">
            <v>96660</v>
          </cell>
          <cell r="K20">
            <v>96660</v>
          </cell>
          <cell r="L20">
            <v>96460</v>
          </cell>
          <cell r="M20">
            <v>96460</v>
          </cell>
          <cell r="N20">
            <v>96460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366687.84946321207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366687.84946321207</v>
          </cell>
          <cell r="AT20">
            <v>366687.84946321207</v>
          </cell>
          <cell r="AU20" t="b">
            <v>0</v>
          </cell>
        </row>
        <row r="21">
          <cell r="C21">
            <v>10</v>
          </cell>
          <cell r="D21">
            <v>1078630.691793158</v>
          </cell>
          <cell r="E21">
            <v>1078630.691793158</v>
          </cell>
          <cell r="F21">
            <v>688720</v>
          </cell>
          <cell r="G21">
            <v>1</v>
          </cell>
          <cell r="H21">
            <v>13100</v>
          </cell>
          <cell r="I21">
            <v>192920</v>
          </cell>
          <cell r="J21">
            <v>96660</v>
          </cell>
          <cell r="K21">
            <v>96660</v>
          </cell>
          <cell r="L21">
            <v>96460</v>
          </cell>
          <cell r="M21">
            <v>96460</v>
          </cell>
          <cell r="N21">
            <v>96460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389910.69179315795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389910.69179315795</v>
          </cell>
          <cell r="AT21">
            <v>389910.69179315795</v>
          </cell>
          <cell r="AU21" t="b">
            <v>0</v>
          </cell>
        </row>
        <row r="22">
          <cell r="C22">
            <v>10</v>
          </cell>
          <cell r="D22">
            <v>1281612.1710207479</v>
          </cell>
          <cell r="E22">
            <v>1281612.1710207479</v>
          </cell>
          <cell r="F22">
            <v>688720</v>
          </cell>
          <cell r="G22">
            <v>1</v>
          </cell>
          <cell r="H22">
            <v>13100</v>
          </cell>
          <cell r="I22">
            <v>192920</v>
          </cell>
          <cell r="J22">
            <v>96660</v>
          </cell>
          <cell r="K22">
            <v>96660</v>
          </cell>
          <cell r="L22">
            <v>96460</v>
          </cell>
          <cell r="M22">
            <v>96460</v>
          </cell>
          <cell r="N22">
            <v>96460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592892.17102074786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592892.17102074786</v>
          </cell>
          <cell r="AT22">
            <v>592892.17102074786</v>
          </cell>
          <cell r="AU22" t="b">
            <v>0</v>
          </cell>
        </row>
        <row r="23">
          <cell r="C23">
            <v>10</v>
          </cell>
          <cell r="D23">
            <v>1659473.3038492</v>
          </cell>
          <cell r="E23">
            <v>1659473.3038492</v>
          </cell>
          <cell r="F23">
            <v>688720</v>
          </cell>
          <cell r="G23">
            <v>1</v>
          </cell>
          <cell r="H23">
            <v>13100</v>
          </cell>
          <cell r="I23">
            <v>192920</v>
          </cell>
          <cell r="J23">
            <v>96660</v>
          </cell>
          <cell r="K23">
            <v>96660</v>
          </cell>
          <cell r="L23">
            <v>96460</v>
          </cell>
          <cell r="M23">
            <v>96460</v>
          </cell>
          <cell r="N23">
            <v>96460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970753.30384920002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970753.30384920002</v>
          </cell>
          <cell r="AT23">
            <v>970753.30384920002</v>
          </cell>
          <cell r="AU23" t="b">
            <v>0</v>
          </cell>
        </row>
        <row r="24">
          <cell r="C24">
            <v>10</v>
          </cell>
          <cell r="D24">
            <v>1562010.4459851219</v>
          </cell>
          <cell r="E24">
            <v>1562010.4459851219</v>
          </cell>
          <cell r="F24">
            <v>688720</v>
          </cell>
          <cell r="G24">
            <v>1</v>
          </cell>
          <cell r="H24">
            <v>13100</v>
          </cell>
          <cell r="I24">
            <v>192920</v>
          </cell>
          <cell r="J24">
            <v>96660</v>
          </cell>
          <cell r="K24">
            <v>96660</v>
          </cell>
          <cell r="L24">
            <v>96460</v>
          </cell>
          <cell r="M24">
            <v>96460</v>
          </cell>
          <cell r="N24">
            <v>96460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873290.44598512189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873290.44598512189</v>
          </cell>
          <cell r="AT24">
            <v>873290.44598512189</v>
          </cell>
          <cell r="AU24" t="b">
            <v>0</v>
          </cell>
        </row>
        <row r="25">
          <cell r="C25">
            <v>10</v>
          </cell>
          <cell r="D25">
            <v>1752263.8388507979</v>
          </cell>
          <cell r="E25">
            <v>1752263.8388507979</v>
          </cell>
          <cell r="F25">
            <v>688720</v>
          </cell>
          <cell r="G25">
            <v>1</v>
          </cell>
          <cell r="H25">
            <v>13100</v>
          </cell>
          <cell r="I25">
            <v>192920</v>
          </cell>
          <cell r="J25">
            <v>96660</v>
          </cell>
          <cell r="K25">
            <v>96660</v>
          </cell>
          <cell r="L25">
            <v>96460</v>
          </cell>
          <cell r="M25">
            <v>96460</v>
          </cell>
          <cell r="N25">
            <v>96460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1063543.8388507979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1063543.8388507979</v>
          </cell>
          <cell r="AT25">
            <v>1063543.8388507979</v>
          </cell>
          <cell r="AU25" t="b">
            <v>0</v>
          </cell>
        </row>
        <row r="26">
          <cell r="C26">
            <v>10</v>
          </cell>
          <cell r="D26">
            <v>1511440.537875464</v>
          </cell>
          <cell r="E26">
            <v>1511440.537875464</v>
          </cell>
          <cell r="F26">
            <v>688720</v>
          </cell>
          <cell r="G26">
            <v>1</v>
          </cell>
          <cell r="H26">
            <v>13100</v>
          </cell>
          <cell r="I26">
            <v>192920</v>
          </cell>
          <cell r="J26">
            <v>96660</v>
          </cell>
          <cell r="K26">
            <v>96660</v>
          </cell>
          <cell r="L26">
            <v>96460</v>
          </cell>
          <cell r="M26">
            <v>96460</v>
          </cell>
          <cell r="N26">
            <v>96460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822720.53787546395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822720.53787546395</v>
          </cell>
          <cell r="AT26">
            <v>822720.53787546395</v>
          </cell>
          <cell r="AU26" t="b">
            <v>0</v>
          </cell>
        </row>
        <row r="27">
          <cell r="C27">
            <v>10</v>
          </cell>
          <cell r="D27">
            <v>1610839.2149767959</v>
          </cell>
          <cell r="E27">
            <v>1610839.2149767959</v>
          </cell>
          <cell r="F27">
            <v>688720</v>
          </cell>
          <cell r="G27">
            <v>1</v>
          </cell>
          <cell r="H27">
            <v>13100</v>
          </cell>
          <cell r="I27">
            <v>192920</v>
          </cell>
          <cell r="J27">
            <v>96660</v>
          </cell>
          <cell r="K27">
            <v>96660</v>
          </cell>
          <cell r="L27">
            <v>96460</v>
          </cell>
          <cell r="M27">
            <v>96460</v>
          </cell>
          <cell r="N27">
            <v>96460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922119.21497679595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922119.21497679595</v>
          </cell>
          <cell r="AT27">
            <v>922119.21497679595</v>
          </cell>
          <cell r="AU27" t="b">
            <v>0</v>
          </cell>
        </row>
        <row r="28">
          <cell r="C28">
            <v>10</v>
          </cell>
          <cell r="D28">
            <v>1634394.5110488799</v>
          </cell>
          <cell r="E28">
            <v>1634394.5110488799</v>
          </cell>
          <cell r="F28">
            <v>688720</v>
          </cell>
          <cell r="G28">
            <v>1</v>
          </cell>
          <cell r="H28">
            <v>13100</v>
          </cell>
          <cell r="I28">
            <v>192920</v>
          </cell>
          <cell r="J28">
            <v>96660</v>
          </cell>
          <cell r="K28">
            <v>96660</v>
          </cell>
          <cell r="L28">
            <v>96460</v>
          </cell>
          <cell r="M28">
            <v>96460</v>
          </cell>
          <cell r="N28">
            <v>96460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945674.51104887994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945674.51104887994</v>
          </cell>
          <cell r="AT28">
            <v>945674.51104887994</v>
          </cell>
          <cell r="AU28" t="b">
            <v>0</v>
          </cell>
        </row>
        <row r="29">
          <cell r="C29">
            <v>10</v>
          </cell>
          <cell r="D29">
            <v>1833445.448586388</v>
          </cell>
          <cell r="E29">
            <v>1833445.448586388</v>
          </cell>
          <cell r="F29">
            <v>688720</v>
          </cell>
          <cell r="G29">
            <v>1</v>
          </cell>
          <cell r="H29">
            <v>13100</v>
          </cell>
          <cell r="I29">
            <v>192920</v>
          </cell>
          <cell r="J29">
            <v>96660</v>
          </cell>
          <cell r="K29">
            <v>96660</v>
          </cell>
          <cell r="L29">
            <v>96460</v>
          </cell>
          <cell r="M29">
            <v>96460</v>
          </cell>
          <cell r="N29">
            <v>96460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1144725.448586388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1144725.448586388</v>
          </cell>
          <cell r="AT29">
            <v>1144725.448586388</v>
          </cell>
          <cell r="AU29" t="b">
            <v>0</v>
          </cell>
        </row>
        <row r="30">
          <cell r="C30">
            <v>10</v>
          </cell>
          <cell r="D30">
            <v>1255294.413974202</v>
          </cell>
          <cell r="E30">
            <v>1255294.413974202</v>
          </cell>
          <cell r="F30">
            <v>688720</v>
          </cell>
          <cell r="G30">
            <v>1</v>
          </cell>
          <cell r="H30">
            <v>13100</v>
          </cell>
          <cell r="I30">
            <v>192920</v>
          </cell>
          <cell r="J30">
            <v>96660</v>
          </cell>
          <cell r="K30">
            <v>96660</v>
          </cell>
          <cell r="L30">
            <v>96460</v>
          </cell>
          <cell r="M30">
            <v>96460</v>
          </cell>
          <cell r="N30">
            <v>96460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566574.41397420201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566574.41397420201</v>
          </cell>
          <cell r="AT30">
            <v>566574.41397420201</v>
          </cell>
          <cell r="AU30" t="b">
            <v>0</v>
          </cell>
        </row>
        <row r="31">
          <cell r="C31">
            <v>10</v>
          </cell>
          <cell r="D31">
            <v>1002537.72086741</v>
          </cell>
          <cell r="E31">
            <v>1002537.72086741</v>
          </cell>
          <cell r="F31">
            <v>688720</v>
          </cell>
          <cell r="G31">
            <v>1</v>
          </cell>
          <cell r="H31">
            <v>13100</v>
          </cell>
          <cell r="I31">
            <v>192920</v>
          </cell>
          <cell r="J31">
            <v>96660</v>
          </cell>
          <cell r="K31">
            <v>96660</v>
          </cell>
          <cell r="L31">
            <v>96460</v>
          </cell>
          <cell r="M31">
            <v>96460</v>
          </cell>
          <cell r="N31">
            <v>96460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313817.72086740995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313817.72086740995</v>
          </cell>
          <cell r="AT31">
            <v>313817.72086740995</v>
          </cell>
          <cell r="AU31" t="b">
            <v>0</v>
          </cell>
        </row>
        <row r="32">
          <cell r="C32">
            <v>10</v>
          </cell>
          <cell r="D32">
            <v>976667.22891539196</v>
          </cell>
          <cell r="E32">
            <v>976667.22891539196</v>
          </cell>
          <cell r="F32">
            <v>688720</v>
          </cell>
          <cell r="G32">
            <v>1</v>
          </cell>
          <cell r="H32">
            <v>13100</v>
          </cell>
          <cell r="I32">
            <v>192920</v>
          </cell>
          <cell r="J32">
            <v>96660</v>
          </cell>
          <cell r="K32">
            <v>96660</v>
          </cell>
          <cell r="L32">
            <v>96460</v>
          </cell>
          <cell r="M32">
            <v>96460</v>
          </cell>
          <cell r="N32">
            <v>96460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287947.22891539196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287947.22891539196</v>
          </cell>
          <cell r="AT32">
            <v>287947.22891539196</v>
          </cell>
          <cell r="AU32" t="b">
            <v>0</v>
          </cell>
        </row>
        <row r="33">
          <cell r="C33">
            <v>10</v>
          </cell>
          <cell r="D33">
            <v>952895.28881314595</v>
          </cell>
          <cell r="E33">
            <v>952895.28881314595</v>
          </cell>
          <cell r="F33">
            <v>688720</v>
          </cell>
          <cell r="G33">
            <v>1</v>
          </cell>
          <cell r="H33">
            <v>13100</v>
          </cell>
          <cell r="I33">
            <v>192920</v>
          </cell>
          <cell r="J33">
            <v>96660</v>
          </cell>
          <cell r="K33">
            <v>96660</v>
          </cell>
          <cell r="L33">
            <v>96460</v>
          </cell>
          <cell r="M33">
            <v>96460</v>
          </cell>
          <cell r="N33">
            <v>96460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264175.28881314595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264175.28881314595</v>
          </cell>
          <cell r="AT33">
            <v>264175.28881314595</v>
          </cell>
          <cell r="AU33" t="b">
            <v>0</v>
          </cell>
        </row>
        <row r="34">
          <cell r="C34">
            <v>10</v>
          </cell>
          <cell r="D34">
            <v>932617.60726189998</v>
          </cell>
          <cell r="E34">
            <v>932617.60726189998</v>
          </cell>
          <cell r="F34">
            <v>688720</v>
          </cell>
          <cell r="G34">
            <v>1</v>
          </cell>
          <cell r="H34">
            <v>13100</v>
          </cell>
          <cell r="I34">
            <v>192920</v>
          </cell>
          <cell r="J34">
            <v>96660</v>
          </cell>
          <cell r="K34">
            <v>96660</v>
          </cell>
          <cell r="L34">
            <v>96460</v>
          </cell>
          <cell r="M34">
            <v>96460</v>
          </cell>
          <cell r="N34">
            <v>96460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243897.60726189998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243897.60726189998</v>
          </cell>
          <cell r="AT34">
            <v>243897.60726189998</v>
          </cell>
          <cell r="AU34" t="b">
            <v>0</v>
          </cell>
        </row>
        <row r="35">
          <cell r="C35">
            <v>10</v>
          </cell>
          <cell r="D35">
            <v>866258.64229965198</v>
          </cell>
          <cell r="E35">
            <v>866258.64229965198</v>
          </cell>
          <cell r="F35">
            <v>688720</v>
          </cell>
          <cell r="G35">
            <v>1</v>
          </cell>
          <cell r="H35">
            <v>13100</v>
          </cell>
          <cell r="I35">
            <v>192920</v>
          </cell>
          <cell r="J35">
            <v>96660</v>
          </cell>
          <cell r="K35">
            <v>96660</v>
          </cell>
          <cell r="L35">
            <v>96460</v>
          </cell>
          <cell r="M35">
            <v>96460</v>
          </cell>
          <cell r="N35">
            <v>96460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177538.64229965198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177538.64229965198</v>
          </cell>
          <cell r="AT35">
            <v>177538.64229965198</v>
          </cell>
          <cell r="AU35" t="b">
            <v>0</v>
          </cell>
        </row>
        <row r="36">
          <cell r="C36">
            <v>10</v>
          </cell>
          <cell r="D36">
            <v>1114410.9009958119</v>
          </cell>
          <cell r="E36">
            <v>1114410.9009958119</v>
          </cell>
          <cell r="F36">
            <v>688720</v>
          </cell>
          <cell r="G36">
            <v>1</v>
          </cell>
          <cell r="H36">
            <v>13100</v>
          </cell>
          <cell r="I36">
            <v>192920</v>
          </cell>
          <cell r="J36">
            <v>96660</v>
          </cell>
          <cell r="K36">
            <v>96660</v>
          </cell>
          <cell r="L36">
            <v>96460</v>
          </cell>
          <cell r="M36">
            <v>96460</v>
          </cell>
          <cell r="N36">
            <v>96460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425690.90099581191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425690.90099581191</v>
          </cell>
          <cell r="AT36">
            <v>425690.90099581191</v>
          </cell>
          <cell r="AU36" t="b">
            <v>0</v>
          </cell>
        </row>
        <row r="37">
          <cell r="C37">
            <v>10</v>
          </cell>
          <cell r="D37">
            <v>1613539.7776569258</v>
          </cell>
          <cell r="E37">
            <v>1613539.7776569258</v>
          </cell>
          <cell r="F37">
            <v>688720</v>
          </cell>
          <cell r="G37">
            <v>1</v>
          </cell>
          <cell r="H37">
            <v>13100</v>
          </cell>
          <cell r="I37">
            <v>192920</v>
          </cell>
          <cell r="J37">
            <v>96660</v>
          </cell>
          <cell r="K37">
            <v>96660</v>
          </cell>
          <cell r="L37">
            <v>96460</v>
          </cell>
          <cell r="M37">
            <v>96460</v>
          </cell>
          <cell r="N37">
            <v>96460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924819.77765692584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924819.77765692584</v>
          </cell>
          <cell r="AT37">
            <v>924819.77765692584</v>
          </cell>
          <cell r="AU37" t="b">
            <v>0</v>
          </cell>
        </row>
        <row r="38">
          <cell r="B38">
            <v>24</v>
          </cell>
          <cell r="C38">
            <v>10</v>
          </cell>
          <cell r="D38">
            <v>1760394.479319182</v>
          </cell>
          <cell r="E38">
            <v>1760394.479319182</v>
          </cell>
          <cell r="F38">
            <v>688720</v>
          </cell>
          <cell r="G38">
            <v>1</v>
          </cell>
          <cell r="H38">
            <v>13100</v>
          </cell>
          <cell r="I38">
            <v>192920</v>
          </cell>
          <cell r="J38">
            <v>96660</v>
          </cell>
          <cell r="K38">
            <v>96660</v>
          </cell>
          <cell r="L38">
            <v>96460</v>
          </cell>
          <cell r="M38">
            <v>96460</v>
          </cell>
          <cell r="N38">
            <v>96460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1071674.479319182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1071674.479319182</v>
          </cell>
          <cell r="AT38">
            <v>1071674.479319182</v>
          </cell>
          <cell r="AU38" t="b">
            <v>0</v>
          </cell>
        </row>
        <row r="39">
          <cell r="B39">
            <v>25</v>
          </cell>
          <cell r="C39">
            <v>10</v>
          </cell>
          <cell r="D39">
            <v>1449538.25010512</v>
          </cell>
          <cell r="E39">
            <v>1449538.25010512</v>
          </cell>
          <cell r="F39">
            <v>688720</v>
          </cell>
          <cell r="G39">
            <v>1</v>
          </cell>
          <cell r="H39">
            <v>13100</v>
          </cell>
          <cell r="I39">
            <v>192920</v>
          </cell>
          <cell r="J39">
            <v>96660</v>
          </cell>
          <cell r="K39">
            <v>96660</v>
          </cell>
          <cell r="L39">
            <v>96460</v>
          </cell>
          <cell r="M39">
            <v>96460</v>
          </cell>
          <cell r="N39">
            <v>96460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760818.25010512001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760818.25010512001</v>
          </cell>
          <cell r="AT39">
            <v>760818.25010512001</v>
          </cell>
          <cell r="AU39" t="b">
            <v>0</v>
          </cell>
        </row>
        <row r="40">
          <cell r="B40">
            <v>26</v>
          </cell>
          <cell r="C40">
            <v>10</v>
          </cell>
          <cell r="D40">
            <v>1234108.2251996959</v>
          </cell>
          <cell r="E40">
            <v>1234108.2251996959</v>
          </cell>
          <cell r="F40">
            <v>688720</v>
          </cell>
          <cell r="G40">
            <v>1</v>
          </cell>
          <cell r="H40">
            <v>13100</v>
          </cell>
          <cell r="I40">
            <v>192920</v>
          </cell>
          <cell r="J40">
            <v>96660</v>
          </cell>
          <cell r="K40">
            <v>96660</v>
          </cell>
          <cell r="L40">
            <v>96460</v>
          </cell>
          <cell r="M40">
            <v>96460</v>
          </cell>
          <cell r="N40">
            <v>96460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545388.22519969591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545388.22519969591</v>
          </cell>
          <cell r="AT40">
            <v>545388.22519969591</v>
          </cell>
          <cell r="AU40" t="b">
            <v>0</v>
          </cell>
        </row>
        <row r="41">
          <cell r="B41">
            <v>27</v>
          </cell>
          <cell r="C41">
            <v>10</v>
          </cell>
          <cell r="D41">
            <v>1241374.286266604</v>
          </cell>
          <cell r="E41">
            <v>1241374.286266604</v>
          </cell>
          <cell r="F41">
            <v>688720</v>
          </cell>
          <cell r="G41">
            <v>1</v>
          </cell>
          <cell r="H41">
            <v>13100</v>
          </cell>
          <cell r="I41">
            <v>192920</v>
          </cell>
          <cell r="J41">
            <v>96660</v>
          </cell>
          <cell r="K41">
            <v>96660</v>
          </cell>
          <cell r="L41">
            <v>96460</v>
          </cell>
          <cell r="M41">
            <v>96460</v>
          </cell>
          <cell r="N41">
            <v>96460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552654.28626660397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552654.28626660397</v>
          </cell>
          <cell r="AT41">
            <v>552654.28626660397</v>
          </cell>
          <cell r="AU41" t="b">
            <v>0</v>
          </cell>
        </row>
        <row r="42">
          <cell r="B42">
            <v>28</v>
          </cell>
          <cell r="C42">
            <v>10</v>
          </cell>
          <cell r="D42">
            <v>1319928.2135718421</v>
          </cell>
          <cell r="E42">
            <v>1319928.2135718421</v>
          </cell>
          <cell r="F42">
            <v>688720</v>
          </cell>
          <cell r="G42">
            <v>1</v>
          </cell>
          <cell r="H42">
            <v>13100</v>
          </cell>
          <cell r="I42">
            <v>192920</v>
          </cell>
          <cell r="J42">
            <v>96660</v>
          </cell>
          <cell r="K42">
            <v>96660</v>
          </cell>
          <cell r="L42">
            <v>96460</v>
          </cell>
          <cell r="M42">
            <v>96460</v>
          </cell>
          <cell r="N42">
            <v>96460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631208.21357184206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631208.21357184206</v>
          </cell>
          <cell r="AT42">
            <v>631208.21357184206</v>
          </cell>
          <cell r="AU42" t="b">
            <v>0</v>
          </cell>
        </row>
        <row r="43">
          <cell r="B43">
            <v>29</v>
          </cell>
          <cell r="C43">
            <v>10</v>
          </cell>
          <cell r="D43">
            <v>1523456.79385256</v>
          </cell>
          <cell r="E43">
            <v>1523456.79385256</v>
          </cell>
          <cell r="F43">
            <v>688720</v>
          </cell>
          <cell r="G43">
            <v>1</v>
          </cell>
          <cell r="H43">
            <v>13100</v>
          </cell>
          <cell r="I43">
            <v>192920</v>
          </cell>
          <cell r="J43">
            <v>96660</v>
          </cell>
          <cell r="K43">
            <v>96660</v>
          </cell>
          <cell r="L43">
            <v>96460</v>
          </cell>
          <cell r="M43">
            <v>96460</v>
          </cell>
          <cell r="N43">
            <v>96460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834736.79385255999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834736.79385255999</v>
          </cell>
          <cell r="AT43">
            <v>834736.79385255999</v>
          </cell>
          <cell r="AU43" t="b">
            <v>0</v>
          </cell>
        </row>
        <row r="44">
          <cell r="B44">
            <v>30</v>
          </cell>
          <cell r="C44">
            <v>10</v>
          </cell>
          <cell r="D44">
            <v>1523456.79385256</v>
          </cell>
          <cell r="E44">
            <v>1523456.79385256</v>
          </cell>
          <cell r="F44">
            <v>688720</v>
          </cell>
          <cell r="G44">
            <v>1</v>
          </cell>
          <cell r="H44">
            <v>13100</v>
          </cell>
          <cell r="I44">
            <v>192920</v>
          </cell>
          <cell r="J44">
            <v>96660</v>
          </cell>
          <cell r="K44">
            <v>96660</v>
          </cell>
          <cell r="L44">
            <v>96460</v>
          </cell>
          <cell r="M44">
            <v>96460</v>
          </cell>
          <cell r="N44">
            <v>96460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834736.79385255999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834736.79385255999</v>
          </cell>
          <cell r="AT44">
            <v>834736.79385255999</v>
          </cell>
          <cell r="AU44" t="b">
            <v>0</v>
          </cell>
        </row>
        <row r="45">
          <cell r="B45">
            <v>31</v>
          </cell>
          <cell r="C45">
            <v>10</v>
          </cell>
          <cell r="D45">
            <v>1523456.79385256</v>
          </cell>
          <cell r="E45">
            <v>1523456.79385256</v>
          </cell>
          <cell r="F45">
            <v>688720</v>
          </cell>
          <cell r="G45">
            <v>1</v>
          </cell>
          <cell r="H45">
            <v>13100</v>
          </cell>
          <cell r="I45">
            <v>192920</v>
          </cell>
          <cell r="J45">
            <v>96660</v>
          </cell>
          <cell r="K45">
            <v>96660</v>
          </cell>
          <cell r="L45">
            <v>96460</v>
          </cell>
          <cell r="M45">
            <v>96460</v>
          </cell>
          <cell r="N45">
            <v>96460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834736.79385255999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834736.79385255999</v>
          </cell>
          <cell r="AT45">
            <v>834736.79385255999</v>
          </cell>
          <cell r="AU45" t="b">
            <v>0</v>
          </cell>
        </row>
        <row r="46">
          <cell r="B46">
            <v>32</v>
          </cell>
          <cell r="C46">
            <v>11</v>
          </cell>
          <cell r="D46">
            <v>2472667.1374337799</v>
          </cell>
          <cell r="E46">
            <v>2472667.1374337799</v>
          </cell>
          <cell r="F46">
            <v>1219030</v>
          </cell>
          <cell r="G46">
            <v>1</v>
          </cell>
          <cell r="H46">
            <v>13100</v>
          </cell>
          <cell r="I46">
            <v>192920</v>
          </cell>
          <cell r="J46">
            <v>96660</v>
          </cell>
          <cell r="K46">
            <v>96660</v>
          </cell>
          <cell r="L46">
            <v>96460</v>
          </cell>
          <cell r="M46">
            <v>96460</v>
          </cell>
          <cell r="N46">
            <v>96460</v>
          </cell>
          <cell r="O46">
            <v>96000</v>
          </cell>
          <cell r="P46">
            <v>96660</v>
          </cell>
          <cell r="Q46">
            <v>144990</v>
          </cell>
          <cell r="R46">
            <v>0</v>
          </cell>
          <cell r="S46">
            <v>96000</v>
          </cell>
          <cell r="T46">
            <v>0</v>
          </cell>
          <cell r="U46">
            <v>96660</v>
          </cell>
          <cell r="V46">
            <v>0</v>
          </cell>
          <cell r="W46">
            <v>1253637.1374337799</v>
          </cell>
          <cell r="X46">
            <v>0</v>
          </cell>
          <cell r="Y46">
            <v>48330</v>
          </cell>
          <cell r="Z46">
            <v>0</v>
          </cell>
          <cell r="AA46">
            <v>96660</v>
          </cell>
          <cell r="AB46">
            <v>96000</v>
          </cell>
          <cell r="AC46">
            <v>98660</v>
          </cell>
          <cell r="AD46">
            <v>147990</v>
          </cell>
          <cell r="AE46">
            <v>98660</v>
          </cell>
          <cell r="AF46">
            <v>98660</v>
          </cell>
          <cell r="AG46">
            <v>49330</v>
          </cell>
          <cell r="AH46">
            <v>78928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440419.13743377989</v>
          </cell>
          <cell r="AT46">
            <v>440419.13743377989</v>
          </cell>
          <cell r="AU46">
            <v>96660</v>
          </cell>
        </row>
        <row r="47">
          <cell r="B47">
            <v>33</v>
          </cell>
          <cell r="C47">
            <v>11</v>
          </cell>
          <cell r="D47">
            <v>2472667.1374337799</v>
          </cell>
          <cell r="E47">
            <v>2472667.1374337799</v>
          </cell>
          <cell r="F47">
            <v>1219030</v>
          </cell>
          <cell r="G47">
            <v>1</v>
          </cell>
          <cell r="H47">
            <v>13100</v>
          </cell>
          <cell r="I47">
            <v>192920</v>
          </cell>
          <cell r="J47">
            <v>96660</v>
          </cell>
          <cell r="K47">
            <v>96660</v>
          </cell>
          <cell r="L47">
            <v>96460</v>
          </cell>
          <cell r="M47">
            <v>96460</v>
          </cell>
          <cell r="N47">
            <v>96460</v>
          </cell>
          <cell r="O47">
            <v>96000</v>
          </cell>
          <cell r="P47">
            <v>96660</v>
          </cell>
          <cell r="Q47">
            <v>144990</v>
          </cell>
          <cell r="R47">
            <v>0</v>
          </cell>
          <cell r="S47">
            <v>96000</v>
          </cell>
          <cell r="T47">
            <v>0</v>
          </cell>
          <cell r="U47">
            <v>96660</v>
          </cell>
          <cell r="V47">
            <v>0</v>
          </cell>
          <cell r="W47">
            <v>1253637.1374337799</v>
          </cell>
          <cell r="X47">
            <v>0</v>
          </cell>
          <cell r="Y47">
            <v>48330</v>
          </cell>
          <cell r="Z47">
            <v>0</v>
          </cell>
          <cell r="AA47">
            <v>96660</v>
          </cell>
          <cell r="AB47">
            <v>96000</v>
          </cell>
          <cell r="AC47">
            <v>98660</v>
          </cell>
          <cell r="AD47">
            <v>147990</v>
          </cell>
          <cell r="AE47">
            <v>98660</v>
          </cell>
          <cell r="AF47">
            <v>98660</v>
          </cell>
          <cell r="AG47">
            <v>49330</v>
          </cell>
          <cell r="AH47">
            <v>78928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440419.13743377989</v>
          </cell>
          <cell r="AT47">
            <v>440419.13743377989</v>
          </cell>
          <cell r="AU47">
            <v>96660</v>
          </cell>
        </row>
        <row r="48">
          <cell r="B48">
            <v>34</v>
          </cell>
          <cell r="C48">
            <v>11</v>
          </cell>
          <cell r="D48">
            <v>2472667.1374337799</v>
          </cell>
          <cell r="E48">
            <v>2472667.1374337799</v>
          </cell>
          <cell r="F48">
            <v>1219030</v>
          </cell>
          <cell r="G48">
            <v>1</v>
          </cell>
          <cell r="H48">
            <v>13100</v>
          </cell>
          <cell r="I48">
            <v>192920</v>
          </cell>
          <cell r="J48">
            <v>96660</v>
          </cell>
          <cell r="K48">
            <v>96660</v>
          </cell>
          <cell r="L48">
            <v>96460</v>
          </cell>
          <cell r="M48">
            <v>96460</v>
          </cell>
          <cell r="N48">
            <v>96460</v>
          </cell>
          <cell r="O48">
            <v>96000</v>
          </cell>
          <cell r="P48">
            <v>96660</v>
          </cell>
          <cell r="Q48">
            <v>144990</v>
          </cell>
          <cell r="R48">
            <v>0</v>
          </cell>
          <cell r="S48">
            <v>96000</v>
          </cell>
          <cell r="T48">
            <v>0</v>
          </cell>
          <cell r="U48">
            <v>96660</v>
          </cell>
          <cell r="V48">
            <v>0</v>
          </cell>
          <cell r="W48">
            <v>1253637.1374337799</v>
          </cell>
          <cell r="X48">
            <v>0</v>
          </cell>
          <cell r="Y48">
            <v>48330</v>
          </cell>
          <cell r="Z48">
            <v>0</v>
          </cell>
          <cell r="AA48">
            <v>96660</v>
          </cell>
          <cell r="AB48">
            <v>96000</v>
          </cell>
          <cell r="AC48">
            <v>98660</v>
          </cell>
          <cell r="AD48">
            <v>147990</v>
          </cell>
          <cell r="AE48">
            <v>98660</v>
          </cell>
          <cell r="AF48">
            <v>98660</v>
          </cell>
          <cell r="AG48">
            <v>49330</v>
          </cell>
          <cell r="AH48">
            <v>78928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440419.13743377989</v>
          </cell>
          <cell r="AT48">
            <v>440419.13743377989</v>
          </cell>
          <cell r="AU48">
            <v>96660</v>
          </cell>
        </row>
        <row r="49">
          <cell r="B49">
            <v>35</v>
          </cell>
          <cell r="C49">
            <v>11</v>
          </cell>
          <cell r="D49">
            <v>2472667.1374337799</v>
          </cell>
          <cell r="E49">
            <v>2472667.1374337799</v>
          </cell>
          <cell r="F49">
            <v>1219030</v>
          </cell>
          <cell r="G49">
            <v>1</v>
          </cell>
          <cell r="H49">
            <v>13100</v>
          </cell>
          <cell r="I49">
            <v>192920</v>
          </cell>
          <cell r="J49">
            <v>96660</v>
          </cell>
          <cell r="K49">
            <v>96660</v>
          </cell>
          <cell r="L49">
            <v>96460</v>
          </cell>
          <cell r="M49">
            <v>96460</v>
          </cell>
          <cell r="N49">
            <v>96460</v>
          </cell>
          <cell r="O49">
            <v>96000</v>
          </cell>
          <cell r="P49">
            <v>96660</v>
          </cell>
          <cell r="Q49">
            <v>144990</v>
          </cell>
          <cell r="R49">
            <v>0</v>
          </cell>
          <cell r="S49">
            <v>96000</v>
          </cell>
          <cell r="T49">
            <v>0</v>
          </cell>
          <cell r="U49">
            <v>96660</v>
          </cell>
          <cell r="V49">
            <v>0</v>
          </cell>
          <cell r="W49">
            <v>1253637.1374337799</v>
          </cell>
          <cell r="X49">
            <v>0</v>
          </cell>
          <cell r="Y49">
            <v>48330</v>
          </cell>
          <cell r="Z49">
            <v>0</v>
          </cell>
          <cell r="AA49">
            <v>96660</v>
          </cell>
          <cell r="AB49">
            <v>96000</v>
          </cell>
          <cell r="AC49">
            <v>98660</v>
          </cell>
          <cell r="AD49">
            <v>147990</v>
          </cell>
          <cell r="AE49">
            <v>98660</v>
          </cell>
          <cell r="AF49">
            <v>98660</v>
          </cell>
          <cell r="AG49">
            <v>49330</v>
          </cell>
          <cell r="AH49">
            <v>78928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440419.13743377989</v>
          </cell>
          <cell r="AT49">
            <v>440419.13743377989</v>
          </cell>
          <cell r="AU49">
            <v>96660</v>
          </cell>
        </row>
        <row r="50">
          <cell r="B50">
            <v>36</v>
          </cell>
          <cell r="C50">
            <v>11</v>
          </cell>
          <cell r="D50">
            <v>2472667.1374337799</v>
          </cell>
          <cell r="E50">
            <v>2472667.1374337799</v>
          </cell>
          <cell r="F50">
            <v>1219030</v>
          </cell>
          <cell r="G50">
            <v>1</v>
          </cell>
          <cell r="H50">
            <v>13100</v>
          </cell>
          <cell r="I50">
            <v>192920</v>
          </cell>
          <cell r="J50">
            <v>96660</v>
          </cell>
          <cell r="K50">
            <v>96660</v>
          </cell>
          <cell r="L50">
            <v>96460</v>
          </cell>
          <cell r="M50">
            <v>96460</v>
          </cell>
          <cell r="N50">
            <v>96460</v>
          </cell>
          <cell r="O50">
            <v>96000</v>
          </cell>
          <cell r="P50">
            <v>96660</v>
          </cell>
          <cell r="Q50">
            <v>144990</v>
          </cell>
          <cell r="R50">
            <v>0</v>
          </cell>
          <cell r="S50">
            <v>96000</v>
          </cell>
          <cell r="T50">
            <v>0</v>
          </cell>
          <cell r="U50">
            <v>96660</v>
          </cell>
          <cell r="V50">
            <v>0</v>
          </cell>
          <cell r="W50">
            <v>1253637.1374337799</v>
          </cell>
          <cell r="X50">
            <v>0</v>
          </cell>
          <cell r="Y50">
            <v>48330</v>
          </cell>
          <cell r="Z50">
            <v>0</v>
          </cell>
          <cell r="AA50">
            <v>96660</v>
          </cell>
          <cell r="AB50">
            <v>96000</v>
          </cell>
          <cell r="AC50">
            <v>98660</v>
          </cell>
          <cell r="AD50">
            <v>147990</v>
          </cell>
          <cell r="AE50">
            <v>98660</v>
          </cell>
          <cell r="AF50">
            <v>98660</v>
          </cell>
          <cell r="AG50">
            <v>49330</v>
          </cell>
          <cell r="AH50">
            <v>78928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440419.13743377989</v>
          </cell>
          <cell r="AT50">
            <v>440419.13743377989</v>
          </cell>
          <cell r="AU50">
            <v>96660</v>
          </cell>
        </row>
        <row r="51">
          <cell r="B51">
            <v>37</v>
          </cell>
          <cell r="C51">
            <v>11</v>
          </cell>
          <cell r="D51">
            <v>2472667.1374337799</v>
          </cell>
          <cell r="E51">
            <v>2472667.1374337799</v>
          </cell>
          <cell r="F51">
            <v>1219030</v>
          </cell>
          <cell r="G51">
            <v>1</v>
          </cell>
          <cell r="H51">
            <v>13100</v>
          </cell>
          <cell r="I51">
            <v>192920</v>
          </cell>
          <cell r="J51">
            <v>96660</v>
          </cell>
          <cell r="K51">
            <v>96660</v>
          </cell>
          <cell r="L51">
            <v>96460</v>
          </cell>
          <cell r="M51">
            <v>96460</v>
          </cell>
          <cell r="N51">
            <v>96460</v>
          </cell>
          <cell r="O51">
            <v>96000</v>
          </cell>
          <cell r="P51">
            <v>96660</v>
          </cell>
          <cell r="Q51">
            <v>144990</v>
          </cell>
          <cell r="R51">
            <v>0</v>
          </cell>
          <cell r="S51">
            <v>96000</v>
          </cell>
          <cell r="T51">
            <v>0</v>
          </cell>
          <cell r="U51">
            <v>96660</v>
          </cell>
          <cell r="V51">
            <v>0</v>
          </cell>
          <cell r="W51">
            <v>1253637.1374337799</v>
          </cell>
          <cell r="X51">
            <v>0</v>
          </cell>
          <cell r="Y51">
            <v>48330</v>
          </cell>
          <cell r="Z51">
            <v>0</v>
          </cell>
          <cell r="AA51">
            <v>96660</v>
          </cell>
          <cell r="AB51">
            <v>96000</v>
          </cell>
          <cell r="AC51">
            <v>98660</v>
          </cell>
          <cell r="AD51">
            <v>147990</v>
          </cell>
          <cell r="AE51">
            <v>98660</v>
          </cell>
          <cell r="AF51">
            <v>98660</v>
          </cell>
          <cell r="AG51">
            <v>49330</v>
          </cell>
          <cell r="AH51">
            <v>78928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440419.13743377989</v>
          </cell>
          <cell r="AT51">
            <v>440419.13743377989</v>
          </cell>
          <cell r="AU51">
            <v>96660</v>
          </cell>
        </row>
        <row r="52">
          <cell r="B52">
            <v>38</v>
          </cell>
          <cell r="C52">
            <v>11</v>
          </cell>
          <cell r="D52">
            <v>2472667.1374337799</v>
          </cell>
          <cell r="E52">
            <v>2472667.1374337799</v>
          </cell>
          <cell r="F52">
            <v>1219030</v>
          </cell>
          <cell r="G52">
            <v>1</v>
          </cell>
          <cell r="H52">
            <v>13100</v>
          </cell>
          <cell r="I52">
            <v>192920</v>
          </cell>
          <cell r="J52">
            <v>96660</v>
          </cell>
          <cell r="K52">
            <v>96660</v>
          </cell>
          <cell r="L52">
            <v>96460</v>
          </cell>
          <cell r="M52">
            <v>96460</v>
          </cell>
          <cell r="N52">
            <v>96460</v>
          </cell>
          <cell r="O52">
            <v>96000</v>
          </cell>
          <cell r="P52">
            <v>96660</v>
          </cell>
          <cell r="Q52">
            <v>144990</v>
          </cell>
          <cell r="R52">
            <v>0</v>
          </cell>
          <cell r="S52">
            <v>96000</v>
          </cell>
          <cell r="T52">
            <v>0</v>
          </cell>
          <cell r="U52">
            <v>96660</v>
          </cell>
          <cell r="V52">
            <v>0</v>
          </cell>
          <cell r="W52">
            <v>1253637.1374337799</v>
          </cell>
          <cell r="X52">
            <v>0</v>
          </cell>
          <cell r="Y52">
            <v>48330</v>
          </cell>
          <cell r="Z52">
            <v>0</v>
          </cell>
          <cell r="AA52">
            <v>96660</v>
          </cell>
          <cell r="AB52">
            <v>96000</v>
          </cell>
          <cell r="AC52">
            <v>98660</v>
          </cell>
          <cell r="AD52">
            <v>147990</v>
          </cell>
          <cell r="AE52">
            <v>98660</v>
          </cell>
          <cell r="AF52">
            <v>98660</v>
          </cell>
          <cell r="AG52">
            <v>49330</v>
          </cell>
          <cell r="AH52">
            <v>78928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440419.13743377989</v>
          </cell>
          <cell r="AT52">
            <v>440419.13743377989</v>
          </cell>
          <cell r="AU52">
            <v>96660</v>
          </cell>
        </row>
        <row r="53">
          <cell r="B53">
            <v>39</v>
          </cell>
          <cell r="C53">
            <v>11</v>
          </cell>
          <cell r="D53">
            <v>2472667.1374337799</v>
          </cell>
          <cell r="E53">
            <v>2472667.1374337799</v>
          </cell>
          <cell r="F53">
            <v>1219030</v>
          </cell>
          <cell r="G53">
            <v>1</v>
          </cell>
          <cell r="H53">
            <v>13100</v>
          </cell>
          <cell r="I53">
            <v>192920</v>
          </cell>
          <cell r="J53">
            <v>96660</v>
          </cell>
          <cell r="K53">
            <v>96660</v>
          </cell>
          <cell r="L53">
            <v>96460</v>
          </cell>
          <cell r="M53">
            <v>96460</v>
          </cell>
          <cell r="N53">
            <v>96460</v>
          </cell>
          <cell r="O53">
            <v>96000</v>
          </cell>
          <cell r="P53">
            <v>96660</v>
          </cell>
          <cell r="Q53">
            <v>144990</v>
          </cell>
          <cell r="R53">
            <v>0</v>
          </cell>
          <cell r="S53">
            <v>96000</v>
          </cell>
          <cell r="T53">
            <v>0</v>
          </cell>
          <cell r="U53">
            <v>96660</v>
          </cell>
          <cell r="V53">
            <v>0</v>
          </cell>
          <cell r="W53">
            <v>1253637.1374337799</v>
          </cell>
          <cell r="X53">
            <v>0</v>
          </cell>
          <cell r="Y53">
            <v>48330</v>
          </cell>
          <cell r="Z53">
            <v>0</v>
          </cell>
          <cell r="AA53">
            <v>96660</v>
          </cell>
          <cell r="AB53">
            <v>96000</v>
          </cell>
          <cell r="AC53">
            <v>98660</v>
          </cell>
          <cell r="AD53">
            <v>147990</v>
          </cell>
          <cell r="AE53">
            <v>98660</v>
          </cell>
          <cell r="AF53">
            <v>98660</v>
          </cell>
          <cell r="AG53">
            <v>49330</v>
          </cell>
          <cell r="AH53">
            <v>78928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440419.13743377989</v>
          </cell>
          <cell r="AT53">
            <v>440419.13743377989</v>
          </cell>
          <cell r="AU53">
            <v>96660</v>
          </cell>
        </row>
        <row r="54">
          <cell r="B54">
            <v>40</v>
          </cell>
          <cell r="C54">
            <v>11</v>
          </cell>
          <cell r="D54">
            <v>2240117.2423476279</v>
          </cell>
          <cell r="E54">
            <v>2240117.2423476279</v>
          </cell>
          <cell r="F54">
            <v>1219030</v>
          </cell>
          <cell r="G54">
            <v>1</v>
          </cell>
          <cell r="H54">
            <v>13100</v>
          </cell>
          <cell r="I54">
            <v>192920</v>
          </cell>
          <cell r="J54">
            <v>96660</v>
          </cell>
          <cell r="K54">
            <v>96660</v>
          </cell>
          <cell r="L54">
            <v>96460</v>
          </cell>
          <cell r="M54">
            <v>96460</v>
          </cell>
          <cell r="N54">
            <v>96460</v>
          </cell>
          <cell r="O54">
            <v>96000</v>
          </cell>
          <cell r="P54">
            <v>96660</v>
          </cell>
          <cell r="Q54">
            <v>144990</v>
          </cell>
          <cell r="R54">
            <v>0</v>
          </cell>
          <cell r="S54">
            <v>96000</v>
          </cell>
          <cell r="T54">
            <v>0</v>
          </cell>
          <cell r="U54">
            <v>96660</v>
          </cell>
          <cell r="V54">
            <v>0</v>
          </cell>
          <cell r="W54">
            <v>1021087.2423476279</v>
          </cell>
          <cell r="X54">
            <v>0</v>
          </cell>
          <cell r="Y54">
            <v>48330</v>
          </cell>
          <cell r="Z54">
            <v>0</v>
          </cell>
          <cell r="AA54">
            <v>96660</v>
          </cell>
          <cell r="AB54">
            <v>96000</v>
          </cell>
          <cell r="AC54">
            <v>98660</v>
          </cell>
          <cell r="AD54">
            <v>147990</v>
          </cell>
          <cell r="AE54">
            <v>98660</v>
          </cell>
          <cell r="AF54">
            <v>98660</v>
          </cell>
          <cell r="AG54">
            <v>49330</v>
          </cell>
          <cell r="AH54">
            <v>78928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207869.24234762788</v>
          </cell>
          <cell r="AT54">
            <v>207869.24234762788</v>
          </cell>
          <cell r="AU54">
            <v>96660</v>
          </cell>
        </row>
        <row r="55">
          <cell r="B55">
            <v>41</v>
          </cell>
          <cell r="C55">
            <v>11</v>
          </cell>
          <cell r="D55">
            <v>2430037.1831115801</v>
          </cell>
          <cell r="E55">
            <v>2430037.1831115801</v>
          </cell>
          <cell r="F55">
            <v>1219030</v>
          </cell>
          <cell r="G55">
            <v>1</v>
          </cell>
          <cell r="H55">
            <v>13100</v>
          </cell>
          <cell r="I55">
            <v>192920</v>
          </cell>
          <cell r="J55">
            <v>96660</v>
          </cell>
          <cell r="K55">
            <v>96660</v>
          </cell>
          <cell r="L55">
            <v>96460</v>
          </cell>
          <cell r="M55">
            <v>96460</v>
          </cell>
          <cell r="N55">
            <v>96460</v>
          </cell>
          <cell r="O55">
            <v>96000</v>
          </cell>
          <cell r="P55">
            <v>96660</v>
          </cell>
          <cell r="Q55">
            <v>144990</v>
          </cell>
          <cell r="R55">
            <v>0</v>
          </cell>
          <cell r="S55">
            <v>96000</v>
          </cell>
          <cell r="T55">
            <v>0</v>
          </cell>
          <cell r="U55">
            <v>96660</v>
          </cell>
          <cell r="V55">
            <v>0</v>
          </cell>
          <cell r="W55">
            <v>1211007.1831115801</v>
          </cell>
          <cell r="X55">
            <v>0</v>
          </cell>
          <cell r="Y55">
            <v>48330</v>
          </cell>
          <cell r="Z55">
            <v>0</v>
          </cell>
          <cell r="AA55">
            <v>96660</v>
          </cell>
          <cell r="AB55">
            <v>96000</v>
          </cell>
          <cell r="AC55">
            <v>98660</v>
          </cell>
          <cell r="AD55">
            <v>147990</v>
          </cell>
          <cell r="AE55">
            <v>98660</v>
          </cell>
          <cell r="AF55">
            <v>98660</v>
          </cell>
          <cell r="AG55">
            <v>49330</v>
          </cell>
          <cell r="AH55">
            <v>78928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397789.18311158009</v>
          </cell>
          <cell r="AT55">
            <v>397789.18311158009</v>
          </cell>
          <cell r="AU55">
            <v>96660</v>
          </cell>
        </row>
        <row r="56">
          <cell r="B56">
            <v>42</v>
          </cell>
          <cell r="C56">
            <v>11</v>
          </cell>
          <cell r="D56">
            <v>2384897.3527901759</v>
          </cell>
          <cell r="E56">
            <v>2384897.3527901759</v>
          </cell>
          <cell r="F56">
            <v>1219030</v>
          </cell>
          <cell r="G56">
            <v>1</v>
          </cell>
          <cell r="H56">
            <v>13100</v>
          </cell>
          <cell r="I56">
            <v>192920</v>
          </cell>
          <cell r="J56">
            <v>96660</v>
          </cell>
          <cell r="K56">
            <v>96660</v>
          </cell>
          <cell r="L56">
            <v>96460</v>
          </cell>
          <cell r="M56">
            <v>96460</v>
          </cell>
          <cell r="N56">
            <v>96460</v>
          </cell>
          <cell r="O56">
            <v>96000</v>
          </cell>
          <cell r="P56">
            <v>96660</v>
          </cell>
          <cell r="Q56">
            <v>144990</v>
          </cell>
          <cell r="R56">
            <v>0</v>
          </cell>
          <cell r="S56">
            <v>96000</v>
          </cell>
          <cell r="T56">
            <v>0</v>
          </cell>
          <cell r="U56">
            <v>96660</v>
          </cell>
          <cell r="V56">
            <v>0</v>
          </cell>
          <cell r="W56">
            <v>1165867.3527901759</v>
          </cell>
          <cell r="X56">
            <v>0</v>
          </cell>
          <cell r="Y56">
            <v>48330</v>
          </cell>
          <cell r="Z56">
            <v>0</v>
          </cell>
          <cell r="AA56">
            <v>96660</v>
          </cell>
          <cell r="AB56">
            <v>96000</v>
          </cell>
          <cell r="AC56">
            <v>98660</v>
          </cell>
          <cell r="AD56">
            <v>147990</v>
          </cell>
          <cell r="AE56">
            <v>98660</v>
          </cell>
          <cell r="AF56">
            <v>98660</v>
          </cell>
          <cell r="AG56">
            <v>49330</v>
          </cell>
          <cell r="AH56">
            <v>78928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352649.35279017594</v>
          </cell>
          <cell r="AT56">
            <v>352649.35279017594</v>
          </cell>
          <cell r="AU56">
            <v>96660</v>
          </cell>
        </row>
        <row r="57">
          <cell r="B57">
            <v>43</v>
          </cell>
          <cell r="C57">
            <v>11</v>
          </cell>
          <cell r="D57">
            <v>2472667.1374337799</v>
          </cell>
          <cell r="E57">
            <v>2472667.1374337799</v>
          </cell>
          <cell r="F57">
            <v>1219030</v>
          </cell>
          <cell r="G57">
            <v>1</v>
          </cell>
          <cell r="H57">
            <v>13100</v>
          </cell>
          <cell r="I57">
            <v>192920</v>
          </cell>
          <cell r="J57">
            <v>96660</v>
          </cell>
          <cell r="K57">
            <v>96660</v>
          </cell>
          <cell r="L57">
            <v>96460</v>
          </cell>
          <cell r="M57">
            <v>96460</v>
          </cell>
          <cell r="N57">
            <v>96460</v>
          </cell>
          <cell r="O57">
            <v>96000</v>
          </cell>
          <cell r="P57">
            <v>96660</v>
          </cell>
          <cell r="Q57">
            <v>144990</v>
          </cell>
          <cell r="R57">
            <v>0</v>
          </cell>
          <cell r="S57">
            <v>96000</v>
          </cell>
          <cell r="T57">
            <v>0</v>
          </cell>
          <cell r="U57">
            <v>96660</v>
          </cell>
          <cell r="V57">
            <v>0</v>
          </cell>
          <cell r="W57">
            <v>1253637.1374337799</v>
          </cell>
          <cell r="X57">
            <v>0</v>
          </cell>
          <cell r="Y57">
            <v>48330</v>
          </cell>
          <cell r="Z57">
            <v>0</v>
          </cell>
          <cell r="AA57">
            <v>96660</v>
          </cell>
          <cell r="AB57">
            <v>96000</v>
          </cell>
          <cell r="AC57">
            <v>98660</v>
          </cell>
          <cell r="AD57">
            <v>147990</v>
          </cell>
          <cell r="AE57">
            <v>98660</v>
          </cell>
          <cell r="AF57">
            <v>98660</v>
          </cell>
          <cell r="AG57">
            <v>49330</v>
          </cell>
          <cell r="AH57">
            <v>78928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440419.13743377989</v>
          </cell>
          <cell r="AT57">
            <v>440419.13743377989</v>
          </cell>
          <cell r="AU57">
            <v>96660</v>
          </cell>
        </row>
        <row r="58">
          <cell r="B58">
            <v>44</v>
          </cell>
          <cell r="C58">
            <v>11</v>
          </cell>
          <cell r="D58">
            <v>2472667.1374337799</v>
          </cell>
          <cell r="E58">
            <v>2472667.1374337799</v>
          </cell>
          <cell r="F58">
            <v>1219030</v>
          </cell>
          <cell r="G58">
            <v>1</v>
          </cell>
          <cell r="H58">
            <v>13100</v>
          </cell>
          <cell r="I58">
            <v>192920</v>
          </cell>
          <cell r="J58">
            <v>96660</v>
          </cell>
          <cell r="K58">
            <v>96660</v>
          </cell>
          <cell r="L58">
            <v>96460</v>
          </cell>
          <cell r="M58">
            <v>96460</v>
          </cell>
          <cell r="N58">
            <v>96460</v>
          </cell>
          <cell r="O58">
            <v>96000</v>
          </cell>
          <cell r="P58">
            <v>96660</v>
          </cell>
          <cell r="Q58">
            <v>144990</v>
          </cell>
          <cell r="R58">
            <v>0</v>
          </cell>
          <cell r="S58">
            <v>96000</v>
          </cell>
          <cell r="T58">
            <v>0</v>
          </cell>
          <cell r="U58">
            <v>96660</v>
          </cell>
          <cell r="V58">
            <v>0</v>
          </cell>
          <cell r="W58">
            <v>1253637.1374337799</v>
          </cell>
          <cell r="X58">
            <v>0</v>
          </cell>
          <cell r="Y58">
            <v>48330</v>
          </cell>
          <cell r="Z58">
            <v>0</v>
          </cell>
          <cell r="AA58">
            <v>96660</v>
          </cell>
          <cell r="AB58">
            <v>96000</v>
          </cell>
          <cell r="AC58">
            <v>98660</v>
          </cell>
          <cell r="AD58">
            <v>147990</v>
          </cell>
          <cell r="AE58">
            <v>98660</v>
          </cell>
          <cell r="AF58">
            <v>98660</v>
          </cell>
          <cell r="AG58">
            <v>49330</v>
          </cell>
          <cell r="AH58">
            <v>78928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440419.13743377989</v>
          </cell>
          <cell r="AT58">
            <v>440419.13743377989</v>
          </cell>
          <cell r="AU58">
            <v>96660</v>
          </cell>
        </row>
        <row r="59">
          <cell r="B59">
            <v>45</v>
          </cell>
          <cell r="C59">
            <v>11</v>
          </cell>
          <cell r="D59">
            <v>2325834.3996824161</v>
          </cell>
          <cell r="E59">
            <v>2325834.3996824161</v>
          </cell>
          <cell r="F59">
            <v>1219030</v>
          </cell>
          <cell r="G59">
            <v>1</v>
          </cell>
          <cell r="H59">
            <v>13100</v>
          </cell>
          <cell r="I59">
            <v>192920</v>
          </cell>
          <cell r="J59">
            <v>96660</v>
          </cell>
          <cell r="K59">
            <v>96660</v>
          </cell>
          <cell r="L59">
            <v>96460</v>
          </cell>
          <cell r="M59">
            <v>96460</v>
          </cell>
          <cell r="N59">
            <v>96460</v>
          </cell>
          <cell r="O59">
            <v>96000</v>
          </cell>
          <cell r="P59">
            <v>96660</v>
          </cell>
          <cell r="Q59">
            <v>144990</v>
          </cell>
          <cell r="R59">
            <v>0</v>
          </cell>
          <cell r="S59">
            <v>96000</v>
          </cell>
          <cell r="T59">
            <v>0</v>
          </cell>
          <cell r="U59">
            <v>96660</v>
          </cell>
          <cell r="V59">
            <v>0</v>
          </cell>
          <cell r="W59">
            <v>1106804.3996824161</v>
          </cell>
          <cell r="X59">
            <v>0</v>
          </cell>
          <cell r="Y59">
            <v>48330</v>
          </cell>
          <cell r="Z59">
            <v>0</v>
          </cell>
          <cell r="AA59">
            <v>96660</v>
          </cell>
          <cell r="AB59">
            <v>96000</v>
          </cell>
          <cell r="AC59">
            <v>98660</v>
          </cell>
          <cell r="AD59">
            <v>147990</v>
          </cell>
          <cell r="AE59">
            <v>98660</v>
          </cell>
          <cell r="AF59">
            <v>98660</v>
          </cell>
          <cell r="AG59">
            <v>49330</v>
          </cell>
          <cell r="AH59">
            <v>78928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293586.39968241611</v>
          </cell>
          <cell r="AT59">
            <v>293586.39968241611</v>
          </cell>
          <cell r="AU59">
            <v>96660</v>
          </cell>
        </row>
        <row r="60">
          <cell r="B60">
            <v>46</v>
          </cell>
          <cell r="C60">
            <v>11</v>
          </cell>
          <cell r="D60">
            <v>2457690.7452841941</v>
          </cell>
          <cell r="E60">
            <v>2457690.7452841941</v>
          </cell>
          <cell r="F60">
            <v>1219030</v>
          </cell>
          <cell r="G60">
            <v>1</v>
          </cell>
          <cell r="H60">
            <v>13100</v>
          </cell>
          <cell r="I60">
            <v>192920</v>
          </cell>
          <cell r="J60">
            <v>96660</v>
          </cell>
          <cell r="K60">
            <v>96660</v>
          </cell>
          <cell r="L60">
            <v>96460</v>
          </cell>
          <cell r="M60">
            <v>96460</v>
          </cell>
          <cell r="N60">
            <v>96460</v>
          </cell>
          <cell r="O60">
            <v>96000</v>
          </cell>
          <cell r="P60">
            <v>96660</v>
          </cell>
          <cell r="Q60">
            <v>144990</v>
          </cell>
          <cell r="R60">
            <v>0</v>
          </cell>
          <cell r="S60">
            <v>96000</v>
          </cell>
          <cell r="T60">
            <v>0</v>
          </cell>
          <cell r="U60">
            <v>96660</v>
          </cell>
          <cell r="V60">
            <v>0</v>
          </cell>
          <cell r="W60">
            <v>1238660.7452841941</v>
          </cell>
          <cell r="X60">
            <v>0</v>
          </cell>
          <cell r="Y60">
            <v>48330</v>
          </cell>
          <cell r="Z60">
            <v>0</v>
          </cell>
          <cell r="AA60">
            <v>96660</v>
          </cell>
          <cell r="AB60">
            <v>96000</v>
          </cell>
          <cell r="AC60">
            <v>98660</v>
          </cell>
          <cell r="AD60">
            <v>147990</v>
          </cell>
          <cell r="AE60">
            <v>98660</v>
          </cell>
          <cell r="AF60">
            <v>98660</v>
          </cell>
          <cell r="AG60">
            <v>49330</v>
          </cell>
          <cell r="AH60">
            <v>78928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425442.74528419413</v>
          </cell>
          <cell r="AT60">
            <v>425442.74528419413</v>
          </cell>
          <cell r="AU60">
            <v>96660</v>
          </cell>
        </row>
        <row r="61">
          <cell r="B61">
            <v>47</v>
          </cell>
          <cell r="C61">
            <v>11</v>
          </cell>
          <cell r="D61">
            <v>2472667.1374337799</v>
          </cell>
          <cell r="E61">
            <v>2472667.1374337799</v>
          </cell>
          <cell r="F61">
            <v>1219030</v>
          </cell>
          <cell r="G61">
            <v>1</v>
          </cell>
          <cell r="H61">
            <v>13100</v>
          </cell>
          <cell r="I61">
            <v>192920</v>
          </cell>
          <cell r="J61">
            <v>96660</v>
          </cell>
          <cell r="K61">
            <v>96660</v>
          </cell>
          <cell r="L61">
            <v>96460</v>
          </cell>
          <cell r="M61">
            <v>96460</v>
          </cell>
          <cell r="N61">
            <v>96460</v>
          </cell>
          <cell r="O61">
            <v>96000</v>
          </cell>
          <cell r="P61">
            <v>96660</v>
          </cell>
          <cell r="Q61">
            <v>144990</v>
          </cell>
          <cell r="R61">
            <v>0</v>
          </cell>
          <cell r="S61">
            <v>96000</v>
          </cell>
          <cell r="T61">
            <v>0</v>
          </cell>
          <cell r="U61">
            <v>96660</v>
          </cell>
          <cell r="V61">
            <v>0</v>
          </cell>
          <cell r="W61">
            <v>1253637.1374337799</v>
          </cell>
          <cell r="X61">
            <v>0</v>
          </cell>
          <cell r="Y61">
            <v>48330</v>
          </cell>
          <cell r="Z61">
            <v>0</v>
          </cell>
          <cell r="AA61">
            <v>96660</v>
          </cell>
          <cell r="AB61">
            <v>96000</v>
          </cell>
          <cell r="AC61">
            <v>98660</v>
          </cell>
          <cell r="AD61">
            <v>147990</v>
          </cell>
          <cell r="AE61">
            <v>98660</v>
          </cell>
          <cell r="AF61">
            <v>98660</v>
          </cell>
          <cell r="AG61">
            <v>49330</v>
          </cell>
          <cell r="AH61">
            <v>78928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440419.13743377989</v>
          </cell>
          <cell r="AT61">
            <v>440419.13743377989</v>
          </cell>
          <cell r="AU61">
            <v>96660</v>
          </cell>
        </row>
        <row r="62">
          <cell r="B62">
            <v>48</v>
          </cell>
          <cell r="C62">
            <v>11</v>
          </cell>
          <cell r="D62">
            <v>2472667.1374337799</v>
          </cell>
          <cell r="E62">
            <v>2472667.1374337799</v>
          </cell>
          <cell r="F62">
            <v>1219030</v>
          </cell>
          <cell r="G62">
            <v>1</v>
          </cell>
          <cell r="H62">
            <v>13100</v>
          </cell>
          <cell r="I62">
            <v>192920</v>
          </cell>
          <cell r="J62">
            <v>96660</v>
          </cell>
          <cell r="K62">
            <v>96660</v>
          </cell>
          <cell r="L62">
            <v>96460</v>
          </cell>
          <cell r="M62">
            <v>96460</v>
          </cell>
          <cell r="N62">
            <v>96460</v>
          </cell>
          <cell r="O62">
            <v>96000</v>
          </cell>
          <cell r="P62">
            <v>96660</v>
          </cell>
          <cell r="Q62">
            <v>144990</v>
          </cell>
          <cell r="R62">
            <v>0</v>
          </cell>
          <cell r="S62">
            <v>96000</v>
          </cell>
          <cell r="T62">
            <v>0</v>
          </cell>
          <cell r="U62">
            <v>96660</v>
          </cell>
          <cell r="V62">
            <v>0</v>
          </cell>
          <cell r="W62">
            <v>1253637.1374337799</v>
          </cell>
          <cell r="X62">
            <v>0</v>
          </cell>
          <cell r="Y62">
            <v>48330</v>
          </cell>
          <cell r="Z62">
            <v>0</v>
          </cell>
          <cell r="AA62">
            <v>96660</v>
          </cell>
          <cell r="AB62">
            <v>96000</v>
          </cell>
          <cell r="AC62">
            <v>98660</v>
          </cell>
          <cell r="AD62">
            <v>147990</v>
          </cell>
          <cell r="AE62">
            <v>98660</v>
          </cell>
          <cell r="AF62">
            <v>98660</v>
          </cell>
          <cell r="AG62">
            <v>49330</v>
          </cell>
          <cell r="AH62">
            <v>78928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440419.13743377989</v>
          </cell>
          <cell r="AT62">
            <v>440419.13743377989</v>
          </cell>
          <cell r="AU62">
            <v>96660</v>
          </cell>
        </row>
        <row r="63">
          <cell r="B63">
            <v>49</v>
          </cell>
          <cell r="C63">
            <v>11</v>
          </cell>
          <cell r="D63">
            <v>2104664.8055170779</v>
          </cell>
          <cell r="E63">
            <v>2104664.8055170779</v>
          </cell>
          <cell r="F63">
            <v>1219030</v>
          </cell>
          <cell r="G63">
            <v>1</v>
          </cell>
          <cell r="H63">
            <v>13100</v>
          </cell>
          <cell r="I63">
            <v>192920</v>
          </cell>
          <cell r="J63">
            <v>96660</v>
          </cell>
          <cell r="K63">
            <v>96660</v>
          </cell>
          <cell r="L63">
            <v>96460</v>
          </cell>
          <cell r="M63">
            <v>96460</v>
          </cell>
          <cell r="N63">
            <v>96460</v>
          </cell>
          <cell r="O63">
            <v>96000</v>
          </cell>
          <cell r="P63">
            <v>96660</v>
          </cell>
          <cell r="Q63">
            <v>144990</v>
          </cell>
          <cell r="R63">
            <v>0</v>
          </cell>
          <cell r="S63">
            <v>96000</v>
          </cell>
          <cell r="T63">
            <v>0</v>
          </cell>
          <cell r="U63">
            <v>96660</v>
          </cell>
          <cell r="V63">
            <v>0</v>
          </cell>
          <cell r="W63">
            <v>885634.80551707791</v>
          </cell>
          <cell r="X63">
            <v>0</v>
          </cell>
          <cell r="Y63">
            <v>48330</v>
          </cell>
          <cell r="Z63">
            <v>0</v>
          </cell>
          <cell r="AA63">
            <v>96660</v>
          </cell>
          <cell r="AB63">
            <v>96000</v>
          </cell>
          <cell r="AC63">
            <v>98660</v>
          </cell>
          <cell r="AD63">
            <v>147990</v>
          </cell>
          <cell r="AE63">
            <v>98660</v>
          </cell>
          <cell r="AF63">
            <v>98660</v>
          </cell>
          <cell r="AG63">
            <v>49330</v>
          </cell>
          <cell r="AH63">
            <v>78928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72416.805517077912</v>
          </cell>
          <cell r="AT63">
            <v>72416.805517077912</v>
          </cell>
          <cell r="AU63">
            <v>72416.805517077912</v>
          </cell>
        </row>
        <row r="64">
          <cell r="B64">
            <v>50</v>
          </cell>
          <cell r="C64">
            <v>11</v>
          </cell>
          <cell r="D64">
            <v>2472667.1374337799</v>
          </cell>
          <cell r="E64">
            <v>2472667.1374337799</v>
          </cell>
          <cell r="F64">
            <v>1219030</v>
          </cell>
          <cell r="G64">
            <v>1</v>
          </cell>
          <cell r="H64">
            <v>13100</v>
          </cell>
          <cell r="I64">
            <v>192920</v>
          </cell>
          <cell r="J64">
            <v>96660</v>
          </cell>
          <cell r="K64">
            <v>96660</v>
          </cell>
          <cell r="L64">
            <v>96460</v>
          </cell>
          <cell r="M64">
            <v>96460</v>
          </cell>
          <cell r="N64">
            <v>96460</v>
          </cell>
          <cell r="O64">
            <v>96000</v>
          </cell>
          <cell r="P64">
            <v>96660</v>
          </cell>
          <cell r="Q64">
            <v>144990</v>
          </cell>
          <cell r="R64">
            <v>0</v>
          </cell>
          <cell r="S64">
            <v>96000</v>
          </cell>
          <cell r="T64">
            <v>0</v>
          </cell>
          <cell r="U64">
            <v>96660</v>
          </cell>
          <cell r="V64">
            <v>0</v>
          </cell>
          <cell r="W64">
            <v>1253637.1374337799</v>
          </cell>
          <cell r="X64">
            <v>0</v>
          </cell>
          <cell r="Y64">
            <v>48330</v>
          </cell>
          <cell r="Z64">
            <v>0</v>
          </cell>
          <cell r="AA64">
            <v>96660</v>
          </cell>
          <cell r="AB64">
            <v>96000</v>
          </cell>
          <cell r="AC64">
            <v>98660</v>
          </cell>
          <cell r="AD64">
            <v>147990</v>
          </cell>
          <cell r="AE64">
            <v>98660</v>
          </cell>
          <cell r="AF64">
            <v>98660</v>
          </cell>
          <cell r="AG64">
            <v>49330</v>
          </cell>
          <cell r="AH64">
            <v>78928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440419.13743377989</v>
          </cell>
          <cell r="AT64">
            <v>440419.13743377989</v>
          </cell>
          <cell r="AU64">
            <v>96660</v>
          </cell>
        </row>
        <row r="65">
          <cell r="B65">
            <v>51</v>
          </cell>
          <cell r="C65">
            <v>11</v>
          </cell>
          <cell r="D65">
            <v>2472667.1374337799</v>
          </cell>
          <cell r="E65">
            <v>2472667.1374337799</v>
          </cell>
          <cell r="F65">
            <v>1219030</v>
          </cell>
          <cell r="G65">
            <v>1</v>
          </cell>
          <cell r="H65">
            <v>13100</v>
          </cell>
          <cell r="I65">
            <v>192920</v>
          </cell>
          <cell r="J65">
            <v>96660</v>
          </cell>
          <cell r="K65">
            <v>96660</v>
          </cell>
          <cell r="L65">
            <v>96460</v>
          </cell>
          <cell r="M65">
            <v>96460</v>
          </cell>
          <cell r="N65">
            <v>96460</v>
          </cell>
          <cell r="O65">
            <v>96000</v>
          </cell>
          <cell r="P65">
            <v>96660</v>
          </cell>
          <cell r="Q65">
            <v>144990</v>
          </cell>
          <cell r="R65">
            <v>0</v>
          </cell>
          <cell r="S65">
            <v>96000</v>
          </cell>
          <cell r="T65">
            <v>0</v>
          </cell>
          <cell r="U65">
            <v>96660</v>
          </cell>
          <cell r="V65">
            <v>0</v>
          </cell>
          <cell r="W65">
            <v>1253637.1374337799</v>
          </cell>
          <cell r="X65">
            <v>0</v>
          </cell>
          <cell r="Y65">
            <v>48330</v>
          </cell>
          <cell r="Z65">
            <v>0</v>
          </cell>
          <cell r="AA65">
            <v>96660</v>
          </cell>
          <cell r="AB65">
            <v>96000</v>
          </cell>
          <cell r="AC65">
            <v>98660</v>
          </cell>
          <cell r="AD65">
            <v>147990</v>
          </cell>
          <cell r="AE65">
            <v>98660</v>
          </cell>
          <cell r="AF65">
            <v>98660</v>
          </cell>
          <cell r="AG65">
            <v>49330</v>
          </cell>
          <cell r="AH65">
            <v>78928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440419.13743377989</v>
          </cell>
          <cell r="AT65">
            <v>440419.13743377989</v>
          </cell>
          <cell r="AU65">
            <v>96660</v>
          </cell>
        </row>
        <row r="66">
          <cell r="B66">
            <v>52</v>
          </cell>
          <cell r="C66">
            <v>11</v>
          </cell>
          <cell r="D66">
            <v>2472667.1374337799</v>
          </cell>
          <cell r="E66">
            <v>2472667.1374337799</v>
          </cell>
          <cell r="F66">
            <v>1219030</v>
          </cell>
          <cell r="G66">
            <v>1</v>
          </cell>
          <cell r="H66">
            <v>13100</v>
          </cell>
          <cell r="I66">
            <v>192920</v>
          </cell>
          <cell r="J66">
            <v>96660</v>
          </cell>
          <cell r="K66">
            <v>96660</v>
          </cell>
          <cell r="L66">
            <v>96460</v>
          </cell>
          <cell r="M66">
            <v>96460</v>
          </cell>
          <cell r="N66">
            <v>96460</v>
          </cell>
          <cell r="O66">
            <v>96000</v>
          </cell>
          <cell r="P66">
            <v>96660</v>
          </cell>
          <cell r="Q66">
            <v>144990</v>
          </cell>
          <cell r="R66">
            <v>0</v>
          </cell>
          <cell r="S66">
            <v>96000</v>
          </cell>
          <cell r="T66">
            <v>0</v>
          </cell>
          <cell r="U66">
            <v>96660</v>
          </cell>
          <cell r="V66">
            <v>0</v>
          </cell>
          <cell r="W66">
            <v>1253637.1374337799</v>
          </cell>
          <cell r="X66">
            <v>0</v>
          </cell>
          <cell r="Y66">
            <v>48330</v>
          </cell>
          <cell r="Z66">
            <v>0</v>
          </cell>
          <cell r="AA66">
            <v>96660</v>
          </cell>
          <cell r="AB66">
            <v>96000</v>
          </cell>
          <cell r="AC66">
            <v>98660</v>
          </cell>
          <cell r="AD66">
            <v>147990</v>
          </cell>
          <cell r="AE66">
            <v>98660</v>
          </cell>
          <cell r="AF66">
            <v>98660</v>
          </cell>
          <cell r="AG66">
            <v>49330</v>
          </cell>
          <cell r="AH66">
            <v>78928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440419.13743377989</v>
          </cell>
          <cell r="AT66">
            <v>440419.13743377989</v>
          </cell>
          <cell r="AU66">
            <v>96660</v>
          </cell>
        </row>
        <row r="67">
          <cell r="B67">
            <v>53</v>
          </cell>
          <cell r="C67">
            <v>11</v>
          </cell>
          <cell r="D67">
            <v>2472667.1374337799</v>
          </cell>
          <cell r="E67">
            <v>2472667.1374337799</v>
          </cell>
          <cell r="F67">
            <v>1219030</v>
          </cell>
          <cell r="G67">
            <v>1</v>
          </cell>
          <cell r="H67">
            <v>13100</v>
          </cell>
          <cell r="I67">
            <v>192920</v>
          </cell>
          <cell r="J67">
            <v>96660</v>
          </cell>
          <cell r="K67">
            <v>96660</v>
          </cell>
          <cell r="L67">
            <v>96460</v>
          </cell>
          <cell r="M67">
            <v>96460</v>
          </cell>
          <cell r="N67">
            <v>96460</v>
          </cell>
          <cell r="O67">
            <v>96000</v>
          </cell>
          <cell r="P67">
            <v>96660</v>
          </cell>
          <cell r="Q67">
            <v>144990</v>
          </cell>
          <cell r="R67">
            <v>0</v>
          </cell>
          <cell r="S67">
            <v>96000</v>
          </cell>
          <cell r="T67">
            <v>0</v>
          </cell>
          <cell r="U67">
            <v>96660</v>
          </cell>
          <cell r="V67">
            <v>0</v>
          </cell>
          <cell r="W67">
            <v>1253637.1374337799</v>
          </cell>
          <cell r="X67">
            <v>0</v>
          </cell>
          <cell r="Y67">
            <v>48330</v>
          </cell>
          <cell r="Z67">
            <v>0</v>
          </cell>
          <cell r="AA67">
            <v>96660</v>
          </cell>
          <cell r="AB67">
            <v>96000</v>
          </cell>
          <cell r="AC67">
            <v>98660</v>
          </cell>
          <cell r="AD67">
            <v>147990</v>
          </cell>
          <cell r="AE67">
            <v>98660</v>
          </cell>
          <cell r="AF67">
            <v>98660</v>
          </cell>
          <cell r="AG67">
            <v>49330</v>
          </cell>
          <cell r="AH67">
            <v>78928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440419.13743377989</v>
          </cell>
          <cell r="AT67">
            <v>440419.13743377989</v>
          </cell>
          <cell r="AU67">
            <v>96660</v>
          </cell>
        </row>
        <row r="68">
          <cell r="B68">
            <v>54</v>
          </cell>
          <cell r="C68">
            <v>11</v>
          </cell>
          <cell r="D68">
            <v>2472667.1374337799</v>
          </cell>
          <cell r="E68">
            <v>2472667.1374337799</v>
          </cell>
          <cell r="F68">
            <v>1219030</v>
          </cell>
          <cell r="G68">
            <v>1</v>
          </cell>
          <cell r="H68">
            <v>13100</v>
          </cell>
          <cell r="I68">
            <v>192920</v>
          </cell>
          <cell r="J68">
            <v>96660</v>
          </cell>
          <cell r="K68">
            <v>96660</v>
          </cell>
          <cell r="L68">
            <v>96460</v>
          </cell>
          <cell r="M68">
            <v>96460</v>
          </cell>
          <cell r="N68">
            <v>96460</v>
          </cell>
          <cell r="O68">
            <v>96000</v>
          </cell>
          <cell r="P68">
            <v>96660</v>
          </cell>
          <cell r="Q68">
            <v>144990</v>
          </cell>
          <cell r="R68">
            <v>0</v>
          </cell>
          <cell r="S68">
            <v>96000</v>
          </cell>
          <cell r="T68">
            <v>0</v>
          </cell>
          <cell r="U68">
            <v>96660</v>
          </cell>
          <cell r="V68">
            <v>0</v>
          </cell>
          <cell r="W68">
            <v>1253637.1374337799</v>
          </cell>
          <cell r="X68">
            <v>0</v>
          </cell>
          <cell r="Y68">
            <v>48330</v>
          </cell>
          <cell r="Z68">
            <v>0</v>
          </cell>
          <cell r="AA68">
            <v>96660</v>
          </cell>
          <cell r="AB68">
            <v>96000</v>
          </cell>
          <cell r="AC68">
            <v>98660</v>
          </cell>
          <cell r="AD68">
            <v>147990</v>
          </cell>
          <cell r="AE68">
            <v>98660</v>
          </cell>
          <cell r="AF68">
            <v>98660</v>
          </cell>
          <cell r="AG68">
            <v>49330</v>
          </cell>
          <cell r="AH68">
            <v>78928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440419.13743377989</v>
          </cell>
          <cell r="AT68">
            <v>440419.13743377989</v>
          </cell>
          <cell r="AU68">
            <v>96660</v>
          </cell>
        </row>
        <row r="69">
          <cell r="B69">
            <v>55</v>
          </cell>
          <cell r="C69">
            <v>11</v>
          </cell>
          <cell r="D69">
            <v>2472667.1374337799</v>
          </cell>
          <cell r="E69">
            <v>2472667.1374337799</v>
          </cell>
          <cell r="F69">
            <v>1219030</v>
          </cell>
          <cell r="G69">
            <v>1</v>
          </cell>
          <cell r="H69">
            <v>13100</v>
          </cell>
          <cell r="I69">
            <v>192920</v>
          </cell>
          <cell r="J69">
            <v>96660</v>
          </cell>
          <cell r="K69">
            <v>96660</v>
          </cell>
          <cell r="L69">
            <v>96460</v>
          </cell>
          <cell r="M69">
            <v>96460</v>
          </cell>
          <cell r="N69">
            <v>96460</v>
          </cell>
          <cell r="O69">
            <v>96000</v>
          </cell>
          <cell r="P69">
            <v>96660</v>
          </cell>
          <cell r="Q69">
            <v>144990</v>
          </cell>
          <cell r="R69">
            <v>0</v>
          </cell>
          <cell r="S69">
            <v>96000</v>
          </cell>
          <cell r="T69">
            <v>0</v>
          </cell>
          <cell r="U69">
            <v>96660</v>
          </cell>
          <cell r="V69">
            <v>0</v>
          </cell>
          <cell r="W69">
            <v>1253637.1374337799</v>
          </cell>
          <cell r="X69">
            <v>0</v>
          </cell>
          <cell r="Y69">
            <v>48330</v>
          </cell>
          <cell r="Z69">
            <v>0</v>
          </cell>
          <cell r="AA69">
            <v>96660</v>
          </cell>
          <cell r="AB69">
            <v>96000</v>
          </cell>
          <cell r="AC69">
            <v>98660</v>
          </cell>
          <cell r="AD69">
            <v>147990</v>
          </cell>
          <cell r="AE69">
            <v>98660</v>
          </cell>
          <cell r="AF69">
            <v>98660</v>
          </cell>
          <cell r="AG69">
            <v>49330</v>
          </cell>
          <cell r="AH69">
            <v>78928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440419.13743377989</v>
          </cell>
          <cell r="AT69">
            <v>440419.13743377989</v>
          </cell>
          <cell r="AU69">
            <v>96660</v>
          </cell>
        </row>
        <row r="70">
          <cell r="B70">
            <v>56</v>
          </cell>
          <cell r="C70">
            <v>11</v>
          </cell>
          <cell r="D70">
            <v>2472667.1374337799</v>
          </cell>
          <cell r="E70">
            <v>2472667.1374337799</v>
          </cell>
          <cell r="F70">
            <v>1219030</v>
          </cell>
          <cell r="G70">
            <v>1</v>
          </cell>
          <cell r="H70">
            <v>13100</v>
          </cell>
          <cell r="I70">
            <v>192920</v>
          </cell>
          <cell r="J70">
            <v>96660</v>
          </cell>
          <cell r="K70">
            <v>96660</v>
          </cell>
          <cell r="L70">
            <v>96460</v>
          </cell>
          <cell r="M70">
            <v>96460</v>
          </cell>
          <cell r="N70">
            <v>96460</v>
          </cell>
          <cell r="O70">
            <v>96000</v>
          </cell>
          <cell r="P70">
            <v>96660</v>
          </cell>
          <cell r="Q70">
            <v>144990</v>
          </cell>
          <cell r="R70">
            <v>0</v>
          </cell>
          <cell r="S70">
            <v>96000</v>
          </cell>
          <cell r="T70">
            <v>0</v>
          </cell>
          <cell r="U70">
            <v>96660</v>
          </cell>
          <cell r="V70">
            <v>0</v>
          </cell>
          <cell r="W70">
            <v>1253637.1374337799</v>
          </cell>
          <cell r="X70">
            <v>0</v>
          </cell>
          <cell r="Y70">
            <v>48330</v>
          </cell>
          <cell r="Z70">
            <v>0</v>
          </cell>
          <cell r="AA70">
            <v>96660</v>
          </cell>
          <cell r="AB70">
            <v>96000</v>
          </cell>
          <cell r="AC70">
            <v>98660</v>
          </cell>
          <cell r="AD70">
            <v>147990</v>
          </cell>
          <cell r="AE70">
            <v>98660</v>
          </cell>
          <cell r="AF70">
            <v>98660</v>
          </cell>
          <cell r="AG70">
            <v>49330</v>
          </cell>
          <cell r="AH70">
            <v>78928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440419.13743377989</v>
          </cell>
          <cell r="AT70">
            <v>440419.13743377989</v>
          </cell>
          <cell r="AU70">
            <v>96660</v>
          </cell>
        </row>
        <row r="71">
          <cell r="B71">
            <v>57</v>
          </cell>
          <cell r="C71">
            <v>11</v>
          </cell>
          <cell r="D71">
            <v>2472667.1374337799</v>
          </cell>
          <cell r="E71">
            <v>2472667.1374337799</v>
          </cell>
          <cell r="F71">
            <v>1219030</v>
          </cell>
          <cell r="G71">
            <v>1</v>
          </cell>
          <cell r="H71">
            <v>13100</v>
          </cell>
          <cell r="I71">
            <v>192920</v>
          </cell>
          <cell r="J71">
            <v>96660</v>
          </cell>
          <cell r="K71">
            <v>96660</v>
          </cell>
          <cell r="L71">
            <v>96460</v>
          </cell>
          <cell r="M71">
            <v>96460</v>
          </cell>
          <cell r="N71">
            <v>96460</v>
          </cell>
          <cell r="O71">
            <v>96000</v>
          </cell>
          <cell r="P71">
            <v>96660</v>
          </cell>
          <cell r="Q71">
            <v>144990</v>
          </cell>
          <cell r="R71">
            <v>0</v>
          </cell>
          <cell r="S71">
            <v>96000</v>
          </cell>
          <cell r="T71">
            <v>0</v>
          </cell>
          <cell r="U71">
            <v>96660</v>
          </cell>
          <cell r="V71">
            <v>0</v>
          </cell>
          <cell r="W71">
            <v>1253637.1374337799</v>
          </cell>
          <cell r="X71">
            <v>0</v>
          </cell>
          <cell r="Y71">
            <v>48330</v>
          </cell>
          <cell r="Z71">
            <v>0</v>
          </cell>
          <cell r="AA71">
            <v>96660</v>
          </cell>
          <cell r="AB71">
            <v>96000</v>
          </cell>
          <cell r="AC71">
            <v>98660</v>
          </cell>
          <cell r="AD71">
            <v>147990</v>
          </cell>
          <cell r="AE71">
            <v>98660</v>
          </cell>
          <cell r="AF71">
            <v>98660</v>
          </cell>
          <cell r="AG71">
            <v>49330</v>
          </cell>
          <cell r="AH71">
            <v>78928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440419.13743377989</v>
          </cell>
          <cell r="AT71">
            <v>440419.13743377989</v>
          </cell>
          <cell r="AU71">
            <v>96660</v>
          </cell>
        </row>
        <row r="72">
          <cell r="B72">
            <v>58</v>
          </cell>
          <cell r="C72">
            <v>11</v>
          </cell>
          <cell r="D72">
            <v>2472667.1374337799</v>
          </cell>
          <cell r="E72">
            <v>2472667.1374337799</v>
          </cell>
          <cell r="F72">
            <v>1219030</v>
          </cell>
          <cell r="G72">
            <v>1</v>
          </cell>
          <cell r="H72">
            <v>13100</v>
          </cell>
          <cell r="I72">
            <v>192920</v>
          </cell>
          <cell r="J72">
            <v>96660</v>
          </cell>
          <cell r="K72">
            <v>96660</v>
          </cell>
          <cell r="L72">
            <v>96460</v>
          </cell>
          <cell r="M72">
            <v>96460</v>
          </cell>
          <cell r="N72">
            <v>96460</v>
          </cell>
          <cell r="O72">
            <v>96000</v>
          </cell>
          <cell r="P72">
            <v>96660</v>
          </cell>
          <cell r="Q72">
            <v>144990</v>
          </cell>
          <cell r="R72">
            <v>0</v>
          </cell>
          <cell r="S72">
            <v>96000</v>
          </cell>
          <cell r="T72">
            <v>0</v>
          </cell>
          <cell r="U72">
            <v>96660</v>
          </cell>
          <cell r="V72">
            <v>0</v>
          </cell>
          <cell r="W72">
            <v>1253637.1374337799</v>
          </cell>
          <cell r="X72">
            <v>0</v>
          </cell>
          <cell r="Y72">
            <v>48330</v>
          </cell>
          <cell r="Z72">
            <v>0</v>
          </cell>
          <cell r="AA72">
            <v>96660</v>
          </cell>
          <cell r="AB72">
            <v>96000</v>
          </cell>
          <cell r="AC72">
            <v>98660</v>
          </cell>
          <cell r="AD72">
            <v>147990</v>
          </cell>
          <cell r="AE72">
            <v>98660</v>
          </cell>
          <cell r="AF72">
            <v>98660</v>
          </cell>
          <cell r="AG72">
            <v>49330</v>
          </cell>
          <cell r="AH72">
            <v>78928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440419.13743377989</v>
          </cell>
          <cell r="AT72">
            <v>440419.13743377989</v>
          </cell>
          <cell r="AU72">
            <v>96660</v>
          </cell>
        </row>
        <row r="73">
          <cell r="B73">
            <v>59</v>
          </cell>
          <cell r="C73">
            <v>11</v>
          </cell>
          <cell r="D73">
            <v>2456880.0773003618</v>
          </cell>
          <cell r="E73">
            <v>2456880.0773003618</v>
          </cell>
          <cell r="F73">
            <v>1219030</v>
          </cell>
          <cell r="G73">
            <v>1</v>
          </cell>
          <cell r="H73">
            <v>13100</v>
          </cell>
          <cell r="I73">
            <v>192920</v>
          </cell>
          <cell r="J73">
            <v>96660</v>
          </cell>
          <cell r="K73">
            <v>96660</v>
          </cell>
          <cell r="L73">
            <v>96460</v>
          </cell>
          <cell r="M73">
            <v>96460</v>
          </cell>
          <cell r="N73">
            <v>96460</v>
          </cell>
          <cell r="O73">
            <v>96000</v>
          </cell>
          <cell r="P73">
            <v>96660</v>
          </cell>
          <cell r="Q73">
            <v>144990</v>
          </cell>
          <cell r="R73">
            <v>0</v>
          </cell>
          <cell r="S73">
            <v>96000</v>
          </cell>
          <cell r="T73">
            <v>0</v>
          </cell>
          <cell r="U73">
            <v>96660</v>
          </cell>
          <cell r="V73">
            <v>0</v>
          </cell>
          <cell r="W73">
            <v>1237850.0773003618</v>
          </cell>
          <cell r="X73">
            <v>0</v>
          </cell>
          <cell r="Y73">
            <v>48330</v>
          </cell>
          <cell r="Z73">
            <v>0</v>
          </cell>
          <cell r="AA73">
            <v>96660</v>
          </cell>
          <cell r="AB73">
            <v>96000</v>
          </cell>
          <cell r="AC73">
            <v>98660</v>
          </cell>
          <cell r="AD73">
            <v>147990</v>
          </cell>
          <cell r="AE73">
            <v>98660</v>
          </cell>
          <cell r="AF73">
            <v>98660</v>
          </cell>
          <cell r="AG73">
            <v>49330</v>
          </cell>
          <cell r="AH73">
            <v>78928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424632.07730036182</v>
          </cell>
          <cell r="AT73">
            <v>424632.07730036182</v>
          </cell>
          <cell r="AU73">
            <v>96660</v>
          </cell>
        </row>
        <row r="74">
          <cell r="B74">
            <v>60</v>
          </cell>
          <cell r="C74">
            <v>11</v>
          </cell>
          <cell r="D74">
            <v>2286816.5103423637</v>
          </cell>
          <cell r="E74">
            <v>2286816.5103423637</v>
          </cell>
          <cell r="F74">
            <v>1219030</v>
          </cell>
          <cell r="G74">
            <v>1</v>
          </cell>
          <cell r="H74">
            <v>13100</v>
          </cell>
          <cell r="I74">
            <v>192920</v>
          </cell>
          <cell r="J74">
            <v>96660</v>
          </cell>
          <cell r="K74">
            <v>96660</v>
          </cell>
          <cell r="L74">
            <v>96460</v>
          </cell>
          <cell r="M74">
            <v>96460</v>
          </cell>
          <cell r="N74">
            <v>96460</v>
          </cell>
          <cell r="O74">
            <v>96000</v>
          </cell>
          <cell r="P74">
            <v>96660</v>
          </cell>
          <cell r="Q74">
            <v>144990</v>
          </cell>
          <cell r="R74">
            <v>0</v>
          </cell>
          <cell r="S74">
            <v>96000</v>
          </cell>
          <cell r="T74">
            <v>0</v>
          </cell>
          <cell r="U74">
            <v>96660</v>
          </cell>
          <cell r="V74">
            <v>0</v>
          </cell>
          <cell r="W74">
            <v>1067786.5103423637</v>
          </cell>
          <cell r="X74">
            <v>0</v>
          </cell>
          <cell r="Y74">
            <v>48330</v>
          </cell>
          <cell r="Z74">
            <v>0</v>
          </cell>
          <cell r="AA74">
            <v>96660</v>
          </cell>
          <cell r="AB74">
            <v>96000</v>
          </cell>
          <cell r="AC74">
            <v>98660</v>
          </cell>
          <cell r="AD74">
            <v>147990</v>
          </cell>
          <cell r="AE74">
            <v>98660</v>
          </cell>
          <cell r="AF74">
            <v>98660</v>
          </cell>
          <cell r="AG74">
            <v>49330</v>
          </cell>
          <cell r="AH74">
            <v>78928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254568.51034236373</v>
          </cell>
          <cell r="AT74">
            <v>254568.51034236373</v>
          </cell>
          <cell r="AU74">
            <v>96660</v>
          </cell>
        </row>
        <row r="75">
          <cell r="B75">
            <v>61</v>
          </cell>
          <cell r="C75">
            <v>11</v>
          </cell>
          <cell r="D75">
            <v>2472667.1374337799</v>
          </cell>
          <cell r="E75">
            <v>2472667.1374337799</v>
          </cell>
          <cell r="F75">
            <v>1219030</v>
          </cell>
          <cell r="G75">
            <v>1</v>
          </cell>
          <cell r="H75">
            <v>13100</v>
          </cell>
          <cell r="I75">
            <v>192920</v>
          </cell>
          <cell r="J75">
            <v>96660</v>
          </cell>
          <cell r="K75">
            <v>96660</v>
          </cell>
          <cell r="L75">
            <v>96460</v>
          </cell>
          <cell r="M75">
            <v>96460</v>
          </cell>
          <cell r="N75">
            <v>96460</v>
          </cell>
          <cell r="O75">
            <v>96000</v>
          </cell>
          <cell r="P75">
            <v>96660</v>
          </cell>
          <cell r="Q75">
            <v>144990</v>
          </cell>
          <cell r="R75">
            <v>0</v>
          </cell>
          <cell r="S75">
            <v>96000</v>
          </cell>
          <cell r="T75">
            <v>0</v>
          </cell>
          <cell r="U75">
            <v>96660</v>
          </cell>
          <cell r="V75">
            <v>0</v>
          </cell>
          <cell r="W75">
            <v>1253637.1374337799</v>
          </cell>
          <cell r="X75">
            <v>0</v>
          </cell>
          <cell r="Y75">
            <v>48330</v>
          </cell>
          <cell r="Z75">
            <v>0</v>
          </cell>
          <cell r="AA75">
            <v>96660</v>
          </cell>
          <cell r="AB75">
            <v>96000</v>
          </cell>
          <cell r="AC75">
            <v>98660</v>
          </cell>
          <cell r="AD75">
            <v>147990</v>
          </cell>
          <cell r="AE75">
            <v>98660</v>
          </cell>
          <cell r="AF75">
            <v>98660</v>
          </cell>
          <cell r="AG75">
            <v>49330</v>
          </cell>
          <cell r="AH75">
            <v>78928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440419.13743377989</v>
          </cell>
          <cell r="AT75">
            <v>440419.13743377989</v>
          </cell>
          <cell r="AU75">
            <v>96660</v>
          </cell>
        </row>
        <row r="76">
          <cell r="B76">
            <v>62</v>
          </cell>
          <cell r="C76">
            <v>12</v>
          </cell>
          <cell r="D76">
            <v>2617559.0641499599</v>
          </cell>
          <cell r="E76">
            <v>2617559.0641499599</v>
          </cell>
          <cell r="F76">
            <v>1219030</v>
          </cell>
          <cell r="G76">
            <v>1</v>
          </cell>
          <cell r="H76">
            <v>13100</v>
          </cell>
          <cell r="I76">
            <v>192920</v>
          </cell>
          <cell r="J76">
            <v>96660</v>
          </cell>
          <cell r="K76">
            <v>96660</v>
          </cell>
          <cell r="L76">
            <v>96460</v>
          </cell>
          <cell r="M76">
            <v>96460</v>
          </cell>
          <cell r="N76">
            <v>96460</v>
          </cell>
          <cell r="O76">
            <v>96000</v>
          </cell>
          <cell r="P76">
            <v>96660</v>
          </cell>
          <cell r="Q76">
            <v>144990</v>
          </cell>
          <cell r="R76">
            <v>0</v>
          </cell>
          <cell r="S76">
            <v>96000</v>
          </cell>
          <cell r="T76">
            <v>0</v>
          </cell>
          <cell r="U76">
            <v>96660</v>
          </cell>
          <cell r="V76">
            <v>0</v>
          </cell>
          <cell r="W76">
            <v>1398529.0641499599</v>
          </cell>
          <cell r="X76">
            <v>0</v>
          </cell>
          <cell r="Y76">
            <v>48330</v>
          </cell>
          <cell r="Z76">
            <v>144990</v>
          </cell>
          <cell r="AA76">
            <v>96660</v>
          </cell>
          <cell r="AB76">
            <v>96000</v>
          </cell>
          <cell r="AC76">
            <v>98660</v>
          </cell>
          <cell r="AD76">
            <v>147990</v>
          </cell>
          <cell r="AE76">
            <v>98660</v>
          </cell>
          <cell r="AF76">
            <v>98660</v>
          </cell>
          <cell r="AG76">
            <v>49330</v>
          </cell>
          <cell r="AH76">
            <v>78928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440321.06414995994</v>
          </cell>
          <cell r="AT76">
            <v>440321.06414995994</v>
          </cell>
          <cell r="AU76">
            <v>96660</v>
          </cell>
        </row>
        <row r="77">
          <cell r="B77">
            <v>63</v>
          </cell>
          <cell r="C77">
            <v>12</v>
          </cell>
          <cell r="D77">
            <v>2617559.0641499599</v>
          </cell>
          <cell r="E77">
            <v>2617559.0641499599</v>
          </cell>
          <cell r="F77">
            <v>1219030</v>
          </cell>
          <cell r="G77">
            <v>1</v>
          </cell>
          <cell r="H77">
            <v>13100</v>
          </cell>
          <cell r="I77">
            <v>192920</v>
          </cell>
          <cell r="J77">
            <v>96660</v>
          </cell>
          <cell r="K77">
            <v>96660</v>
          </cell>
          <cell r="L77">
            <v>96460</v>
          </cell>
          <cell r="M77">
            <v>96460</v>
          </cell>
          <cell r="N77">
            <v>96460</v>
          </cell>
          <cell r="O77">
            <v>96000</v>
          </cell>
          <cell r="P77">
            <v>96660</v>
          </cell>
          <cell r="Q77">
            <v>144990</v>
          </cell>
          <cell r="R77">
            <v>0</v>
          </cell>
          <cell r="S77">
            <v>96000</v>
          </cell>
          <cell r="T77">
            <v>0</v>
          </cell>
          <cell r="U77">
            <v>96660</v>
          </cell>
          <cell r="V77">
            <v>0</v>
          </cell>
          <cell r="W77">
            <v>1398529.0641499599</v>
          </cell>
          <cell r="X77">
            <v>0</v>
          </cell>
          <cell r="Y77">
            <v>48330</v>
          </cell>
          <cell r="Z77">
            <v>144990</v>
          </cell>
          <cell r="AA77">
            <v>96660</v>
          </cell>
          <cell r="AB77">
            <v>96000</v>
          </cell>
          <cell r="AC77">
            <v>98660</v>
          </cell>
          <cell r="AD77">
            <v>147990</v>
          </cell>
          <cell r="AE77">
            <v>98660</v>
          </cell>
          <cell r="AF77">
            <v>98660</v>
          </cell>
          <cell r="AG77">
            <v>49330</v>
          </cell>
          <cell r="AH77">
            <v>78928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440321.06414995994</v>
          </cell>
          <cell r="AT77">
            <v>440321.06414995994</v>
          </cell>
          <cell r="AU77">
            <v>96660</v>
          </cell>
        </row>
        <row r="78">
          <cell r="B78">
            <v>64</v>
          </cell>
          <cell r="C78">
            <v>12</v>
          </cell>
          <cell r="D78">
            <v>2617559.0641499599</v>
          </cell>
          <cell r="E78">
            <v>2617559.0641499599</v>
          </cell>
          <cell r="F78">
            <v>1219030</v>
          </cell>
          <cell r="G78">
            <v>1</v>
          </cell>
          <cell r="H78">
            <v>13100</v>
          </cell>
          <cell r="I78">
            <v>192920</v>
          </cell>
          <cell r="J78">
            <v>96660</v>
          </cell>
          <cell r="K78">
            <v>96660</v>
          </cell>
          <cell r="L78">
            <v>96460</v>
          </cell>
          <cell r="M78">
            <v>96460</v>
          </cell>
          <cell r="N78">
            <v>96460</v>
          </cell>
          <cell r="O78">
            <v>96000</v>
          </cell>
          <cell r="P78">
            <v>96660</v>
          </cell>
          <cell r="Q78">
            <v>144990</v>
          </cell>
          <cell r="R78">
            <v>0</v>
          </cell>
          <cell r="S78">
            <v>96000</v>
          </cell>
          <cell r="T78">
            <v>0</v>
          </cell>
          <cell r="U78">
            <v>96660</v>
          </cell>
          <cell r="V78">
            <v>0</v>
          </cell>
          <cell r="W78">
            <v>1398529.0641499599</v>
          </cell>
          <cell r="X78">
            <v>0</v>
          </cell>
          <cell r="Y78">
            <v>48330</v>
          </cell>
          <cell r="Z78">
            <v>144990</v>
          </cell>
          <cell r="AA78">
            <v>96660</v>
          </cell>
          <cell r="AB78">
            <v>96000</v>
          </cell>
          <cell r="AC78">
            <v>98660</v>
          </cell>
          <cell r="AD78">
            <v>147990</v>
          </cell>
          <cell r="AE78">
            <v>98660</v>
          </cell>
          <cell r="AF78">
            <v>98660</v>
          </cell>
          <cell r="AG78">
            <v>49330</v>
          </cell>
          <cell r="AH78">
            <v>78928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440321.06414995994</v>
          </cell>
          <cell r="AT78">
            <v>440321.06414995994</v>
          </cell>
          <cell r="AU78">
            <v>96660</v>
          </cell>
        </row>
        <row r="79">
          <cell r="B79">
            <v>65</v>
          </cell>
          <cell r="C79">
            <v>12</v>
          </cell>
          <cell r="D79">
            <v>2617559.0641499599</v>
          </cell>
          <cell r="E79">
            <v>2617559.0641499599</v>
          </cell>
          <cell r="F79">
            <v>1219030</v>
          </cell>
          <cell r="G79">
            <v>1</v>
          </cell>
          <cell r="H79">
            <v>13100</v>
          </cell>
          <cell r="I79">
            <v>192920</v>
          </cell>
          <cell r="J79">
            <v>96660</v>
          </cell>
          <cell r="K79">
            <v>96660</v>
          </cell>
          <cell r="L79">
            <v>96460</v>
          </cell>
          <cell r="M79">
            <v>96460</v>
          </cell>
          <cell r="N79">
            <v>96460</v>
          </cell>
          <cell r="O79">
            <v>96000</v>
          </cell>
          <cell r="P79">
            <v>96660</v>
          </cell>
          <cell r="Q79">
            <v>144990</v>
          </cell>
          <cell r="R79">
            <v>0</v>
          </cell>
          <cell r="S79">
            <v>96000</v>
          </cell>
          <cell r="T79">
            <v>0</v>
          </cell>
          <cell r="U79">
            <v>96660</v>
          </cell>
          <cell r="V79">
            <v>0</v>
          </cell>
          <cell r="W79">
            <v>1398529.0641499599</v>
          </cell>
          <cell r="X79">
            <v>0</v>
          </cell>
          <cell r="Y79">
            <v>48330</v>
          </cell>
          <cell r="Z79">
            <v>144990</v>
          </cell>
          <cell r="AA79">
            <v>96660</v>
          </cell>
          <cell r="AB79">
            <v>96000</v>
          </cell>
          <cell r="AC79">
            <v>98660</v>
          </cell>
          <cell r="AD79">
            <v>147990</v>
          </cell>
          <cell r="AE79">
            <v>98660</v>
          </cell>
          <cell r="AF79">
            <v>98660</v>
          </cell>
          <cell r="AG79">
            <v>49330</v>
          </cell>
          <cell r="AH79">
            <v>78928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440321.06414995994</v>
          </cell>
          <cell r="AT79">
            <v>440321.06414995994</v>
          </cell>
          <cell r="AU79">
            <v>96660</v>
          </cell>
        </row>
        <row r="80">
          <cell r="B80">
            <v>66</v>
          </cell>
          <cell r="C80">
            <v>12</v>
          </cell>
          <cell r="D80">
            <v>2617559.0641499599</v>
          </cell>
          <cell r="E80">
            <v>2617559.0641499599</v>
          </cell>
          <cell r="F80">
            <v>1219030</v>
          </cell>
          <cell r="G80">
            <v>1</v>
          </cell>
          <cell r="H80">
            <v>13100</v>
          </cell>
          <cell r="I80">
            <v>192920</v>
          </cell>
          <cell r="J80">
            <v>96660</v>
          </cell>
          <cell r="K80">
            <v>96660</v>
          </cell>
          <cell r="L80">
            <v>96460</v>
          </cell>
          <cell r="M80">
            <v>96460</v>
          </cell>
          <cell r="N80">
            <v>96460</v>
          </cell>
          <cell r="O80">
            <v>96000</v>
          </cell>
          <cell r="P80">
            <v>96660</v>
          </cell>
          <cell r="Q80">
            <v>144990</v>
          </cell>
          <cell r="R80">
            <v>0</v>
          </cell>
          <cell r="S80">
            <v>96000</v>
          </cell>
          <cell r="T80">
            <v>0</v>
          </cell>
          <cell r="U80">
            <v>96660</v>
          </cell>
          <cell r="V80">
            <v>0</v>
          </cell>
          <cell r="W80">
            <v>1398529.0641499599</v>
          </cell>
          <cell r="X80">
            <v>0</v>
          </cell>
          <cell r="Y80">
            <v>48330</v>
          </cell>
          <cell r="Z80">
            <v>144990</v>
          </cell>
          <cell r="AA80">
            <v>96660</v>
          </cell>
          <cell r="AB80">
            <v>96000</v>
          </cell>
          <cell r="AC80">
            <v>98660</v>
          </cell>
          <cell r="AD80">
            <v>147990</v>
          </cell>
          <cell r="AE80">
            <v>98660</v>
          </cell>
          <cell r="AF80">
            <v>98660</v>
          </cell>
          <cell r="AG80">
            <v>49330</v>
          </cell>
          <cell r="AH80">
            <v>78928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440321.06414995994</v>
          </cell>
          <cell r="AT80">
            <v>440321.06414995994</v>
          </cell>
          <cell r="AU80">
            <v>96660</v>
          </cell>
        </row>
        <row r="81">
          <cell r="B81">
            <v>67</v>
          </cell>
          <cell r="C81">
            <v>12</v>
          </cell>
          <cell r="D81">
            <v>2617559.0641499599</v>
          </cell>
          <cell r="E81">
            <v>2617559.0641499599</v>
          </cell>
          <cell r="F81">
            <v>1219030</v>
          </cell>
          <cell r="G81">
            <v>1</v>
          </cell>
          <cell r="H81">
            <v>13100</v>
          </cell>
          <cell r="I81">
            <v>192920</v>
          </cell>
          <cell r="J81">
            <v>96660</v>
          </cell>
          <cell r="K81">
            <v>96660</v>
          </cell>
          <cell r="L81">
            <v>96460</v>
          </cell>
          <cell r="M81">
            <v>96460</v>
          </cell>
          <cell r="N81">
            <v>96460</v>
          </cell>
          <cell r="O81">
            <v>96000</v>
          </cell>
          <cell r="P81">
            <v>96660</v>
          </cell>
          <cell r="Q81">
            <v>144990</v>
          </cell>
          <cell r="R81">
            <v>0</v>
          </cell>
          <cell r="S81">
            <v>96000</v>
          </cell>
          <cell r="T81">
            <v>0</v>
          </cell>
          <cell r="U81">
            <v>96660</v>
          </cell>
          <cell r="V81">
            <v>0</v>
          </cell>
          <cell r="W81">
            <v>1398529.0641499599</v>
          </cell>
          <cell r="X81">
            <v>0</v>
          </cell>
          <cell r="Y81">
            <v>48330</v>
          </cell>
          <cell r="Z81">
            <v>144990</v>
          </cell>
          <cell r="AA81">
            <v>96660</v>
          </cell>
          <cell r="AB81">
            <v>96000</v>
          </cell>
          <cell r="AC81">
            <v>98660</v>
          </cell>
          <cell r="AD81">
            <v>147990</v>
          </cell>
          <cell r="AE81">
            <v>98660</v>
          </cell>
          <cell r="AF81">
            <v>98660</v>
          </cell>
          <cell r="AG81">
            <v>49330</v>
          </cell>
          <cell r="AH81">
            <v>78928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440321.06414995994</v>
          </cell>
          <cell r="AT81">
            <v>440321.06414995994</v>
          </cell>
          <cell r="AU81">
            <v>96660</v>
          </cell>
        </row>
        <row r="82">
          <cell r="B82">
            <v>68</v>
          </cell>
          <cell r="C82">
            <v>12</v>
          </cell>
          <cell r="D82">
            <v>2617559.0641499599</v>
          </cell>
          <cell r="E82">
            <v>2617559.0641499599</v>
          </cell>
          <cell r="F82">
            <v>1219030</v>
          </cell>
          <cell r="G82">
            <v>1</v>
          </cell>
          <cell r="H82">
            <v>13100</v>
          </cell>
          <cell r="I82">
            <v>192920</v>
          </cell>
          <cell r="J82">
            <v>96660</v>
          </cell>
          <cell r="K82">
            <v>96660</v>
          </cell>
          <cell r="L82">
            <v>96460</v>
          </cell>
          <cell r="M82">
            <v>96460</v>
          </cell>
          <cell r="N82">
            <v>96460</v>
          </cell>
          <cell r="O82">
            <v>96000</v>
          </cell>
          <cell r="P82">
            <v>96660</v>
          </cell>
          <cell r="Q82">
            <v>144990</v>
          </cell>
          <cell r="R82">
            <v>0</v>
          </cell>
          <cell r="S82">
            <v>96000</v>
          </cell>
          <cell r="T82">
            <v>0</v>
          </cell>
          <cell r="U82">
            <v>96660</v>
          </cell>
          <cell r="V82">
            <v>0</v>
          </cell>
          <cell r="W82">
            <v>1398529.0641499599</v>
          </cell>
          <cell r="X82">
            <v>0</v>
          </cell>
          <cell r="Y82">
            <v>48330</v>
          </cell>
          <cell r="Z82">
            <v>144990</v>
          </cell>
          <cell r="AA82">
            <v>96660</v>
          </cell>
          <cell r="AB82">
            <v>96000</v>
          </cell>
          <cell r="AC82">
            <v>98660</v>
          </cell>
          <cell r="AD82">
            <v>147990</v>
          </cell>
          <cell r="AE82">
            <v>98660</v>
          </cell>
          <cell r="AF82">
            <v>98660</v>
          </cell>
          <cell r="AG82">
            <v>49330</v>
          </cell>
          <cell r="AH82">
            <v>78928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440321.06414995994</v>
          </cell>
          <cell r="AT82">
            <v>440321.06414995994</v>
          </cell>
          <cell r="AU82">
            <v>96660</v>
          </cell>
        </row>
        <row r="83">
          <cell r="B83">
            <v>69</v>
          </cell>
          <cell r="C83">
            <v>12</v>
          </cell>
          <cell r="D83">
            <v>2617559.0641499599</v>
          </cell>
          <cell r="E83">
            <v>2617559.0641499599</v>
          </cell>
          <cell r="F83">
            <v>1219030</v>
          </cell>
          <cell r="G83">
            <v>1</v>
          </cell>
          <cell r="H83">
            <v>13100</v>
          </cell>
          <cell r="I83">
            <v>192920</v>
          </cell>
          <cell r="J83">
            <v>96660</v>
          </cell>
          <cell r="K83">
            <v>96660</v>
          </cell>
          <cell r="L83">
            <v>96460</v>
          </cell>
          <cell r="M83">
            <v>96460</v>
          </cell>
          <cell r="N83">
            <v>96460</v>
          </cell>
          <cell r="O83">
            <v>96000</v>
          </cell>
          <cell r="P83">
            <v>96660</v>
          </cell>
          <cell r="Q83">
            <v>144990</v>
          </cell>
          <cell r="R83">
            <v>0</v>
          </cell>
          <cell r="S83">
            <v>96000</v>
          </cell>
          <cell r="T83">
            <v>0</v>
          </cell>
          <cell r="U83">
            <v>96660</v>
          </cell>
          <cell r="V83">
            <v>0</v>
          </cell>
          <cell r="W83">
            <v>1398529.0641499599</v>
          </cell>
          <cell r="X83">
            <v>0</v>
          </cell>
          <cell r="Y83">
            <v>48330</v>
          </cell>
          <cell r="Z83">
            <v>144990</v>
          </cell>
          <cell r="AA83">
            <v>96660</v>
          </cell>
          <cell r="AB83">
            <v>96000</v>
          </cell>
          <cell r="AC83">
            <v>98660</v>
          </cell>
          <cell r="AD83">
            <v>147990</v>
          </cell>
          <cell r="AE83">
            <v>98660</v>
          </cell>
          <cell r="AF83">
            <v>98660</v>
          </cell>
          <cell r="AG83">
            <v>49330</v>
          </cell>
          <cell r="AH83">
            <v>78928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440321.06414995994</v>
          </cell>
          <cell r="AT83">
            <v>440321.06414995994</v>
          </cell>
          <cell r="AU83">
            <v>96660</v>
          </cell>
        </row>
        <row r="84">
          <cell r="B84">
            <v>70</v>
          </cell>
          <cell r="C84">
            <v>12</v>
          </cell>
          <cell r="D84">
            <v>2617559.0641499599</v>
          </cell>
          <cell r="E84">
            <v>2617559.0641499599</v>
          </cell>
          <cell r="F84">
            <v>1219030</v>
          </cell>
          <cell r="G84">
            <v>1</v>
          </cell>
          <cell r="H84">
            <v>13100</v>
          </cell>
          <cell r="I84">
            <v>192920</v>
          </cell>
          <cell r="J84">
            <v>96660</v>
          </cell>
          <cell r="K84">
            <v>96660</v>
          </cell>
          <cell r="L84">
            <v>96460</v>
          </cell>
          <cell r="M84">
            <v>96460</v>
          </cell>
          <cell r="N84">
            <v>96460</v>
          </cell>
          <cell r="O84">
            <v>96000</v>
          </cell>
          <cell r="P84">
            <v>96660</v>
          </cell>
          <cell r="Q84">
            <v>144990</v>
          </cell>
          <cell r="R84">
            <v>0</v>
          </cell>
          <cell r="S84">
            <v>96000</v>
          </cell>
          <cell r="T84">
            <v>0</v>
          </cell>
          <cell r="U84">
            <v>96660</v>
          </cell>
          <cell r="V84">
            <v>0</v>
          </cell>
          <cell r="W84">
            <v>1398529.0641499599</v>
          </cell>
          <cell r="X84">
            <v>0</v>
          </cell>
          <cell r="Y84">
            <v>48330</v>
          </cell>
          <cell r="Z84">
            <v>144990</v>
          </cell>
          <cell r="AA84">
            <v>96660</v>
          </cell>
          <cell r="AB84">
            <v>96000</v>
          </cell>
          <cell r="AC84">
            <v>98660</v>
          </cell>
          <cell r="AD84">
            <v>147990</v>
          </cell>
          <cell r="AE84">
            <v>98660</v>
          </cell>
          <cell r="AF84">
            <v>98660</v>
          </cell>
          <cell r="AG84">
            <v>49330</v>
          </cell>
          <cell r="AH84">
            <v>78928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440321.06414995994</v>
          </cell>
          <cell r="AT84">
            <v>440321.06414995994</v>
          </cell>
          <cell r="AU84">
            <v>96660</v>
          </cell>
        </row>
        <row r="85">
          <cell r="B85">
            <v>71</v>
          </cell>
          <cell r="C85">
            <v>12</v>
          </cell>
          <cell r="D85">
            <v>2617559.0641499599</v>
          </cell>
          <cell r="E85">
            <v>2617559.0641499599</v>
          </cell>
          <cell r="F85">
            <v>1219030</v>
          </cell>
          <cell r="G85">
            <v>1</v>
          </cell>
          <cell r="H85">
            <v>13100</v>
          </cell>
          <cell r="I85">
            <v>192920</v>
          </cell>
          <cell r="J85">
            <v>96660</v>
          </cell>
          <cell r="K85">
            <v>96660</v>
          </cell>
          <cell r="L85">
            <v>96460</v>
          </cell>
          <cell r="M85">
            <v>96460</v>
          </cell>
          <cell r="N85">
            <v>96460</v>
          </cell>
          <cell r="O85">
            <v>96000</v>
          </cell>
          <cell r="P85">
            <v>96660</v>
          </cell>
          <cell r="Q85">
            <v>144990</v>
          </cell>
          <cell r="R85">
            <v>0</v>
          </cell>
          <cell r="S85">
            <v>96000</v>
          </cell>
          <cell r="T85">
            <v>0</v>
          </cell>
          <cell r="U85">
            <v>96660</v>
          </cell>
          <cell r="V85">
            <v>0</v>
          </cell>
          <cell r="W85">
            <v>1398529.0641499599</v>
          </cell>
          <cell r="X85">
            <v>0</v>
          </cell>
          <cell r="Y85">
            <v>48330</v>
          </cell>
          <cell r="Z85">
            <v>144990</v>
          </cell>
          <cell r="AA85">
            <v>96660</v>
          </cell>
          <cell r="AB85">
            <v>96000</v>
          </cell>
          <cell r="AC85">
            <v>98660</v>
          </cell>
          <cell r="AD85">
            <v>147990</v>
          </cell>
          <cell r="AE85">
            <v>98660</v>
          </cell>
          <cell r="AF85">
            <v>98660</v>
          </cell>
          <cell r="AG85">
            <v>49330</v>
          </cell>
          <cell r="AH85">
            <v>78928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440321.06414995994</v>
          </cell>
          <cell r="AT85">
            <v>440321.06414995994</v>
          </cell>
          <cell r="AU85">
            <v>96660</v>
          </cell>
        </row>
        <row r="86">
          <cell r="B86">
            <v>72</v>
          </cell>
          <cell r="C86">
            <v>12</v>
          </cell>
          <cell r="D86">
            <v>2617559.0641499599</v>
          </cell>
          <cell r="E86">
            <v>2617559.0641499599</v>
          </cell>
          <cell r="F86">
            <v>1219030</v>
          </cell>
          <cell r="G86">
            <v>1</v>
          </cell>
          <cell r="H86">
            <v>13100</v>
          </cell>
          <cell r="I86">
            <v>192920</v>
          </cell>
          <cell r="J86">
            <v>96660</v>
          </cell>
          <cell r="K86">
            <v>96660</v>
          </cell>
          <cell r="L86">
            <v>96460</v>
          </cell>
          <cell r="M86">
            <v>96460</v>
          </cell>
          <cell r="N86">
            <v>96460</v>
          </cell>
          <cell r="O86">
            <v>96000</v>
          </cell>
          <cell r="P86">
            <v>96660</v>
          </cell>
          <cell r="Q86">
            <v>144990</v>
          </cell>
          <cell r="R86">
            <v>0</v>
          </cell>
          <cell r="S86">
            <v>96000</v>
          </cell>
          <cell r="T86">
            <v>0</v>
          </cell>
          <cell r="U86">
            <v>96660</v>
          </cell>
          <cell r="V86">
            <v>0</v>
          </cell>
          <cell r="W86">
            <v>1398529.0641499599</v>
          </cell>
          <cell r="X86">
            <v>0</v>
          </cell>
          <cell r="Y86">
            <v>48330</v>
          </cell>
          <cell r="Z86">
            <v>144990</v>
          </cell>
          <cell r="AA86">
            <v>96660</v>
          </cell>
          <cell r="AB86">
            <v>96000</v>
          </cell>
          <cell r="AC86">
            <v>98660</v>
          </cell>
          <cell r="AD86">
            <v>147990</v>
          </cell>
          <cell r="AE86">
            <v>98660</v>
          </cell>
          <cell r="AF86">
            <v>98660</v>
          </cell>
          <cell r="AG86">
            <v>49330</v>
          </cell>
          <cell r="AH86">
            <v>78928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440321.06414995994</v>
          </cell>
          <cell r="AT86">
            <v>440321.06414995994</v>
          </cell>
          <cell r="AU86">
            <v>96660</v>
          </cell>
        </row>
        <row r="87">
          <cell r="B87">
            <v>73</v>
          </cell>
          <cell r="C87">
            <v>12</v>
          </cell>
          <cell r="D87">
            <v>2617559.0641499599</v>
          </cell>
          <cell r="E87">
            <v>2617559.0641499599</v>
          </cell>
          <cell r="F87">
            <v>1219030</v>
          </cell>
          <cell r="G87">
            <v>1</v>
          </cell>
          <cell r="H87">
            <v>13100</v>
          </cell>
          <cell r="I87">
            <v>192920</v>
          </cell>
          <cell r="J87">
            <v>96660</v>
          </cell>
          <cell r="K87">
            <v>96660</v>
          </cell>
          <cell r="L87">
            <v>96460</v>
          </cell>
          <cell r="M87">
            <v>96460</v>
          </cell>
          <cell r="N87">
            <v>96460</v>
          </cell>
          <cell r="O87">
            <v>96000</v>
          </cell>
          <cell r="P87">
            <v>96660</v>
          </cell>
          <cell r="Q87">
            <v>144990</v>
          </cell>
          <cell r="R87">
            <v>0</v>
          </cell>
          <cell r="S87">
            <v>96000</v>
          </cell>
          <cell r="T87">
            <v>0</v>
          </cell>
          <cell r="U87">
            <v>96660</v>
          </cell>
          <cell r="V87">
            <v>0</v>
          </cell>
          <cell r="W87">
            <v>1398529.0641499599</v>
          </cell>
          <cell r="X87">
            <v>0</v>
          </cell>
          <cell r="Y87">
            <v>48330</v>
          </cell>
          <cell r="Z87">
            <v>144990</v>
          </cell>
          <cell r="AA87">
            <v>96660</v>
          </cell>
          <cell r="AB87">
            <v>96000</v>
          </cell>
          <cell r="AC87">
            <v>98660</v>
          </cell>
          <cell r="AD87">
            <v>147990</v>
          </cell>
          <cell r="AE87">
            <v>98660</v>
          </cell>
          <cell r="AF87">
            <v>98660</v>
          </cell>
          <cell r="AG87">
            <v>49330</v>
          </cell>
          <cell r="AH87">
            <v>78928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440321.06414995994</v>
          </cell>
          <cell r="AT87">
            <v>440321.06414995994</v>
          </cell>
          <cell r="AU87">
            <v>96660</v>
          </cell>
        </row>
        <row r="88">
          <cell r="B88">
            <v>74</v>
          </cell>
          <cell r="C88">
            <v>12</v>
          </cell>
          <cell r="D88">
            <v>2617559.0641499599</v>
          </cell>
          <cell r="E88">
            <v>2617559.0641499599</v>
          </cell>
          <cell r="F88">
            <v>1219030</v>
          </cell>
          <cell r="G88">
            <v>1</v>
          </cell>
          <cell r="H88">
            <v>13100</v>
          </cell>
          <cell r="I88">
            <v>192920</v>
          </cell>
          <cell r="J88">
            <v>96660</v>
          </cell>
          <cell r="K88">
            <v>96660</v>
          </cell>
          <cell r="L88">
            <v>96460</v>
          </cell>
          <cell r="M88">
            <v>96460</v>
          </cell>
          <cell r="N88">
            <v>96460</v>
          </cell>
          <cell r="O88">
            <v>96000</v>
          </cell>
          <cell r="P88">
            <v>96660</v>
          </cell>
          <cell r="Q88">
            <v>144990</v>
          </cell>
          <cell r="R88">
            <v>0</v>
          </cell>
          <cell r="S88">
            <v>96000</v>
          </cell>
          <cell r="T88">
            <v>0</v>
          </cell>
          <cell r="U88">
            <v>96660</v>
          </cell>
          <cell r="V88">
            <v>0</v>
          </cell>
          <cell r="W88">
            <v>1398529.0641499599</v>
          </cell>
          <cell r="X88">
            <v>0</v>
          </cell>
          <cell r="Y88">
            <v>48330</v>
          </cell>
          <cell r="Z88">
            <v>144990</v>
          </cell>
          <cell r="AA88">
            <v>96660</v>
          </cell>
          <cell r="AB88">
            <v>96000</v>
          </cell>
          <cell r="AC88">
            <v>98660</v>
          </cell>
          <cell r="AD88">
            <v>147990</v>
          </cell>
          <cell r="AE88">
            <v>98660</v>
          </cell>
          <cell r="AF88">
            <v>98660</v>
          </cell>
          <cell r="AG88">
            <v>49330</v>
          </cell>
          <cell r="AH88">
            <v>78928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440321.06414995994</v>
          </cell>
          <cell r="AT88">
            <v>440321.06414995994</v>
          </cell>
          <cell r="AU88">
            <v>96660</v>
          </cell>
        </row>
        <row r="89">
          <cell r="B89">
            <v>75</v>
          </cell>
          <cell r="C89">
            <v>12</v>
          </cell>
          <cell r="D89">
            <v>2617559.0641499599</v>
          </cell>
          <cell r="E89">
            <v>2617559.0641499599</v>
          </cell>
          <cell r="F89">
            <v>1219030</v>
          </cell>
          <cell r="G89">
            <v>1</v>
          </cell>
          <cell r="H89">
            <v>13100</v>
          </cell>
          <cell r="I89">
            <v>192920</v>
          </cell>
          <cell r="J89">
            <v>96660</v>
          </cell>
          <cell r="K89">
            <v>96660</v>
          </cell>
          <cell r="L89">
            <v>96460</v>
          </cell>
          <cell r="M89">
            <v>96460</v>
          </cell>
          <cell r="N89">
            <v>96460</v>
          </cell>
          <cell r="O89">
            <v>96000</v>
          </cell>
          <cell r="P89">
            <v>96660</v>
          </cell>
          <cell r="Q89">
            <v>144990</v>
          </cell>
          <cell r="R89">
            <v>0</v>
          </cell>
          <cell r="S89">
            <v>96000</v>
          </cell>
          <cell r="T89">
            <v>0</v>
          </cell>
          <cell r="U89">
            <v>96660</v>
          </cell>
          <cell r="V89">
            <v>0</v>
          </cell>
          <cell r="W89">
            <v>1398529.0641499599</v>
          </cell>
          <cell r="X89">
            <v>0</v>
          </cell>
          <cell r="Y89">
            <v>48330</v>
          </cell>
          <cell r="Z89">
            <v>144990</v>
          </cell>
          <cell r="AA89">
            <v>96660</v>
          </cell>
          <cell r="AB89">
            <v>96000</v>
          </cell>
          <cell r="AC89">
            <v>98660</v>
          </cell>
          <cell r="AD89">
            <v>147990</v>
          </cell>
          <cell r="AE89">
            <v>98660</v>
          </cell>
          <cell r="AF89">
            <v>98660</v>
          </cell>
          <cell r="AG89">
            <v>49330</v>
          </cell>
          <cell r="AH89">
            <v>78928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440321.06414995994</v>
          </cell>
          <cell r="AT89">
            <v>440321.06414995994</v>
          </cell>
          <cell r="AU89">
            <v>96660</v>
          </cell>
        </row>
        <row r="90">
          <cell r="B90">
            <v>76</v>
          </cell>
          <cell r="C90">
            <v>12</v>
          </cell>
          <cell r="D90">
            <v>2617559.0641499599</v>
          </cell>
          <cell r="E90">
            <v>2617559.0641499599</v>
          </cell>
          <cell r="F90">
            <v>1219030</v>
          </cell>
          <cell r="G90">
            <v>1</v>
          </cell>
          <cell r="H90">
            <v>13100</v>
          </cell>
          <cell r="I90">
            <v>192920</v>
          </cell>
          <cell r="J90">
            <v>96660</v>
          </cell>
          <cell r="K90">
            <v>96660</v>
          </cell>
          <cell r="L90">
            <v>96460</v>
          </cell>
          <cell r="M90">
            <v>96460</v>
          </cell>
          <cell r="N90">
            <v>96460</v>
          </cell>
          <cell r="O90">
            <v>96000</v>
          </cell>
          <cell r="P90">
            <v>96660</v>
          </cell>
          <cell r="Q90">
            <v>144990</v>
          </cell>
          <cell r="R90">
            <v>0</v>
          </cell>
          <cell r="S90">
            <v>96000</v>
          </cell>
          <cell r="T90">
            <v>0</v>
          </cell>
          <cell r="U90">
            <v>96660</v>
          </cell>
          <cell r="V90">
            <v>0</v>
          </cell>
          <cell r="W90">
            <v>1398529.0641499599</v>
          </cell>
          <cell r="X90">
            <v>0</v>
          </cell>
          <cell r="Y90">
            <v>48330</v>
          </cell>
          <cell r="Z90">
            <v>144990</v>
          </cell>
          <cell r="AA90">
            <v>96660</v>
          </cell>
          <cell r="AB90">
            <v>96000</v>
          </cell>
          <cell r="AC90">
            <v>98660</v>
          </cell>
          <cell r="AD90">
            <v>147990</v>
          </cell>
          <cell r="AE90">
            <v>98660</v>
          </cell>
          <cell r="AF90">
            <v>98660</v>
          </cell>
          <cell r="AG90">
            <v>49330</v>
          </cell>
          <cell r="AH90">
            <v>78928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440321.06414995994</v>
          </cell>
          <cell r="AT90">
            <v>440321.06414995994</v>
          </cell>
          <cell r="AU90">
            <v>96660</v>
          </cell>
        </row>
        <row r="91">
          <cell r="B91">
            <v>77</v>
          </cell>
          <cell r="C91">
            <v>12</v>
          </cell>
          <cell r="D91">
            <v>2617559.0641499599</v>
          </cell>
          <cell r="E91">
            <v>2617559.0641499599</v>
          </cell>
          <cell r="F91">
            <v>1219030</v>
          </cell>
          <cell r="G91">
            <v>1</v>
          </cell>
          <cell r="H91">
            <v>13100</v>
          </cell>
          <cell r="I91">
            <v>192920</v>
          </cell>
          <cell r="J91">
            <v>96660</v>
          </cell>
          <cell r="K91">
            <v>96660</v>
          </cell>
          <cell r="L91">
            <v>96460</v>
          </cell>
          <cell r="M91">
            <v>96460</v>
          </cell>
          <cell r="N91">
            <v>96460</v>
          </cell>
          <cell r="O91">
            <v>96000</v>
          </cell>
          <cell r="P91">
            <v>96660</v>
          </cell>
          <cell r="Q91">
            <v>144990</v>
          </cell>
          <cell r="R91">
            <v>0</v>
          </cell>
          <cell r="S91">
            <v>96000</v>
          </cell>
          <cell r="T91">
            <v>0</v>
          </cell>
          <cell r="U91">
            <v>96660</v>
          </cell>
          <cell r="V91">
            <v>0</v>
          </cell>
          <cell r="W91">
            <v>1398529.0641499599</v>
          </cell>
          <cell r="X91">
            <v>0</v>
          </cell>
          <cell r="Y91">
            <v>48330</v>
          </cell>
          <cell r="Z91">
            <v>144990</v>
          </cell>
          <cell r="AA91">
            <v>96660</v>
          </cell>
          <cell r="AB91">
            <v>96000</v>
          </cell>
          <cell r="AC91">
            <v>98660</v>
          </cell>
          <cell r="AD91">
            <v>147990</v>
          </cell>
          <cell r="AE91">
            <v>98660</v>
          </cell>
          <cell r="AF91">
            <v>98660</v>
          </cell>
          <cell r="AG91">
            <v>49330</v>
          </cell>
          <cell r="AH91">
            <v>78928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440321.06414995994</v>
          </cell>
          <cell r="AT91">
            <v>440321.06414995994</v>
          </cell>
          <cell r="AU91">
            <v>96660</v>
          </cell>
        </row>
        <row r="92">
          <cell r="B92">
            <v>78</v>
          </cell>
          <cell r="C92">
            <v>12</v>
          </cell>
          <cell r="D92">
            <v>2617559.0641499599</v>
          </cell>
          <cell r="E92">
            <v>2617559.0641499599</v>
          </cell>
          <cell r="F92">
            <v>1219030</v>
          </cell>
          <cell r="G92">
            <v>1</v>
          </cell>
          <cell r="H92">
            <v>13100</v>
          </cell>
          <cell r="I92">
            <v>192920</v>
          </cell>
          <cell r="J92">
            <v>96660</v>
          </cell>
          <cell r="K92">
            <v>96660</v>
          </cell>
          <cell r="L92">
            <v>96460</v>
          </cell>
          <cell r="M92">
            <v>96460</v>
          </cell>
          <cell r="N92">
            <v>96460</v>
          </cell>
          <cell r="O92">
            <v>96000</v>
          </cell>
          <cell r="P92">
            <v>96660</v>
          </cell>
          <cell r="Q92">
            <v>144990</v>
          </cell>
          <cell r="R92">
            <v>0</v>
          </cell>
          <cell r="S92">
            <v>96000</v>
          </cell>
          <cell r="T92">
            <v>0</v>
          </cell>
          <cell r="U92">
            <v>96660</v>
          </cell>
          <cell r="V92">
            <v>0</v>
          </cell>
          <cell r="W92">
            <v>1398529.0641499599</v>
          </cell>
          <cell r="X92">
            <v>0</v>
          </cell>
          <cell r="Y92">
            <v>48330</v>
          </cell>
          <cell r="Z92">
            <v>144990</v>
          </cell>
          <cell r="AA92">
            <v>96660</v>
          </cell>
          <cell r="AB92">
            <v>96000</v>
          </cell>
          <cell r="AC92">
            <v>98660</v>
          </cell>
          <cell r="AD92">
            <v>147990</v>
          </cell>
          <cell r="AE92">
            <v>98660</v>
          </cell>
          <cell r="AF92">
            <v>98660</v>
          </cell>
          <cell r="AG92">
            <v>49330</v>
          </cell>
          <cell r="AH92">
            <v>78928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440321.06414995994</v>
          </cell>
          <cell r="AT92">
            <v>440321.06414995994</v>
          </cell>
          <cell r="AU92">
            <v>96660</v>
          </cell>
        </row>
        <row r="93">
          <cell r="B93">
            <v>79</v>
          </cell>
          <cell r="C93">
            <v>12</v>
          </cell>
          <cell r="D93">
            <v>2617559.0641499599</v>
          </cell>
          <cell r="E93">
            <v>2617559.0641499599</v>
          </cell>
          <cell r="F93">
            <v>1219030</v>
          </cell>
          <cell r="G93">
            <v>1</v>
          </cell>
          <cell r="H93">
            <v>13100</v>
          </cell>
          <cell r="I93">
            <v>192920</v>
          </cell>
          <cell r="J93">
            <v>96660</v>
          </cell>
          <cell r="K93">
            <v>96660</v>
          </cell>
          <cell r="L93">
            <v>96460</v>
          </cell>
          <cell r="M93">
            <v>96460</v>
          </cell>
          <cell r="N93">
            <v>96460</v>
          </cell>
          <cell r="O93">
            <v>96000</v>
          </cell>
          <cell r="P93">
            <v>96660</v>
          </cell>
          <cell r="Q93">
            <v>144990</v>
          </cell>
          <cell r="R93">
            <v>0</v>
          </cell>
          <cell r="S93">
            <v>96000</v>
          </cell>
          <cell r="T93">
            <v>0</v>
          </cell>
          <cell r="U93">
            <v>96660</v>
          </cell>
          <cell r="V93">
            <v>0</v>
          </cell>
          <cell r="W93">
            <v>1398529.0641499599</v>
          </cell>
          <cell r="X93">
            <v>0</v>
          </cell>
          <cell r="Y93">
            <v>48330</v>
          </cell>
          <cell r="Z93">
            <v>144990</v>
          </cell>
          <cell r="AA93">
            <v>96660</v>
          </cell>
          <cell r="AB93">
            <v>96000</v>
          </cell>
          <cell r="AC93">
            <v>98660</v>
          </cell>
          <cell r="AD93">
            <v>147990</v>
          </cell>
          <cell r="AE93">
            <v>98660</v>
          </cell>
          <cell r="AF93">
            <v>98660</v>
          </cell>
          <cell r="AG93">
            <v>49330</v>
          </cell>
          <cell r="AH93">
            <v>78928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440321.06414995994</v>
          </cell>
          <cell r="AT93">
            <v>440321.06414995994</v>
          </cell>
          <cell r="AU93">
            <v>96660</v>
          </cell>
        </row>
        <row r="94">
          <cell r="B94">
            <v>80</v>
          </cell>
          <cell r="C94">
            <v>12</v>
          </cell>
          <cell r="D94">
            <v>2617559.0641499599</v>
          </cell>
          <cell r="E94">
            <v>2617559.0641499599</v>
          </cell>
          <cell r="F94">
            <v>1219030</v>
          </cell>
          <cell r="G94">
            <v>1</v>
          </cell>
          <cell r="H94">
            <v>13100</v>
          </cell>
          <cell r="I94">
            <v>192920</v>
          </cell>
          <cell r="J94">
            <v>96660</v>
          </cell>
          <cell r="K94">
            <v>96660</v>
          </cell>
          <cell r="L94">
            <v>96460</v>
          </cell>
          <cell r="M94">
            <v>96460</v>
          </cell>
          <cell r="N94">
            <v>96460</v>
          </cell>
          <cell r="O94">
            <v>96000</v>
          </cell>
          <cell r="P94">
            <v>96660</v>
          </cell>
          <cell r="Q94">
            <v>144990</v>
          </cell>
          <cell r="R94">
            <v>0</v>
          </cell>
          <cell r="S94">
            <v>96000</v>
          </cell>
          <cell r="T94">
            <v>0</v>
          </cell>
          <cell r="U94">
            <v>96660</v>
          </cell>
          <cell r="V94">
            <v>0</v>
          </cell>
          <cell r="W94">
            <v>1398529.0641499599</v>
          </cell>
          <cell r="X94">
            <v>0</v>
          </cell>
          <cell r="Y94">
            <v>48330</v>
          </cell>
          <cell r="Z94">
            <v>144990</v>
          </cell>
          <cell r="AA94">
            <v>96660</v>
          </cell>
          <cell r="AB94">
            <v>96000</v>
          </cell>
          <cell r="AC94">
            <v>98660</v>
          </cell>
          <cell r="AD94">
            <v>147990</v>
          </cell>
          <cell r="AE94">
            <v>98660</v>
          </cell>
          <cell r="AF94">
            <v>98660</v>
          </cell>
          <cell r="AG94">
            <v>49330</v>
          </cell>
          <cell r="AH94">
            <v>78928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440321.06414995994</v>
          </cell>
          <cell r="AT94">
            <v>440321.06414995994</v>
          </cell>
          <cell r="AU94">
            <v>96660</v>
          </cell>
        </row>
        <row r="95">
          <cell r="B95">
            <v>81</v>
          </cell>
          <cell r="C95">
            <v>12</v>
          </cell>
          <cell r="D95">
            <v>2617559.0641499599</v>
          </cell>
          <cell r="E95">
            <v>2617559.0641499599</v>
          </cell>
          <cell r="F95">
            <v>1219030</v>
          </cell>
          <cell r="G95">
            <v>1</v>
          </cell>
          <cell r="H95">
            <v>13100</v>
          </cell>
          <cell r="I95">
            <v>192920</v>
          </cell>
          <cell r="J95">
            <v>96660</v>
          </cell>
          <cell r="K95">
            <v>96660</v>
          </cell>
          <cell r="L95">
            <v>96460</v>
          </cell>
          <cell r="M95">
            <v>96460</v>
          </cell>
          <cell r="N95">
            <v>96460</v>
          </cell>
          <cell r="O95">
            <v>96000</v>
          </cell>
          <cell r="P95">
            <v>96660</v>
          </cell>
          <cell r="Q95">
            <v>144990</v>
          </cell>
          <cell r="R95">
            <v>0</v>
          </cell>
          <cell r="S95">
            <v>96000</v>
          </cell>
          <cell r="T95">
            <v>0</v>
          </cell>
          <cell r="U95">
            <v>96660</v>
          </cell>
          <cell r="V95">
            <v>0</v>
          </cell>
          <cell r="W95">
            <v>1398529.0641499599</v>
          </cell>
          <cell r="X95">
            <v>0</v>
          </cell>
          <cell r="Y95">
            <v>48330</v>
          </cell>
          <cell r="Z95">
            <v>144990</v>
          </cell>
          <cell r="AA95">
            <v>96660</v>
          </cell>
          <cell r="AB95">
            <v>96000</v>
          </cell>
          <cell r="AC95">
            <v>98660</v>
          </cell>
          <cell r="AD95">
            <v>147990</v>
          </cell>
          <cell r="AE95">
            <v>98660</v>
          </cell>
          <cell r="AF95">
            <v>98660</v>
          </cell>
          <cell r="AG95">
            <v>49330</v>
          </cell>
          <cell r="AH95">
            <v>78928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440321.06414995994</v>
          </cell>
          <cell r="AT95">
            <v>440321.06414995994</v>
          </cell>
          <cell r="AU95">
            <v>96660</v>
          </cell>
        </row>
        <row r="96">
          <cell r="B96">
            <v>82</v>
          </cell>
          <cell r="C96">
            <v>12</v>
          </cell>
          <cell r="D96">
            <v>2617559.0641499599</v>
          </cell>
          <cell r="E96">
            <v>2617559.0641499599</v>
          </cell>
          <cell r="F96">
            <v>1219030</v>
          </cell>
          <cell r="G96">
            <v>1</v>
          </cell>
          <cell r="H96">
            <v>13100</v>
          </cell>
          <cell r="I96">
            <v>192920</v>
          </cell>
          <cell r="J96">
            <v>96660</v>
          </cell>
          <cell r="K96">
            <v>96660</v>
          </cell>
          <cell r="L96">
            <v>96460</v>
          </cell>
          <cell r="M96">
            <v>96460</v>
          </cell>
          <cell r="N96">
            <v>96460</v>
          </cell>
          <cell r="O96">
            <v>96000</v>
          </cell>
          <cell r="P96">
            <v>96660</v>
          </cell>
          <cell r="Q96">
            <v>144990</v>
          </cell>
          <cell r="R96">
            <v>0</v>
          </cell>
          <cell r="S96">
            <v>96000</v>
          </cell>
          <cell r="T96">
            <v>0</v>
          </cell>
          <cell r="U96">
            <v>96660</v>
          </cell>
          <cell r="V96">
            <v>0</v>
          </cell>
          <cell r="W96">
            <v>1398529.0641499599</v>
          </cell>
          <cell r="X96">
            <v>0</v>
          </cell>
          <cell r="Y96">
            <v>48330</v>
          </cell>
          <cell r="Z96">
            <v>144990</v>
          </cell>
          <cell r="AA96">
            <v>96660</v>
          </cell>
          <cell r="AB96">
            <v>96000</v>
          </cell>
          <cell r="AC96">
            <v>98660</v>
          </cell>
          <cell r="AD96">
            <v>147990</v>
          </cell>
          <cell r="AE96">
            <v>98660</v>
          </cell>
          <cell r="AF96">
            <v>98660</v>
          </cell>
          <cell r="AG96">
            <v>49330</v>
          </cell>
          <cell r="AH96">
            <v>78928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440321.06414995994</v>
          </cell>
          <cell r="AT96">
            <v>440321.06414995994</v>
          </cell>
          <cell r="AU96">
            <v>96660</v>
          </cell>
        </row>
        <row r="97">
          <cell r="B97">
            <v>83</v>
          </cell>
          <cell r="C97">
            <v>12</v>
          </cell>
          <cell r="D97">
            <v>2617559.0641499599</v>
          </cell>
          <cell r="E97">
            <v>2617559.0641499599</v>
          </cell>
          <cell r="F97">
            <v>1219030</v>
          </cell>
          <cell r="G97">
            <v>1</v>
          </cell>
          <cell r="H97">
            <v>13100</v>
          </cell>
          <cell r="I97">
            <v>192920</v>
          </cell>
          <cell r="J97">
            <v>96660</v>
          </cell>
          <cell r="K97">
            <v>96660</v>
          </cell>
          <cell r="L97">
            <v>96460</v>
          </cell>
          <cell r="M97">
            <v>96460</v>
          </cell>
          <cell r="N97">
            <v>96460</v>
          </cell>
          <cell r="O97">
            <v>96000</v>
          </cell>
          <cell r="P97">
            <v>96660</v>
          </cell>
          <cell r="Q97">
            <v>144990</v>
          </cell>
          <cell r="R97">
            <v>0</v>
          </cell>
          <cell r="S97">
            <v>96000</v>
          </cell>
          <cell r="T97">
            <v>0</v>
          </cell>
          <cell r="U97">
            <v>96660</v>
          </cell>
          <cell r="V97">
            <v>0</v>
          </cell>
          <cell r="W97">
            <v>1398529.0641499599</v>
          </cell>
          <cell r="X97">
            <v>0</v>
          </cell>
          <cell r="Y97">
            <v>48330</v>
          </cell>
          <cell r="Z97">
            <v>144990</v>
          </cell>
          <cell r="AA97">
            <v>96660</v>
          </cell>
          <cell r="AB97">
            <v>96000</v>
          </cell>
          <cell r="AC97">
            <v>98660</v>
          </cell>
          <cell r="AD97">
            <v>147990</v>
          </cell>
          <cell r="AE97">
            <v>98660</v>
          </cell>
          <cell r="AF97">
            <v>98660</v>
          </cell>
          <cell r="AG97">
            <v>49330</v>
          </cell>
          <cell r="AH97">
            <v>78928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440321.06414995994</v>
          </cell>
          <cell r="AT97">
            <v>440321.06414995994</v>
          </cell>
          <cell r="AU97">
            <v>96660</v>
          </cell>
        </row>
        <row r="98">
          <cell r="B98">
            <v>84</v>
          </cell>
          <cell r="C98">
            <v>12</v>
          </cell>
          <cell r="D98">
            <v>2617559.0641499599</v>
          </cell>
          <cell r="E98">
            <v>2617559.0641499599</v>
          </cell>
          <cell r="F98">
            <v>1219030</v>
          </cell>
          <cell r="G98">
            <v>1</v>
          </cell>
          <cell r="H98">
            <v>13100</v>
          </cell>
          <cell r="I98">
            <v>192920</v>
          </cell>
          <cell r="J98">
            <v>96660</v>
          </cell>
          <cell r="K98">
            <v>96660</v>
          </cell>
          <cell r="L98">
            <v>96460</v>
          </cell>
          <cell r="M98">
            <v>96460</v>
          </cell>
          <cell r="N98">
            <v>96460</v>
          </cell>
          <cell r="O98">
            <v>96000</v>
          </cell>
          <cell r="P98">
            <v>96660</v>
          </cell>
          <cell r="Q98">
            <v>144990</v>
          </cell>
          <cell r="R98">
            <v>0</v>
          </cell>
          <cell r="S98">
            <v>96000</v>
          </cell>
          <cell r="T98">
            <v>0</v>
          </cell>
          <cell r="U98">
            <v>96660</v>
          </cell>
          <cell r="V98">
            <v>0</v>
          </cell>
          <cell r="W98">
            <v>1398529.0641499599</v>
          </cell>
          <cell r="X98">
            <v>0</v>
          </cell>
          <cell r="Y98">
            <v>48330</v>
          </cell>
          <cell r="Z98">
            <v>144990</v>
          </cell>
          <cell r="AA98">
            <v>96660</v>
          </cell>
          <cell r="AB98">
            <v>96000</v>
          </cell>
          <cell r="AC98">
            <v>98660</v>
          </cell>
          <cell r="AD98">
            <v>147990</v>
          </cell>
          <cell r="AE98">
            <v>98660</v>
          </cell>
          <cell r="AF98">
            <v>98660</v>
          </cell>
          <cell r="AG98">
            <v>49330</v>
          </cell>
          <cell r="AH98">
            <v>78928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440321.06414995994</v>
          </cell>
          <cell r="AT98">
            <v>440321.06414995994</v>
          </cell>
          <cell r="AU98">
            <v>96660</v>
          </cell>
        </row>
        <row r="99">
          <cell r="B99">
            <v>85</v>
          </cell>
          <cell r="C99">
            <v>12</v>
          </cell>
          <cell r="D99">
            <v>2617559.0641499599</v>
          </cell>
          <cell r="E99">
            <v>2617559.0641499599</v>
          </cell>
          <cell r="F99">
            <v>1219030</v>
          </cell>
          <cell r="G99">
            <v>1</v>
          </cell>
          <cell r="H99">
            <v>13100</v>
          </cell>
          <cell r="I99">
            <v>192920</v>
          </cell>
          <cell r="J99">
            <v>96660</v>
          </cell>
          <cell r="K99">
            <v>96660</v>
          </cell>
          <cell r="L99">
            <v>96460</v>
          </cell>
          <cell r="M99">
            <v>96460</v>
          </cell>
          <cell r="N99">
            <v>96460</v>
          </cell>
          <cell r="O99">
            <v>96000</v>
          </cell>
          <cell r="P99">
            <v>96660</v>
          </cell>
          <cell r="Q99">
            <v>144990</v>
          </cell>
          <cell r="R99">
            <v>0</v>
          </cell>
          <cell r="S99">
            <v>96000</v>
          </cell>
          <cell r="T99">
            <v>0</v>
          </cell>
          <cell r="U99">
            <v>96660</v>
          </cell>
          <cell r="V99">
            <v>0</v>
          </cell>
          <cell r="W99">
            <v>1398529.0641499599</v>
          </cell>
          <cell r="X99">
            <v>0</v>
          </cell>
          <cell r="Y99">
            <v>48330</v>
          </cell>
          <cell r="Z99">
            <v>144990</v>
          </cell>
          <cell r="AA99">
            <v>96660</v>
          </cell>
          <cell r="AB99">
            <v>96000</v>
          </cell>
          <cell r="AC99">
            <v>98660</v>
          </cell>
          <cell r="AD99">
            <v>147990</v>
          </cell>
          <cell r="AE99">
            <v>98660</v>
          </cell>
          <cell r="AF99">
            <v>98660</v>
          </cell>
          <cell r="AG99">
            <v>49330</v>
          </cell>
          <cell r="AH99">
            <v>78928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440321.06414995994</v>
          </cell>
          <cell r="AT99">
            <v>440321.06414995994</v>
          </cell>
          <cell r="AU99">
            <v>96660</v>
          </cell>
        </row>
        <row r="100">
          <cell r="B100">
            <v>86</v>
          </cell>
          <cell r="C100">
            <v>12</v>
          </cell>
          <cell r="D100">
            <v>2617559.0641499599</v>
          </cell>
          <cell r="E100">
            <v>2617559.0641499599</v>
          </cell>
          <cell r="F100">
            <v>1219030</v>
          </cell>
          <cell r="G100">
            <v>1</v>
          </cell>
          <cell r="H100">
            <v>13100</v>
          </cell>
          <cell r="I100">
            <v>192920</v>
          </cell>
          <cell r="J100">
            <v>96660</v>
          </cell>
          <cell r="K100">
            <v>96660</v>
          </cell>
          <cell r="L100">
            <v>96460</v>
          </cell>
          <cell r="M100">
            <v>96460</v>
          </cell>
          <cell r="N100">
            <v>96460</v>
          </cell>
          <cell r="O100">
            <v>96000</v>
          </cell>
          <cell r="P100">
            <v>96660</v>
          </cell>
          <cell r="Q100">
            <v>144990</v>
          </cell>
          <cell r="R100">
            <v>0</v>
          </cell>
          <cell r="S100">
            <v>96000</v>
          </cell>
          <cell r="T100">
            <v>0</v>
          </cell>
          <cell r="U100">
            <v>96660</v>
          </cell>
          <cell r="V100">
            <v>0</v>
          </cell>
          <cell r="W100">
            <v>1398529.0641499599</v>
          </cell>
          <cell r="X100">
            <v>0</v>
          </cell>
          <cell r="Y100">
            <v>48330</v>
          </cell>
          <cell r="Z100">
            <v>144990</v>
          </cell>
          <cell r="AA100">
            <v>96660</v>
          </cell>
          <cell r="AB100">
            <v>96000</v>
          </cell>
          <cell r="AC100">
            <v>98660</v>
          </cell>
          <cell r="AD100">
            <v>147990</v>
          </cell>
          <cell r="AE100">
            <v>98660</v>
          </cell>
          <cell r="AF100">
            <v>98660</v>
          </cell>
          <cell r="AG100">
            <v>49330</v>
          </cell>
          <cell r="AH100">
            <v>78928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440321.06414995994</v>
          </cell>
          <cell r="AT100">
            <v>440321.06414995994</v>
          </cell>
          <cell r="AU100">
            <v>96660</v>
          </cell>
        </row>
        <row r="101">
          <cell r="B101">
            <v>87</v>
          </cell>
          <cell r="C101">
            <v>12</v>
          </cell>
          <cell r="D101">
            <v>2617559.0641499599</v>
          </cell>
          <cell r="E101">
            <v>2617559.0641499599</v>
          </cell>
          <cell r="F101">
            <v>1219030</v>
          </cell>
          <cell r="G101">
            <v>1</v>
          </cell>
          <cell r="H101">
            <v>13100</v>
          </cell>
          <cell r="I101">
            <v>192920</v>
          </cell>
          <cell r="J101">
            <v>96660</v>
          </cell>
          <cell r="K101">
            <v>96660</v>
          </cell>
          <cell r="L101">
            <v>96460</v>
          </cell>
          <cell r="M101">
            <v>96460</v>
          </cell>
          <cell r="N101">
            <v>96460</v>
          </cell>
          <cell r="O101">
            <v>96000</v>
          </cell>
          <cell r="P101">
            <v>96660</v>
          </cell>
          <cell r="Q101">
            <v>144990</v>
          </cell>
          <cell r="R101">
            <v>0</v>
          </cell>
          <cell r="S101">
            <v>96000</v>
          </cell>
          <cell r="T101">
            <v>0</v>
          </cell>
          <cell r="U101">
            <v>96660</v>
          </cell>
          <cell r="V101">
            <v>0</v>
          </cell>
          <cell r="W101">
            <v>1398529.0641499599</v>
          </cell>
          <cell r="X101">
            <v>0</v>
          </cell>
          <cell r="Y101">
            <v>48330</v>
          </cell>
          <cell r="Z101">
            <v>144990</v>
          </cell>
          <cell r="AA101">
            <v>96660</v>
          </cell>
          <cell r="AB101">
            <v>96000</v>
          </cell>
          <cell r="AC101">
            <v>98660</v>
          </cell>
          <cell r="AD101">
            <v>147990</v>
          </cell>
          <cell r="AE101">
            <v>98660</v>
          </cell>
          <cell r="AF101">
            <v>98660</v>
          </cell>
          <cell r="AG101">
            <v>49330</v>
          </cell>
          <cell r="AH101">
            <v>78928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440321.06414995994</v>
          </cell>
          <cell r="AT101">
            <v>440321.06414995994</v>
          </cell>
          <cell r="AU101">
            <v>96660</v>
          </cell>
        </row>
        <row r="102">
          <cell r="B102">
            <v>88</v>
          </cell>
          <cell r="C102">
            <v>12</v>
          </cell>
          <cell r="D102">
            <v>2617559.0641499599</v>
          </cell>
          <cell r="E102">
            <v>2617559.0641499599</v>
          </cell>
          <cell r="F102">
            <v>1219030</v>
          </cell>
          <cell r="G102">
            <v>1</v>
          </cell>
          <cell r="H102">
            <v>13100</v>
          </cell>
          <cell r="I102">
            <v>192920</v>
          </cell>
          <cell r="J102">
            <v>96660</v>
          </cell>
          <cell r="K102">
            <v>96660</v>
          </cell>
          <cell r="L102">
            <v>96460</v>
          </cell>
          <cell r="M102">
            <v>96460</v>
          </cell>
          <cell r="N102">
            <v>96460</v>
          </cell>
          <cell r="O102">
            <v>96000</v>
          </cell>
          <cell r="P102">
            <v>96660</v>
          </cell>
          <cell r="Q102">
            <v>144990</v>
          </cell>
          <cell r="R102">
            <v>0</v>
          </cell>
          <cell r="S102">
            <v>96000</v>
          </cell>
          <cell r="T102">
            <v>0</v>
          </cell>
          <cell r="U102">
            <v>96660</v>
          </cell>
          <cell r="V102">
            <v>0</v>
          </cell>
          <cell r="W102">
            <v>1398529.0641499599</v>
          </cell>
          <cell r="X102">
            <v>0</v>
          </cell>
          <cell r="Y102">
            <v>48330</v>
          </cell>
          <cell r="Z102">
            <v>144990</v>
          </cell>
          <cell r="AA102">
            <v>96660</v>
          </cell>
          <cell r="AB102">
            <v>96000</v>
          </cell>
          <cell r="AC102">
            <v>98660</v>
          </cell>
          <cell r="AD102">
            <v>147990</v>
          </cell>
          <cell r="AE102">
            <v>98660</v>
          </cell>
          <cell r="AF102">
            <v>98660</v>
          </cell>
          <cell r="AG102">
            <v>49330</v>
          </cell>
          <cell r="AH102">
            <v>78928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440321.06414995994</v>
          </cell>
          <cell r="AT102">
            <v>440321.06414995994</v>
          </cell>
          <cell r="AU102">
            <v>96660</v>
          </cell>
        </row>
        <row r="103">
          <cell r="B103">
            <v>89</v>
          </cell>
          <cell r="C103">
            <v>12</v>
          </cell>
          <cell r="D103">
            <v>2617559.0641499599</v>
          </cell>
          <cell r="E103">
            <v>2617559.0641499599</v>
          </cell>
          <cell r="F103">
            <v>1219030</v>
          </cell>
          <cell r="G103">
            <v>1</v>
          </cell>
          <cell r="H103">
            <v>13100</v>
          </cell>
          <cell r="I103">
            <v>192920</v>
          </cell>
          <cell r="J103">
            <v>96660</v>
          </cell>
          <cell r="K103">
            <v>96660</v>
          </cell>
          <cell r="L103">
            <v>96460</v>
          </cell>
          <cell r="M103">
            <v>96460</v>
          </cell>
          <cell r="N103">
            <v>96460</v>
          </cell>
          <cell r="O103">
            <v>96000</v>
          </cell>
          <cell r="P103">
            <v>96660</v>
          </cell>
          <cell r="Q103">
            <v>144990</v>
          </cell>
          <cell r="R103">
            <v>0</v>
          </cell>
          <cell r="S103">
            <v>96000</v>
          </cell>
          <cell r="T103">
            <v>0</v>
          </cell>
          <cell r="U103">
            <v>96660</v>
          </cell>
          <cell r="V103">
            <v>0</v>
          </cell>
          <cell r="W103">
            <v>1398529.0641499599</v>
          </cell>
          <cell r="X103">
            <v>0</v>
          </cell>
          <cell r="Y103">
            <v>48330</v>
          </cell>
          <cell r="Z103">
            <v>144990</v>
          </cell>
          <cell r="AA103">
            <v>96660</v>
          </cell>
          <cell r="AB103">
            <v>96000</v>
          </cell>
          <cell r="AC103">
            <v>98660</v>
          </cell>
          <cell r="AD103">
            <v>147990</v>
          </cell>
          <cell r="AE103">
            <v>98660</v>
          </cell>
          <cell r="AF103">
            <v>98660</v>
          </cell>
          <cell r="AG103">
            <v>49330</v>
          </cell>
          <cell r="AH103">
            <v>78928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440321.06414995994</v>
          </cell>
          <cell r="AT103">
            <v>440321.06414995994</v>
          </cell>
          <cell r="AU103">
            <v>96660</v>
          </cell>
        </row>
        <row r="104">
          <cell r="B104">
            <v>90</v>
          </cell>
          <cell r="C104">
            <v>12</v>
          </cell>
          <cell r="D104">
            <v>2617559.0641499599</v>
          </cell>
          <cell r="E104">
            <v>2617559.0641499599</v>
          </cell>
          <cell r="F104">
            <v>1219030</v>
          </cell>
          <cell r="G104">
            <v>1</v>
          </cell>
          <cell r="H104">
            <v>13100</v>
          </cell>
          <cell r="I104">
            <v>192920</v>
          </cell>
          <cell r="J104">
            <v>96660</v>
          </cell>
          <cell r="K104">
            <v>96660</v>
          </cell>
          <cell r="L104">
            <v>96460</v>
          </cell>
          <cell r="M104">
            <v>96460</v>
          </cell>
          <cell r="N104">
            <v>96460</v>
          </cell>
          <cell r="O104">
            <v>96000</v>
          </cell>
          <cell r="P104">
            <v>96660</v>
          </cell>
          <cell r="Q104">
            <v>144990</v>
          </cell>
          <cell r="R104">
            <v>0</v>
          </cell>
          <cell r="S104">
            <v>96000</v>
          </cell>
          <cell r="T104">
            <v>0</v>
          </cell>
          <cell r="U104">
            <v>96660</v>
          </cell>
          <cell r="V104">
            <v>0</v>
          </cell>
          <cell r="W104">
            <v>1398529.0641499599</v>
          </cell>
          <cell r="X104">
            <v>0</v>
          </cell>
          <cell r="Y104">
            <v>48330</v>
          </cell>
          <cell r="Z104">
            <v>144990</v>
          </cell>
          <cell r="AA104">
            <v>96660</v>
          </cell>
          <cell r="AB104">
            <v>96000</v>
          </cell>
          <cell r="AC104">
            <v>98660</v>
          </cell>
          <cell r="AD104">
            <v>147990</v>
          </cell>
          <cell r="AE104">
            <v>98660</v>
          </cell>
          <cell r="AF104">
            <v>98660</v>
          </cell>
          <cell r="AG104">
            <v>49330</v>
          </cell>
          <cell r="AH104">
            <v>78928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440321.06414995994</v>
          </cell>
          <cell r="AT104">
            <v>440321.06414995994</v>
          </cell>
          <cell r="AU104">
            <v>96660</v>
          </cell>
        </row>
        <row r="105">
          <cell r="B105">
            <v>91</v>
          </cell>
          <cell r="C105">
            <v>12</v>
          </cell>
          <cell r="D105">
            <v>2819780.7917326037</v>
          </cell>
          <cell r="E105">
            <v>2819780.7917326037</v>
          </cell>
          <cell r="F105">
            <v>1219030</v>
          </cell>
          <cell r="G105">
            <v>1</v>
          </cell>
          <cell r="H105">
            <v>13100</v>
          </cell>
          <cell r="I105">
            <v>192920</v>
          </cell>
          <cell r="J105">
            <v>96660</v>
          </cell>
          <cell r="K105">
            <v>96660</v>
          </cell>
          <cell r="L105">
            <v>96460</v>
          </cell>
          <cell r="M105">
            <v>96460</v>
          </cell>
          <cell r="N105">
            <v>96460</v>
          </cell>
          <cell r="O105">
            <v>96000</v>
          </cell>
          <cell r="P105">
            <v>96660</v>
          </cell>
          <cell r="Q105">
            <v>144990</v>
          </cell>
          <cell r="R105">
            <v>0</v>
          </cell>
          <cell r="S105">
            <v>96000</v>
          </cell>
          <cell r="T105">
            <v>0</v>
          </cell>
          <cell r="U105">
            <v>96660</v>
          </cell>
          <cell r="V105">
            <v>0</v>
          </cell>
          <cell r="W105">
            <v>1600750.7917326037</v>
          </cell>
          <cell r="X105">
            <v>0</v>
          </cell>
          <cell r="Y105">
            <v>48330</v>
          </cell>
          <cell r="Z105">
            <v>144990</v>
          </cell>
          <cell r="AA105">
            <v>96660</v>
          </cell>
          <cell r="AB105">
            <v>96000</v>
          </cell>
          <cell r="AC105">
            <v>98660</v>
          </cell>
          <cell r="AD105">
            <v>147990</v>
          </cell>
          <cell r="AE105">
            <v>98660</v>
          </cell>
          <cell r="AF105">
            <v>98660</v>
          </cell>
          <cell r="AG105">
            <v>49330</v>
          </cell>
          <cell r="AH105">
            <v>78928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642542.79173260368</v>
          </cell>
          <cell r="AT105">
            <v>642542.79173260368</v>
          </cell>
          <cell r="AU105">
            <v>96660</v>
          </cell>
        </row>
        <row r="106">
          <cell r="B106">
            <v>92</v>
          </cell>
          <cell r="C106">
            <v>12</v>
          </cell>
          <cell r="D106">
            <v>2617559.0641499599</v>
          </cell>
          <cell r="E106">
            <v>2617559.0641499599</v>
          </cell>
          <cell r="F106">
            <v>1219030</v>
          </cell>
          <cell r="G106">
            <v>1</v>
          </cell>
          <cell r="H106">
            <v>13100</v>
          </cell>
          <cell r="I106">
            <v>192920</v>
          </cell>
          <cell r="J106">
            <v>96660</v>
          </cell>
          <cell r="K106">
            <v>96660</v>
          </cell>
          <cell r="L106">
            <v>96460</v>
          </cell>
          <cell r="M106">
            <v>96460</v>
          </cell>
          <cell r="N106">
            <v>96460</v>
          </cell>
          <cell r="O106">
            <v>96000</v>
          </cell>
          <cell r="P106">
            <v>96660</v>
          </cell>
          <cell r="Q106">
            <v>144990</v>
          </cell>
          <cell r="R106">
            <v>0</v>
          </cell>
          <cell r="S106">
            <v>96000</v>
          </cell>
          <cell r="T106">
            <v>0</v>
          </cell>
          <cell r="U106">
            <v>96660</v>
          </cell>
          <cell r="V106">
            <v>0</v>
          </cell>
          <cell r="W106">
            <v>1398529.0641499599</v>
          </cell>
          <cell r="X106">
            <v>0</v>
          </cell>
          <cell r="Y106">
            <v>48330</v>
          </cell>
          <cell r="Z106">
            <v>144990</v>
          </cell>
          <cell r="AA106">
            <v>96660</v>
          </cell>
          <cell r="AB106">
            <v>96000</v>
          </cell>
          <cell r="AC106">
            <v>98660</v>
          </cell>
          <cell r="AD106">
            <v>147990</v>
          </cell>
          <cell r="AE106">
            <v>98660</v>
          </cell>
          <cell r="AF106">
            <v>98660</v>
          </cell>
          <cell r="AG106">
            <v>49330</v>
          </cell>
          <cell r="AH106">
            <v>78928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440321.06414995994</v>
          </cell>
          <cell r="AT106">
            <v>440321.06414995994</v>
          </cell>
          <cell r="AU106">
            <v>96660</v>
          </cell>
        </row>
        <row r="107">
          <cell r="B107">
            <v>93</v>
          </cell>
          <cell r="C107">
            <v>1</v>
          </cell>
          <cell r="D107">
            <v>2617559.0641499599</v>
          </cell>
          <cell r="E107">
            <v>2617559.0641499599</v>
          </cell>
          <cell r="F107">
            <v>1219030</v>
          </cell>
          <cell r="G107">
            <v>1</v>
          </cell>
          <cell r="H107">
            <v>13100</v>
          </cell>
          <cell r="I107">
            <v>192920</v>
          </cell>
          <cell r="J107">
            <v>96660</v>
          </cell>
          <cell r="K107">
            <v>96660</v>
          </cell>
          <cell r="L107">
            <v>96460</v>
          </cell>
          <cell r="M107">
            <v>96460</v>
          </cell>
          <cell r="N107">
            <v>96460</v>
          </cell>
          <cell r="O107">
            <v>96000</v>
          </cell>
          <cell r="P107">
            <v>96660</v>
          </cell>
          <cell r="Q107">
            <v>144990</v>
          </cell>
          <cell r="R107">
            <v>0</v>
          </cell>
          <cell r="S107">
            <v>96000</v>
          </cell>
          <cell r="T107">
            <v>0</v>
          </cell>
          <cell r="U107">
            <v>96660</v>
          </cell>
          <cell r="V107">
            <v>0</v>
          </cell>
          <cell r="W107">
            <v>1398529.0641499599</v>
          </cell>
          <cell r="X107">
            <v>0</v>
          </cell>
          <cell r="Y107">
            <v>48330</v>
          </cell>
          <cell r="Z107">
            <v>144990</v>
          </cell>
          <cell r="AA107">
            <v>96660</v>
          </cell>
          <cell r="AB107">
            <v>96000</v>
          </cell>
          <cell r="AC107">
            <v>98660</v>
          </cell>
          <cell r="AD107">
            <v>147990</v>
          </cell>
          <cell r="AE107">
            <v>98660</v>
          </cell>
          <cell r="AF107">
            <v>98660</v>
          </cell>
          <cell r="AG107">
            <v>49330</v>
          </cell>
          <cell r="AH107">
            <v>78928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440321.06414995994</v>
          </cell>
          <cell r="AT107">
            <v>440321.06414995994</v>
          </cell>
          <cell r="AU107">
            <v>96660</v>
          </cell>
        </row>
        <row r="108">
          <cell r="B108">
            <v>94</v>
          </cell>
          <cell r="C108">
            <v>1</v>
          </cell>
          <cell r="D108">
            <v>2617559.0641499599</v>
          </cell>
          <cell r="E108">
            <v>2617559.0641499599</v>
          </cell>
          <cell r="F108">
            <v>1219030</v>
          </cell>
          <cell r="G108">
            <v>1</v>
          </cell>
          <cell r="H108">
            <v>13100</v>
          </cell>
          <cell r="I108">
            <v>192920</v>
          </cell>
          <cell r="J108">
            <v>96660</v>
          </cell>
          <cell r="K108">
            <v>96660</v>
          </cell>
          <cell r="L108">
            <v>96460</v>
          </cell>
          <cell r="M108">
            <v>96460</v>
          </cell>
          <cell r="N108">
            <v>96460</v>
          </cell>
          <cell r="O108">
            <v>96000</v>
          </cell>
          <cell r="P108">
            <v>96660</v>
          </cell>
          <cell r="Q108">
            <v>144990</v>
          </cell>
          <cell r="R108">
            <v>0</v>
          </cell>
          <cell r="S108">
            <v>96000</v>
          </cell>
          <cell r="T108">
            <v>0</v>
          </cell>
          <cell r="U108">
            <v>96660</v>
          </cell>
          <cell r="V108">
            <v>0</v>
          </cell>
          <cell r="W108">
            <v>1398529.0641499599</v>
          </cell>
          <cell r="X108">
            <v>0</v>
          </cell>
          <cell r="Y108">
            <v>48330</v>
          </cell>
          <cell r="Z108">
            <v>144990</v>
          </cell>
          <cell r="AA108">
            <v>96660</v>
          </cell>
          <cell r="AB108">
            <v>96000</v>
          </cell>
          <cell r="AC108">
            <v>98660</v>
          </cell>
          <cell r="AD108">
            <v>147990</v>
          </cell>
          <cell r="AE108">
            <v>98660</v>
          </cell>
          <cell r="AF108">
            <v>98660</v>
          </cell>
          <cell r="AG108">
            <v>49330</v>
          </cell>
          <cell r="AH108">
            <v>78928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440321.06414995994</v>
          </cell>
          <cell r="AT108">
            <v>440321.06414995994</v>
          </cell>
          <cell r="AU108">
            <v>96660</v>
          </cell>
        </row>
        <row r="109">
          <cell r="B109">
            <v>95</v>
          </cell>
          <cell r="C109">
            <v>1</v>
          </cell>
          <cell r="D109">
            <v>2617559.0641499599</v>
          </cell>
          <cell r="E109">
            <v>2617559.0641499599</v>
          </cell>
          <cell r="F109">
            <v>1219030</v>
          </cell>
          <cell r="G109">
            <v>1</v>
          </cell>
          <cell r="H109">
            <v>13100</v>
          </cell>
          <cell r="I109">
            <v>192920</v>
          </cell>
          <cell r="J109">
            <v>96660</v>
          </cell>
          <cell r="K109">
            <v>96660</v>
          </cell>
          <cell r="L109">
            <v>96460</v>
          </cell>
          <cell r="M109">
            <v>96460</v>
          </cell>
          <cell r="N109">
            <v>96460</v>
          </cell>
          <cell r="O109">
            <v>96000</v>
          </cell>
          <cell r="P109">
            <v>96660</v>
          </cell>
          <cell r="Q109">
            <v>144990</v>
          </cell>
          <cell r="R109">
            <v>0</v>
          </cell>
          <cell r="S109">
            <v>96000</v>
          </cell>
          <cell r="T109">
            <v>0</v>
          </cell>
          <cell r="U109">
            <v>96660</v>
          </cell>
          <cell r="V109">
            <v>0</v>
          </cell>
          <cell r="W109">
            <v>1398529.0641499599</v>
          </cell>
          <cell r="X109">
            <v>0</v>
          </cell>
          <cell r="Y109">
            <v>48330</v>
          </cell>
          <cell r="Z109">
            <v>144990</v>
          </cell>
          <cell r="AA109">
            <v>96660</v>
          </cell>
          <cell r="AB109">
            <v>96000</v>
          </cell>
          <cell r="AC109">
            <v>98660</v>
          </cell>
          <cell r="AD109">
            <v>147990</v>
          </cell>
          <cell r="AE109">
            <v>98660</v>
          </cell>
          <cell r="AF109">
            <v>98660</v>
          </cell>
          <cell r="AG109">
            <v>49330</v>
          </cell>
          <cell r="AH109">
            <v>78928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440321.06414995994</v>
          </cell>
          <cell r="AT109">
            <v>440321.06414995994</v>
          </cell>
          <cell r="AU109">
            <v>96660</v>
          </cell>
        </row>
        <row r="110">
          <cell r="B110">
            <v>96</v>
          </cell>
          <cell r="C110">
            <v>1</v>
          </cell>
          <cell r="D110">
            <v>3610410.7003139979</v>
          </cell>
          <cell r="E110">
            <v>3610410.7003139979</v>
          </cell>
          <cell r="F110">
            <v>1219030</v>
          </cell>
          <cell r="G110">
            <v>1</v>
          </cell>
          <cell r="H110">
            <v>13100</v>
          </cell>
          <cell r="I110">
            <v>192920</v>
          </cell>
          <cell r="J110">
            <v>96660</v>
          </cell>
          <cell r="K110">
            <v>96660</v>
          </cell>
          <cell r="L110">
            <v>96460</v>
          </cell>
          <cell r="M110">
            <v>96460</v>
          </cell>
          <cell r="N110">
            <v>96460</v>
          </cell>
          <cell r="O110">
            <v>96000</v>
          </cell>
          <cell r="P110">
            <v>96660</v>
          </cell>
          <cell r="Q110">
            <v>144990</v>
          </cell>
          <cell r="R110">
            <v>0</v>
          </cell>
          <cell r="S110">
            <v>96000</v>
          </cell>
          <cell r="T110">
            <v>0</v>
          </cell>
          <cell r="U110">
            <v>96660</v>
          </cell>
          <cell r="V110">
            <v>0</v>
          </cell>
          <cell r="W110">
            <v>2391380.7003139979</v>
          </cell>
          <cell r="X110">
            <v>0</v>
          </cell>
          <cell r="Y110">
            <v>48330</v>
          </cell>
          <cell r="Z110">
            <v>144990</v>
          </cell>
          <cell r="AA110">
            <v>96660</v>
          </cell>
          <cell r="AB110">
            <v>96000</v>
          </cell>
          <cell r="AC110">
            <v>98660</v>
          </cell>
          <cell r="AD110">
            <v>147990</v>
          </cell>
          <cell r="AE110">
            <v>98660</v>
          </cell>
          <cell r="AF110">
            <v>98660</v>
          </cell>
          <cell r="AG110">
            <v>49330</v>
          </cell>
          <cell r="AH110">
            <v>78928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1433172.7003139979</v>
          </cell>
          <cell r="AT110">
            <v>1433172.7003139979</v>
          </cell>
          <cell r="AU110">
            <v>96660</v>
          </cell>
        </row>
        <row r="111">
          <cell r="B111">
            <v>97</v>
          </cell>
          <cell r="C111">
            <v>1</v>
          </cell>
          <cell r="D111">
            <v>3823224.0247445158</v>
          </cell>
          <cell r="E111">
            <v>3823224.0247445158</v>
          </cell>
          <cell r="F111">
            <v>1219030</v>
          </cell>
          <cell r="G111">
            <v>1</v>
          </cell>
          <cell r="H111">
            <v>13100</v>
          </cell>
          <cell r="I111">
            <v>192920</v>
          </cell>
          <cell r="J111">
            <v>96660</v>
          </cell>
          <cell r="K111">
            <v>96660</v>
          </cell>
          <cell r="L111">
            <v>96460</v>
          </cell>
          <cell r="M111">
            <v>96460</v>
          </cell>
          <cell r="N111">
            <v>96460</v>
          </cell>
          <cell r="O111">
            <v>96000</v>
          </cell>
          <cell r="P111">
            <v>96660</v>
          </cell>
          <cell r="Q111">
            <v>144990</v>
          </cell>
          <cell r="R111">
            <v>0</v>
          </cell>
          <cell r="S111">
            <v>96000</v>
          </cell>
          <cell r="T111">
            <v>0</v>
          </cell>
          <cell r="U111">
            <v>96660</v>
          </cell>
          <cell r="V111">
            <v>0</v>
          </cell>
          <cell r="W111">
            <v>2604194.0247445158</v>
          </cell>
          <cell r="X111">
            <v>0</v>
          </cell>
          <cell r="Y111">
            <v>48330</v>
          </cell>
          <cell r="Z111">
            <v>144990</v>
          </cell>
          <cell r="AA111">
            <v>96660</v>
          </cell>
          <cell r="AB111">
            <v>96000</v>
          </cell>
          <cell r="AC111">
            <v>98660</v>
          </cell>
          <cell r="AD111">
            <v>147990</v>
          </cell>
          <cell r="AE111">
            <v>98660</v>
          </cell>
          <cell r="AF111">
            <v>98660</v>
          </cell>
          <cell r="AG111">
            <v>49330</v>
          </cell>
          <cell r="AH111">
            <v>78928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1645986.0247445158</v>
          </cell>
          <cell r="AT111">
            <v>1645986.0247445158</v>
          </cell>
          <cell r="AU111">
            <v>96660</v>
          </cell>
        </row>
        <row r="112">
          <cell r="B112">
            <v>98</v>
          </cell>
          <cell r="C112">
            <v>1</v>
          </cell>
          <cell r="D112">
            <v>3479347.0522235041</v>
          </cell>
          <cell r="E112">
            <v>3479347.0522235041</v>
          </cell>
          <cell r="F112">
            <v>1219030</v>
          </cell>
          <cell r="G112">
            <v>1</v>
          </cell>
          <cell r="H112">
            <v>13100</v>
          </cell>
          <cell r="I112">
            <v>192920</v>
          </cell>
          <cell r="J112">
            <v>96660</v>
          </cell>
          <cell r="K112">
            <v>96660</v>
          </cell>
          <cell r="L112">
            <v>96460</v>
          </cell>
          <cell r="M112">
            <v>96460</v>
          </cell>
          <cell r="N112">
            <v>96460</v>
          </cell>
          <cell r="O112">
            <v>96000</v>
          </cell>
          <cell r="P112">
            <v>96660</v>
          </cell>
          <cell r="Q112">
            <v>144990</v>
          </cell>
          <cell r="R112">
            <v>0</v>
          </cell>
          <cell r="S112">
            <v>96000</v>
          </cell>
          <cell r="T112">
            <v>0</v>
          </cell>
          <cell r="U112">
            <v>96660</v>
          </cell>
          <cell r="V112">
            <v>0</v>
          </cell>
          <cell r="W112">
            <v>2260317.0522235041</v>
          </cell>
          <cell r="X112">
            <v>0</v>
          </cell>
          <cell r="Y112">
            <v>48330</v>
          </cell>
          <cell r="Z112">
            <v>144990</v>
          </cell>
          <cell r="AA112">
            <v>96660</v>
          </cell>
          <cell r="AB112">
            <v>96000</v>
          </cell>
          <cell r="AC112">
            <v>98660</v>
          </cell>
          <cell r="AD112">
            <v>147990</v>
          </cell>
          <cell r="AE112">
            <v>98660</v>
          </cell>
          <cell r="AF112">
            <v>98660</v>
          </cell>
          <cell r="AG112">
            <v>49330</v>
          </cell>
          <cell r="AH112">
            <v>78928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1302109.0522235041</v>
          </cell>
          <cell r="AT112">
            <v>1302109.0522235041</v>
          </cell>
          <cell r="AU112">
            <v>96660</v>
          </cell>
        </row>
        <row r="113">
          <cell r="B113">
            <v>99</v>
          </cell>
          <cell r="C113">
            <v>1</v>
          </cell>
          <cell r="D113">
            <v>3996834.7633115719</v>
          </cell>
          <cell r="E113">
            <v>3996834.7633115719</v>
          </cell>
          <cell r="F113">
            <v>1219030</v>
          </cell>
          <cell r="G113">
            <v>1</v>
          </cell>
          <cell r="H113">
            <v>13100</v>
          </cell>
          <cell r="I113">
            <v>192920</v>
          </cell>
          <cell r="J113">
            <v>96660</v>
          </cell>
          <cell r="K113">
            <v>96660</v>
          </cell>
          <cell r="L113">
            <v>96460</v>
          </cell>
          <cell r="M113">
            <v>96460</v>
          </cell>
          <cell r="N113">
            <v>96460</v>
          </cell>
          <cell r="O113">
            <v>96000</v>
          </cell>
          <cell r="P113">
            <v>96660</v>
          </cell>
          <cell r="Q113">
            <v>144990</v>
          </cell>
          <cell r="R113">
            <v>0</v>
          </cell>
          <cell r="S113">
            <v>96000</v>
          </cell>
          <cell r="T113">
            <v>0</v>
          </cell>
          <cell r="U113">
            <v>96660</v>
          </cell>
          <cell r="V113">
            <v>0</v>
          </cell>
          <cell r="W113">
            <v>2777804.7633115719</v>
          </cell>
          <cell r="X113">
            <v>0</v>
          </cell>
          <cell r="Y113">
            <v>48330</v>
          </cell>
          <cell r="Z113">
            <v>144990</v>
          </cell>
          <cell r="AA113">
            <v>96660</v>
          </cell>
          <cell r="AB113">
            <v>96000</v>
          </cell>
          <cell r="AC113">
            <v>98660</v>
          </cell>
          <cell r="AD113">
            <v>147990</v>
          </cell>
          <cell r="AE113">
            <v>98660</v>
          </cell>
          <cell r="AF113">
            <v>98660</v>
          </cell>
          <cell r="AG113">
            <v>49330</v>
          </cell>
          <cell r="AH113">
            <v>78928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1819596.7633115719</v>
          </cell>
          <cell r="AT113">
            <v>1819596.7633115719</v>
          </cell>
          <cell r="AU113">
            <v>96660</v>
          </cell>
        </row>
        <row r="114">
          <cell r="B114">
            <v>100</v>
          </cell>
          <cell r="C114">
            <v>1</v>
          </cell>
          <cell r="D114">
            <v>3632501.4028734197</v>
          </cell>
          <cell r="E114">
            <v>3632501.4028734197</v>
          </cell>
          <cell r="F114">
            <v>1219030</v>
          </cell>
          <cell r="G114">
            <v>1</v>
          </cell>
          <cell r="H114">
            <v>13100</v>
          </cell>
          <cell r="I114">
            <v>192920</v>
          </cell>
          <cell r="J114">
            <v>96660</v>
          </cell>
          <cell r="K114">
            <v>96660</v>
          </cell>
          <cell r="L114">
            <v>96460</v>
          </cell>
          <cell r="M114">
            <v>96460</v>
          </cell>
          <cell r="N114">
            <v>96460</v>
          </cell>
          <cell r="O114">
            <v>96000</v>
          </cell>
          <cell r="P114">
            <v>96660</v>
          </cell>
          <cell r="Q114">
            <v>144990</v>
          </cell>
          <cell r="R114">
            <v>0</v>
          </cell>
          <cell r="S114">
            <v>96000</v>
          </cell>
          <cell r="T114">
            <v>0</v>
          </cell>
          <cell r="U114">
            <v>96660</v>
          </cell>
          <cell r="V114">
            <v>0</v>
          </cell>
          <cell r="W114">
            <v>2413471.4028734197</v>
          </cell>
          <cell r="X114">
            <v>0</v>
          </cell>
          <cell r="Y114">
            <v>48330</v>
          </cell>
          <cell r="Z114">
            <v>144990</v>
          </cell>
          <cell r="AA114">
            <v>96660</v>
          </cell>
          <cell r="AB114">
            <v>96000</v>
          </cell>
          <cell r="AC114">
            <v>98660</v>
          </cell>
          <cell r="AD114">
            <v>147990</v>
          </cell>
          <cell r="AE114">
            <v>98660</v>
          </cell>
          <cell r="AF114">
            <v>98660</v>
          </cell>
          <cell r="AG114">
            <v>49330</v>
          </cell>
          <cell r="AH114">
            <v>78928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1455263.4028734197</v>
          </cell>
          <cell r="AT114">
            <v>1455263.4028734197</v>
          </cell>
          <cell r="AU114">
            <v>96660</v>
          </cell>
        </row>
        <row r="115">
          <cell r="B115">
            <v>101</v>
          </cell>
          <cell r="C115">
            <v>1</v>
          </cell>
          <cell r="D115">
            <v>2954672.1504758219</v>
          </cell>
          <cell r="E115">
            <v>2954672.1504758219</v>
          </cell>
          <cell r="F115">
            <v>1219030</v>
          </cell>
          <cell r="G115">
            <v>1</v>
          </cell>
          <cell r="H115">
            <v>13100</v>
          </cell>
          <cell r="I115">
            <v>192920</v>
          </cell>
          <cell r="J115">
            <v>96660</v>
          </cell>
          <cell r="K115">
            <v>96660</v>
          </cell>
          <cell r="L115">
            <v>96460</v>
          </cell>
          <cell r="M115">
            <v>96460</v>
          </cell>
          <cell r="N115">
            <v>96460</v>
          </cell>
          <cell r="O115">
            <v>96000</v>
          </cell>
          <cell r="P115">
            <v>96660</v>
          </cell>
          <cell r="Q115">
            <v>144990</v>
          </cell>
          <cell r="R115">
            <v>0</v>
          </cell>
          <cell r="S115">
            <v>96000</v>
          </cell>
          <cell r="T115">
            <v>0</v>
          </cell>
          <cell r="U115">
            <v>96660</v>
          </cell>
          <cell r="V115">
            <v>0</v>
          </cell>
          <cell r="W115">
            <v>1735642.1504758219</v>
          </cell>
          <cell r="X115">
            <v>0</v>
          </cell>
          <cell r="Y115">
            <v>48330</v>
          </cell>
          <cell r="Z115">
            <v>144990</v>
          </cell>
          <cell r="AA115">
            <v>96660</v>
          </cell>
          <cell r="AB115">
            <v>96000</v>
          </cell>
          <cell r="AC115">
            <v>98660</v>
          </cell>
          <cell r="AD115">
            <v>147990</v>
          </cell>
          <cell r="AE115">
            <v>98660</v>
          </cell>
          <cell r="AF115">
            <v>98660</v>
          </cell>
          <cell r="AG115">
            <v>49330</v>
          </cell>
          <cell r="AH115">
            <v>78928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777434.15047582192</v>
          </cell>
          <cell r="AT115">
            <v>777434.15047582192</v>
          </cell>
          <cell r="AU115">
            <v>96660</v>
          </cell>
        </row>
        <row r="116">
          <cell r="B116">
            <v>102</v>
          </cell>
          <cell r="C116">
            <v>1</v>
          </cell>
          <cell r="D116">
            <v>2644432.9074859079</v>
          </cell>
          <cell r="E116">
            <v>2644432.9074859079</v>
          </cell>
          <cell r="F116">
            <v>1219030</v>
          </cell>
          <cell r="G116">
            <v>1</v>
          </cell>
          <cell r="H116">
            <v>13100</v>
          </cell>
          <cell r="I116">
            <v>192920</v>
          </cell>
          <cell r="J116">
            <v>96660</v>
          </cell>
          <cell r="K116">
            <v>96660</v>
          </cell>
          <cell r="L116">
            <v>96460</v>
          </cell>
          <cell r="M116">
            <v>96460</v>
          </cell>
          <cell r="N116">
            <v>96460</v>
          </cell>
          <cell r="O116">
            <v>96000</v>
          </cell>
          <cell r="P116">
            <v>96660</v>
          </cell>
          <cell r="Q116">
            <v>144990</v>
          </cell>
          <cell r="R116">
            <v>0</v>
          </cell>
          <cell r="S116">
            <v>96000</v>
          </cell>
          <cell r="T116">
            <v>0</v>
          </cell>
          <cell r="U116">
            <v>96660</v>
          </cell>
          <cell r="V116">
            <v>0</v>
          </cell>
          <cell r="W116">
            <v>1425402.9074859079</v>
          </cell>
          <cell r="X116">
            <v>0</v>
          </cell>
          <cell r="Y116">
            <v>48330</v>
          </cell>
          <cell r="Z116">
            <v>144990</v>
          </cell>
          <cell r="AA116">
            <v>96660</v>
          </cell>
          <cell r="AB116">
            <v>96000</v>
          </cell>
          <cell r="AC116">
            <v>98660</v>
          </cell>
          <cell r="AD116">
            <v>147990</v>
          </cell>
          <cell r="AE116">
            <v>98660</v>
          </cell>
          <cell r="AF116">
            <v>98660</v>
          </cell>
          <cell r="AG116">
            <v>49330</v>
          </cell>
          <cell r="AH116">
            <v>78928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467194.9074859079</v>
          </cell>
          <cell r="AT116">
            <v>467194.9074859079</v>
          </cell>
          <cell r="AU116">
            <v>96660</v>
          </cell>
        </row>
        <row r="117">
          <cell r="B117">
            <v>103</v>
          </cell>
          <cell r="C117">
            <v>1</v>
          </cell>
          <cell r="D117">
            <v>2767993.8832876119</v>
          </cell>
          <cell r="E117">
            <v>2767993.8832876119</v>
          </cell>
          <cell r="F117">
            <v>1219030</v>
          </cell>
          <cell r="G117">
            <v>1</v>
          </cell>
          <cell r="H117">
            <v>13100</v>
          </cell>
          <cell r="I117">
            <v>192920</v>
          </cell>
          <cell r="J117">
            <v>96660</v>
          </cell>
          <cell r="K117">
            <v>96660</v>
          </cell>
          <cell r="L117">
            <v>96460</v>
          </cell>
          <cell r="M117">
            <v>96460</v>
          </cell>
          <cell r="N117">
            <v>96460</v>
          </cell>
          <cell r="O117">
            <v>96000</v>
          </cell>
          <cell r="P117">
            <v>96660</v>
          </cell>
          <cell r="Q117">
            <v>144990</v>
          </cell>
          <cell r="R117">
            <v>0</v>
          </cell>
          <cell r="S117">
            <v>96000</v>
          </cell>
          <cell r="T117">
            <v>0</v>
          </cell>
          <cell r="U117">
            <v>96660</v>
          </cell>
          <cell r="V117">
            <v>0</v>
          </cell>
          <cell r="W117">
            <v>1548963.8832876119</v>
          </cell>
          <cell r="X117">
            <v>0</v>
          </cell>
          <cell r="Y117">
            <v>48330</v>
          </cell>
          <cell r="Z117">
            <v>144990</v>
          </cell>
          <cell r="AA117">
            <v>96660</v>
          </cell>
          <cell r="AB117">
            <v>96000</v>
          </cell>
          <cell r="AC117">
            <v>98660</v>
          </cell>
          <cell r="AD117">
            <v>147990</v>
          </cell>
          <cell r="AE117">
            <v>98660</v>
          </cell>
          <cell r="AF117">
            <v>98660</v>
          </cell>
          <cell r="AG117">
            <v>49330</v>
          </cell>
          <cell r="AH117">
            <v>78928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590755.88328761188</v>
          </cell>
          <cell r="AT117">
            <v>590755.88328761188</v>
          </cell>
          <cell r="AU117">
            <v>96660</v>
          </cell>
        </row>
        <row r="118">
          <cell r="B118">
            <v>104</v>
          </cell>
          <cell r="C118">
            <v>1</v>
          </cell>
          <cell r="D118">
            <v>2906798.8116079499</v>
          </cell>
          <cell r="E118">
            <v>2906798.8116079499</v>
          </cell>
          <cell r="F118">
            <v>1219030</v>
          </cell>
          <cell r="G118">
            <v>1</v>
          </cell>
          <cell r="H118">
            <v>13100</v>
          </cell>
          <cell r="I118">
            <v>192920</v>
          </cell>
          <cell r="J118">
            <v>96660</v>
          </cell>
          <cell r="K118">
            <v>96660</v>
          </cell>
          <cell r="L118">
            <v>96460</v>
          </cell>
          <cell r="M118">
            <v>96460</v>
          </cell>
          <cell r="N118">
            <v>96460</v>
          </cell>
          <cell r="O118">
            <v>96000</v>
          </cell>
          <cell r="P118">
            <v>96660</v>
          </cell>
          <cell r="Q118">
            <v>144990</v>
          </cell>
          <cell r="R118">
            <v>0</v>
          </cell>
          <cell r="S118">
            <v>96000</v>
          </cell>
          <cell r="T118">
            <v>0</v>
          </cell>
          <cell r="U118">
            <v>96660</v>
          </cell>
          <cell r="V118">
            <v>0</v>
          </cell>
          <cell r="W118">
            <v>1687768.8116079499</v>
          </cell>
          <cell r="X118">
            <v>0</v>
          </cell>
          <cell r="Y118">
            <v>48330</v>
          </cell>
          <cell r="Z118">
            <v>144990</v>
          </cell>
          <cell r="AA118">
            <v>96660</v>
          </cell>
          <cell r="AB118">
            <v>96000</v>
          </cell>
          <cell r="AC118">
            <v>98660</v>
          </cell>
          <cell r="AD118">
            <v>147990</v>
          </cell>
          <cell r="AE118">
            <v>98660</v>
          </cell>
          <cell r="AF118">
            <v>98660</v>
          </cell>
          <cell r="AG118">
            <v>49330</v>
          </cell>
          <cell r="AH118">
            <v>78928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729560.8116079499</v>
          </cell>
          <cell r="AT118">
            <v>729560.8116079499</v>
          </cell>
          <cell r="AU118">
            <v>96660</v>
          </cell>
        </row>
        <row r="119">
          <cell r="B119">
            <v>105</v>
          </cell>
          <cell r="C119">
            <v>1</v>
          </cell>
          <cell r="D119">
            <v>2617559.0641499599</v>
          </cell>
          <cell r="E119">
            <v>2617559.0641499599</v>
          </cell>
          <cell r="F119">
            <v>1219030</v>
          </cell>
          <cell r="G119">
            <v>1</v>
          </cell>
          <cell r="H119">
            <v>13100</v>
          </cell>
          <cell r="I119">
            <v>192920</v>
          </cell>
          <cell r="J119">
            <v>96660</v>
          </cell>
          <cell r="K119">
            <v>96660</v>
          </cell>
          <cell r="L119">
            <v>96460</v>
          </cell>
          <cell r="M119">
            <v>96460</v>
          </cell>
          <cell r="N119">
            <v>96460</v>
          </cell>
          <cell r="O119">
            <v>96000</v>
          </cell>
          <cell r="P119">
            <v>96660</v>
          </cell>
          <cell r="Q119">
            <v>144990</v>
          </cell>
          <cell r="R119">
            <v>0</v>
          </cell>
          <cell r="S119">
            <v>96000</v>
          </cell>
          <cell r="T119">
            <v>0</v>
          </cell>
          <cell r="U119">
            <v>96660</v>
          </cell>
          <cell r="V119">
            <v>0</v>
          </cell>
          <cell r="W119">
            <v>1398529.0641499599</v>
          </cell>
          <cell r="X119">
            <v>0</v>
          </cell>
          <cell r="Y119">
            <v>48330</v>
          </cell>
          <cell r="Z119">
            <v>144990</v>
          </cell>
          <cell r="AA119">
            <v>96660</v>
          </cell>
          <cell r="AB119">
            <v>96000</v>
          </cell>
          <cell r="AC119">
            <v>98660</v>
          </cell>
          <cell r="AD119">
            <v>147990</v>
          </cell>
          <cell r="AE119">
            <v>98660</v>
          </cell>
          <cell r="AF119">
            <v>98660</v>
          </cell>
          <cell r="AG119">
            <v>49330</v>
          </cell>
          <cell r="AH119">
            <v>78928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440321.06414995994</v>
          </cell>
          <cell r="AT119">
            <v>440321.06414995994</v>
          </cell>
          <cell r="AU119">
            <v>96660</v>
          </cell>
        </row>
        <row r="120">
          <cell r="B120">
            <v>106</v>
          </cell>
          <cell r="C120">
            <v>1</v>
          </cell>
          <cell r="D120">
            <v>2617559.0641499599</v>
          </cell>
          <cell r="E120">
            <v>2617559.0641499599</v>
          </cell>
          <cell r="F120">
            <v>1219030</v>
          </cell>
          <cell r="G120">
            <v>1</v>
          </cell>
          <cell r="H120">
            <v>13100</v>
          </cell>
          <cell r="I120">
            <v>192920</v>
          </cell>
          <cell r="J120">
            <v>96660</v>
          </cell>
          <cell r="K120">
            <v>96660</v>
          </cell>
          <cell r="L120">
            <v>96460</v>
          </cell>
          <cell r="M120">
            <v>96460</v>
          </cell>
          <cell r="N120">
            <v>96460</v>
          </cell>
          <cell r="O120">
            <v>96000</v>
          </cell>
          <cell r="P120">
            <v>96660</v>
          </cell>
          <cell r="Q120">
            <v>144990</v>
          </cell>
          <cell r="R120">
            <v>0</v>
          </cell>
          <cell r="S120">
            <v>96000</v>
          </cell>
          <cell r="T120">
            <v>0</v>
          </cell>
          <cell r="U120">
            <v>96660</v>
          </cell>
          <cell r="V120">
            <v>0</v>
          </cell>
          <cell r="W120">
            <v>1398529.0641499599</v>
          </cell>
          <cell r="X120">
            <v>0</v>
          </cell>
          <cell r="Y120">
            <v>48330</v>
          </cell>
          <cell r="Z120">
            <v>144990</v>
          </cell>
          <cell r="AA120">
            <v>96660</v>
          </cell>
          <cell r="AB120">
            <v>96000</v>
          </cell>
          <cell r="AC120">
            <v>98660</v>
          </cell>
          <cell r="AD120">
            <v>147990</v>
          </cell>
          <cell r="AE120">
            <v>98660</v>
          </cell>
          <cell r="AF120">
            <v>98660</v>
          </cell>
          <cell r="AG120">
            <v>49330</v>
          </cell>
          <cell r="AH120">
            <v>78928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440321.06414995994</v>
          </cell>
          <cell r="AT120">
            <v>440321.06414995994</v>
          </cell>
          <cell r="AU120">
            <v>96660</v>
          </cell>
        </row>
        <row r="121">
          <cell r="B121">
            <v>107</v>
          </cell>
          <cell r="C121">
            <v>1</v>
          </cell>
          <cell r="D121">
            <v>2617559.0641499599</v>
          </cell>
          <cell r="E121">
            <v>2617559.0641499599</v>
          </cell>
          <cell r="F121">
            <v>1219030</v>
          </cell>
          <cell r="G121">
            <v>1</v>
          </cell>
          <cell r="H121">
            <v>13100</v>
          </cell>
          <cell r="I121">
            <v>192920</v>
          </cell>
          <cell r="J121">
            <v>96660</v>
          </cell>
          <cell r="K121">
            <v>96660</v>
          </cell>
          <cell r="L121">
            <v>96460</v>
          </cell>
          <cell r="M121">
            <v>96460</v>
          </cell>
          <cell r="N121">
            <v>96460</v>
          </cell>
          <cell r="O121">
            <v>96000</v>
          </cell>
          <cell r="P121">
            <v>96660</v>
          </cell>
          <cell r="Q121">
            <v>144990</v>
          </cell>
          <cell r="R121">
            <v>0</v>
          </cell>
          <cell r="S121">
            <v>96000</v>
          </cell>
          <cell r="T121">
            <v>0</v>
          </cell>
          <cell r="U121">
            <v>96660</v>
          </cell>
          <cell r="V121">
            <v>0</v>
          </cell>
          <cell r="W121">
            <v>1398529.0641499599</v>
          </cell>
          <cell r="X121">
            <v>0</v>
          </cell>
          <cell r="Y121">
            <v>48330</v>
          </cell>
          <cell r="Z121">
            <v>144990</v>
          </cell>
          <cell r="AA121">
            <v>96660</v>
          </cell>
          <cell r="AB121">
            <v>96000</v>
          </cell>
          <cell r="AC121">
            <v>98660</v>
          </cell>
          <cell r="AD121">
            <v>147990</v>
          </cell>
          <cell r="AE121">
            <v>98660</v>
          </cell>
          <cell r="AF121">
            <v>98660</v>
          </cell>
          <cell r="AG121">
            <v>49330</v>
          </cell>
          <cell r="AH121">
            <v>78928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440321.06414995994</v>
          </cell>
          <cell r="AT121">
            <v>440321.06414995994</v>
          </cell>
          <cell r="AU121">
            <v>96660</v>
          </cell>
        </row>
        <row r="122">
          <cell r="B122">
            <v>108</v>
          </cell>
          <cell r="C122">
            <v>1</v>
          </cell>
          <cell r="D122">
            <v>2617559.0641499599</v>
          </cell>
          <cell r="E122">
            <v>2617559.0641499599</v>
          </cell>
          <cell r="F122">
            <v>1219030</v>
          </cell>
          <cell r="G122">
            <v>1</v>
          </cell>
          <cell r="H122">
            <v>13100</v>
          </cell>
          <cell r="I122">
            <v>192920</v>
          </cell>
          <cell r="J122">
            <v>96660</v>
          </cell>
          <cell r="K122">
            <v>96660</v>
          </cell>
          <cell r="L122">
            <v>96460</v>
          </cell>
          <cell r="M122">
            <v>96460</v>
          </cell>
          <cell r="N122">
            <v>96460</v>
          </cell>
          <cell r="O122">
            <v>96000</v>
          </cell>
          <cell r="P122">
            <v>96660</v>
          </cell>
          <cell r="Q122">
            <v>144990</v>
          </cell>
          <cell r="R122">
            <v>0</v>
          </cell>
          <cell r="S122">
            <v>96000</v>
          </cell>
          <cell r="T122">
            <v>0</v>
          </cell>
          <cell r="U122">
            <v>96660</v>
          </cell>
          <cell r="V122">
            <v>0</v>
          </cell>
          <cell r="W122">
            <v>1398529.0641499599</v>
          </cell>
          <cell r="X122">
            <v>0</v>
          </cell>
          <cell r="Y122">
            <v>48330</v>
          </cell>
          <cell r="Z122">
            <v>144990</v>
          </cell>
          <cell r="AA122">
            <v>96660</v>
          </cell>
          <cell r="AB122">
            <v>96000</v>
          </cell>
          <cell r="AC122">
            <v>98660</v>
          </cell>
          <cell r="AD122">
            <v>147990</v>
          </cell>
          <cell r="AE122">
            <v>98660</v>
          </cell>
          <cell r="AF122">
            <v>98660</v>
          </cell>
          <cell r="AG122">
            <v>49330</v>
          </cell>
          <cell r="AH122">
            <v>78928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440321.06414995994</v>
          </cell>
          <cell r="AT122">
            <v>440321.06414995994</v>
          </cell>
          <cell r="AU122">
            <v>96660</v>
          </cell>
        </row>
        <row r="123">
          <cell r="B123">
            <v>109</v>
          </cell>
          <cell r="C123">
            <v>1</v>
          </cell>
          <cell r="D123">
            <v>2617559.0641499599</v>
          </cell>
          <cell r="E123">
            <v>2617559.0641499599</v>
          </cell>
          <cell r="F123">
            <v>1219030</v>
          </cell>
          <cell r="G123">
            <v>1</v>
          </cell>
          <cell r="H123">
            <v>13100</v>
          </cell>
          <cell r="I123">
            <v>192920</v>
          </cell>
          <cell r="J123">
            <v>96660</v>
          </cell>
          <cell r="K123">
            <v>96660</v>
          </cell>
          <cell r="L123">
            <v>96460</v>
          </cell>
          <cell r="M123">
            <v>96460</v>
          </cell>
          <cell r="N123">
            <v>96460</v>
          </cell>
          <cell r="O123">
            <v>96000</v>
          </cell>
          <cell r="P123">
            <v>96660</v>
          </cell>
          <cell r="Q123">
            <v>144990</v>
          </cell>
          <cell r="R123">
            <v>0</v>
          </cell>
          <cell r="S123">
            <v>96000</v>
          </cell>
          <cell r="T123">
            <v>0</v>
          </cell>
          <cell r="U123">
            <v>96660</v>
          </cell>
          <cell r="V123">
            <v>0</v>
          </cell>
          <cell r="W123">
            <v>1398529.0641499599</v>
          </cell>
          <cell r="X123">
            <v>0</v>
          </cell>
          <cell r="Y123">
            <v>48330</v>
          </cell>
          <cell r="Z123">
            <v>144990</v>
          </cell>
          <cell r="AA123">
            <v>96660</v>
          </cell>
          <cell r="AB123">
            <v>96000</v>
          </cell>
          <cell r="AC123">
            <v>98660</v>
          </cell>
          <cell r="AD123">
            <v>147990</v>
          </cell>
          <cell r="AE123">
            <v>98660</v>
          </cell>
          <cell r="AF123">
            <v>98660</v>
          </cell>
          <cell r="AG123">
            <v>49330</v>
          </cell>
          <cell r="AH123">
            <v>78928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440321.06414995994</v>
          </cell>
          <cell r="AT123">
            <v>440321.06414995994</v>
          </cell>
          <cell r="AU123">
            <v>96660</v>
          </cell>
        </row>
        <row r="124">
          <cell r="B124">
            <v>110</v>
          </cell>
          <cell r="C124">
            <v>1</v>
          </cell>
          <cell r="D124">
            <v>2617559.0641499599</v>
          </cell>
          <cell r="E124">
            <v>2617559.0641499599</v>
          </cell>
          <cell r="F124">
            <v>1219030</v>
          </cell>
          <cell r="G124">
            <v>1</v>
          </cell>
          <cell r="H124">
            <v>13100</v>
          </cell>
          <cell r="I124">
            <v>192920</v>
          </cell>
          <cell r="J124">
            <v>96660</v>
          </cell>
          <cell r="K124">
            <v>96660</v>
          </cell>
          <cell r="L124">
            <v>96460</v>
          </cell>
          <cell r="M124">
            <v>96460</v>
          </cell>
          <cell r="N124">
            <v>96460</v>
          </cell>
          <cell r="O124">
            <v>96000</v>
          </cell>
          <cell r="P124">
            <v>96660</v>
          </cell>
          <cell r="Q124">
            <v>144990</v>
          </cell>
          <cell r="R124">
            <v>0</v>
          </cell>
          <cell r="S124">
            <v>96000</v>
          </cell>
          <cell r="T124">
            <v>0</v>
          </cell>
          <cell r="U124">
            <v>96660</v>
          </cell>
          <cell r="V124">
            <v>0</v>
          </cell>
          <cell r="W124">
            <v>1398529.0641499599</v>
          </cell>
          <cell r="X124">
            <v>0</v>
          </cell>
          <cell r="Y124">
            <v>48330</v>
          </cell>
          <cell r="Z124">
            <v>144990</v>
          </cell>
          <cell r="AA124">
            <v>96660</v>
          </cell>
          <cell r="AB124">
            <v>96000</v>
          </cell>
          <cell r="AC124">
            <v>98660</v>
          </cell>
          <cell r="AD124">
            <v>147990</v>
          </cell>
          <cell r="AE124">
            <v>98660</v>
          </cell>
          <cell r="AF124">
            <v>98660</v>
          </cell>
          <cell r="AG124">
            <v>49330</v>
          </cell>
          <cell r="AH124">
            <v>78928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440321.06414995994</v>
          </cell>
          <cell r="AT124">
            <v>440321.06414995994</v>
          </cell>
          <cell r="AU124">
            <v>96660</v>
          </cell>
        </row>
        <row r="125">
          <cell r="B125">
            <v>111</v>
          </cell>
          <cell r="C125">
            <v>1</v>
          </cell>
          <cell r="D125">
            <v>2617559.0641499599</v>
          </cell>
          <cell r="E125">
            <v>2617559.0641499599</v>
          </cell>
          <cell r="F125">
            <v>1219030</v>
          </cell>
          <cell r="G125">
            <v>1</v>
          </cell>
          <cell r="H125">
            <v>13100</v>
          </cell>
          <cell r="I125">
            <v>192920</v>
          </cell>
          <cell r="J125">
            <v>96660</v>
          </cell>
          <cell r="K125">
            <v>96660</v>
          </cell>
          <cell r="L125">
            <v>96460</v>
          </cell>
          <cell r="M125">
            <v>96460</v>
          </cell>
          <cell r="N125">
            <v>96460</v>
          </cell>
          <cell r="O125">
            <v>96000</v>
          </cell>
          <cell r="P125">
            <v>96660</v>
          </cell>
          <cell r="Q125">
            <v>144990</v>
          </cell>
          <cell r="R125">
            <v>0</v>
          </cell>
          <cell r="S125">
            <v>96000</v>
          </cell>
          <cell r="T125">
            <v>0</v>
          </cell>
          <cell r="U125">
            <v>96660</v>
          </cell>
          <cell r="V125">
            <v>0</v>
          </cell>
          <cell r="W125">
            <v>1398529.0641499599</v>
          </cell>
          <cell r="X125">
            <v>0</v>
          </cell>
          <cell r="Y125">
            <v>48330</v>
          </cell>
          <cell r="Z125">
            <v>144990</v>
          </cell>
          <cell r="AA125">
            <v>96660</v>
          </cell>
          <cell r="AB125">
            <v>96000</v>
          </cell>
          <cell r="AC125">
            <v>98660</v>
          </cell>
          <cell r="AD125">
            <v>147990</v>
          </cell>
          <cell r="AE125">
            <v>98660</v>
          </cell>
          <cell r="AF125">
            <v>98660</v>
          </cell>
          <cell r="AG125">
            <v>49330</v>
          </cell>
          <cell r="AH125">
            <v>78928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440321.06414995994</v>
          </cell>
          <cell r="AT125">
            <v>440321.06414995994</v>
          </cell>
          <cell r="AU125">
            <v>96660</v>
          </cell>
        </row>
        <row r="126">
          <cell r="B126">
            <v>112</v>
          </cell>
          <cell r="C126">
            <v>1</v>
          </cell>
          <cell r="D126">
            <v>2617559.0641499599</v>
          </cell>
          <cell r="E126">
            <v>2617559.0641499599</v>
          </cell>
          <cell r="F126">
            <v>1219030</v>
          </cell>
          <cell r="G126">
            <v>1</v>
          </cell>
          <cell r="H126">
            <v>13100</v>
          </cell>
          <cell r="I126">
            <v>192920</v>
          </cell>
          <cell r="J126">
            <v>96660</v>
          </cell>
          <cell r="K126">
            <v>96660</v>
          </cell>
          <cell r="L126">
            <v>96460</v>
          </cell>
          <cell r="M126">
            <v>96460</v>
          </cell>
          <cell r="N126">
            <v>96460</v>
          </cell>
          <cell r="O126">
            <v>96000</v>
          </cell>
          <cell r="P126">
            <v>96660</v>
          </cell>
          <cell r="Q126">
            <v>144990</v>
          </cell>
          <cell r="R126">
            <v>0</v>
          </cell>
          <cell r="S126">
            <v>96000</v>
          </cell>
          <cell r="T126">
            <v>0</v>
          </cell>
          <cell r="U126">
            <v>96660</v>
          </cell>
          <cell r="V126">
            <v>0</v>
          </cell>
          <cell r="W126">
            <v>1398529.0641499599</v>
          </cell>
          <cell r="X126">
            <v>0</v>
          </cell>
          <cell r="Y126">
            <v>48330</v>
          </cell>
          <cell r="Z126">
            <v>144990</v>
          </cell>
          <cell r="AA126">
            <v>96660</v>
          </cell>
          <cell r="AB126">
            <v>96000</v>
          </cell>
          <cell r="AC126">
            <v>98660</v>
          </cell>
          <cell r="AD126">
            <v>147990</v>
          </cell>
          <cell r="AE126">
            <v>98660</v>
          </cell>
          <cell r="AF126">
            <v>98660</v>
          </cell>
          <cell r="AG126">
            <v>49330</v>
          </cell>
          <cell r="AH126">
            <v>78928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440321.06414995994</v>
          </cell>
          <cell r="AT126">
            <v>440321.06414995994</v>
          </cell>
          <cell r="AU126">
            <v>96660</v>
          </cell>
        </row>
        <row r="127">
          <cell r="B127">
            <v>113</v>
          </cell>
          <cell r="C127">
            <v>1</v>
          </cell>
          <cell r="D127">
            <v>3026288.4770179461</v>
          </cell>
          <cell r="E127">
            <v>3026288.4770179461</v>
          </cell>
          <cell r="F127">
            <v>1219030</v>
          </cell>
          <cell r="G127">
            <v>1</v>
          </cell>
          <cell r="H127">
            <v>13100</v>
          </cell>
          <cell r="I127">
            <v>192920</v>
          </cell>
          <cell r="J127">
            <v>96660</v>
          </cell>
          <cell r="K127">
            <v>96660</v>
          </cell>
          <cell r="L127">
            <v>96460</v>
          </cell>
          <cell r="M127">
            <v>96460</v>
          </cell>
          <cell r="N127">
            <v>96460</v>
          </cell>
          <cell r="O127">
            <v>96000</v>
          </cell>
          <cell r="P127">
            <v>96660</v>
          </cell>
          <cell r="Q127">
            <v>144990</v>
          </cell>
          <cell r="R127">
            <v>0</v>
          </cell>
          <cell r="S127">
            <v>96000</v>
          </cell>
          <cell r="T127">
            <v>0</v>
          </cell>
          <cell r="U127">
            <v>96660</v>
          </cell>
          <cell r="V127">
            <v>0</v>
          </cell>
          <cell r="W127">
            <v>1807258.4770179461</v>
          </cell>
          <cell r="X127">
            <v>0</v>
          </cell>
          <cell r="Y127">
            <v>48330</v>
          </cell>
          <cell r="Z127">
            <v>144990</v>
          </cell>
          <cell r="AA127">
            <v>96660</v>
          </cell>
          <cell r="AB127">
            <v>96000</v>
          </cell>
          <cell r="AC127">
            <v>98660</v>
          </cell>
          <cell r="AD127">
            <v>147990</v>
          </cell>
          <cell r="AE127">
            <v>98660</v>
          </cell>
          <cell r="AF127">
            <v>98660</v>
          </cell>
          <cell r="AG127">
            <v>49330</v>
          </cell>
          <cell r="AH127">
            <v>78928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849050.47701794608</v>
          </cell>
          <cell r="AT127">
            <v>849050.47701794608</v>
          </cell>
          <cell r="AU127">
            <v>96660</v>
          </cell>
        </row>
        <row r="128">
          <cell r="B128">
            <v>114</v>
          </cell>
          <cell r="C128">
            <v>1</v>
          </cell>
          <cell r="D128">
            <v>2859054.2611266719</v>
          </cell>
          <cell r="E128">
            <v>2859054.2611266719</v>
          </cell>
          <cell r="F128">
            <v>1219030</v>
          </cell>
          <cell r="G128">
            <v>1</v>
          </cell>
          <cell r="H128">
            <v>13100</v>
          </cell>
          <cell r="I128">
            <v>192920</v>
          </cell>
          <cell r="J128">
            <v>96660</v>
          </cell>
          <cell r="K128">
            <v>96660</v>
          </cell>
          <cell r="L128">
            <v>96460</v>
          </cell>
          <cell r="M128">
            <v>96460</v>
          </cell>
          <cell r="N128">
            <v>96460</v>
          </cell>
          <cell r="O128">
            <v>96000</v>
          </cell>
          <cell r="P128">
            <v>96660</v>
          </cell>
          <cell r="Q128">
            <v>144990</v>
          </cell>
          <cell r="R128">
            <v>0</v>
          </cell>
          <cell r="S128">
            <v>96000</v>
          </cell>
          <cell r="T128">
            <v>0</v>
          </cell>
          <cell r="U128">
            <v>96660</v>
          </cell>
          <cell r="V128">
            <v>0</v>
          </cell>
          <cell r="W128">
            <v>1640024.2611266719</v>
          </cell>
          <cell r="X128">
            <v>0</v>
          </cell>
          <cell r="Y128">
            <v>48330</v>
          </cell>
          <cell r="Z128">
            <v>144990</v>
          </cell>
          <cell r="AA128">
            <v>96660</v>
          </cell>
          <cell r="AB128">
            <v>96000</v>
          </cell>
          <cell r="AC128">
            <v>98660</v>
          </cell>
          <cell r="AD128">
            <v>147990</v>
          </cell>
          <cell r="AE128">
            <v>98660</v>
          </cell>
          <cell r="AF128">
            <v>98660</v>
          </cell>
          <cell r="AG128">
            <v>49330</v>
          </cell>
          <cell r="AH128">
            <v>78928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681816.26112667192</v>
          </cell>
          <cell r="AT128">
            <v>681816.26112667192</v>
          </cell>
          <cell r="AU128">
            <v>96660</v>
          </cell>
        </row>
        <row r="129">
          <cell r="B129">
            <v>115</v>
          </cell>
          <cell r="C129">
            <v>1</v>
          </cell>
          <cell r="D129">
            <v>2617559.0641499599</v>
          </cell>
          <cell r="E129">
            <v>2617559.0641499599</v>
          </cell>
          <cell r="F129">
            <v>1219030</v>
          </cell>
          <cell r="G129">
            <v>1</v>
          </cell>
          <cell r="H129">
            <v>13100</v>
          </cell>
          <cell r="I129">
            <v>192920</v>
          </cell>
          <cell r="J129">
            <v>96660</v>
          </cell>
          <cell r="K129">
            <v>96660</v>
          </cell>
          <cell r="L129">
            <v>96460</v>
          </cell>
          <cell r="M129">
            <v>96460</v>
          </cell>
          <cell r="N129">
            <v>96460</v>
          </cell>
          <cell r="O129">
            <v>96000</v>
          </cell>
          <cell r="P129">
            <v>96660</v>
          </cell>
          <cell r="Q129">
            <v>144990</v>
          </cell>
          <cell r="R129">
            <v>0</v>
          </cell>
          <cell r="S129">
            <v>96000</v>
          </cell>
          <cell r="T129">
            <v>0</v>
          </cell>
          <cell r="U129">
            <v>96660</v>
          </cell>
          <cell r="V129">
            <v>0</v>
          </cell>
          <cell r="W129">
            <v>1398529.0641499599</v>
          </cell>
          <cell r="X129">
            <v>0</v>
          </cell>
          <cell r="Y129">
            <v>48330</v>
          </cell>
          <cell r="Z129">
            <v>144990</v>
          </cell>
          <cell r="AA129">
            <v>96660</v>
          </cell>
          <cell r="AB129">
            <v>96000</v>
          </cell>
          <cell r="AC129">
            <v>98660</v>
          </cell>
          <cell r="AD129">
            <v>147990</v>
          </cell>
          <cell r="AE129">
            <v>98660</v>
          </cell>
          <cell r="AF129">
            <v>98660</v>
          </cell>
          <cell r="AG129">
            <v>49330</v>
          </cell>
          <cell r="AH129">
            <v>78928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440321.06414995994</v>
          </cell>
          <cell r="AT129">
            <v>440321.06414995994</v>
          </cell>
          <cell r="AU129">
            <v>96660</v>
          </cell>
        </row>
        <row r="130">
          <cell r="B130">
            <v>116</v>
          </cell>
          <cell r="C130">
            <v>1</v>
          </cell>
          <cell r="D130">
            <v>2617559.0641499599</v>
          </cell>
          <cell r="E130">
            <v>2617559.0641499599</v>
          </cell>
          <cell r="F130">
            <v>1219030</v>
          </cell>
          <cell r="G130">
            <v>1</v>
          </cell>
          <cell r="H130">
            <v>13100</v>
          </cell>
          <cell r="I130">
            <v>192920</v>
          </cell>
          <cell r="J130">
            <v>96660</v>
          </cell>
          <cell r="K130">
            <v>96660</v>
          </cell>
          <cell r="L130">
            <v>96460</v>
          </cell>
          <cell r="M130">
            <v>96460</v>
          </cell>
          <cell r="N130">
            <v>96460</v>
          </cell>
          <cell r="O130">
            <v>96000</v>
          </cell>
          <cell r="P130">
            <v>96660</v>
          </cell>
          <cell r="Q130">
            <v>144990</v>
          </cell>
          <cell r="R130">
            <v>0</v>
          </cell>
          <cell r="S130">
            <v>96000</v>
          </cell>
          <cell r="T130">
            <v>0</v>
          </cell>
          <cell r="U130">
            <v>96660</v>
          </cell>
          <cell r="V130">
            <v>0</v>
          </cell>
          <cell r="W130">
            <v>1398529.0641499599</v>
          </cell>
          <cell r="X130">
            <v>0</v>
          </cell>
          <cell r="Y130">
            <v>48330</v>
          </cell>
          <cell r="Z130">
            <v>144990</v>
          </cell>
          <cell r="AA130">
            <v>96660</v>
          </cell>
          <cell r="AB130">
            <v>96000</v>
          </cell>
          <cell r="AC130">
            <v>98660</v>
          </cell>
          <cell r="AD130">
            <v>147990</v>
          </cell>
          <cell r="AE130">
            <v>98660</v>
          </cell>
          <cell r="AF130">
            <v>98660</v>
          </cell>
          <cell r="AG130">
            <v>49330</v>
          </cell>
          <cell r="AH130">
            <v>78928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440321.06414995994</v>
          </cell>
          <cell r="AT130">
            <v>440321.06414995994</v>
          </cell>
          <cell r="AU130">
            <v>96660</v>
          </cell>
        </row>
        <row r="131">
          <cell r="B131">
            <v>117</v>
          </cell>
          <cell r="C131">
            <v>1</v>
          </cell>
          <cell r="D131">
            <v>2891482.9771991237</v>
          </cell>
          <cell r="E131">
            <v>2891482.9771991237</v>
          </cell>
          <cell r="F131">
            <v>1219030</v>
          </cell>
          <cell r="G131">
            <v>1</v>
          </cell>
          <cell r="H131">
            <v>13100</v>
          </cell>
          <cell r="I131">
            <v>192920</v>
          </cell>
          <cell r="J131">
            <v>96660</v>
          </cell>
          <cell r="K131">
            <v>96660</v>
          </cell>
          <cell r="L131">
            <v>96460</v>
          </cell>
          <cell r="M131">
            <v>96460</v>
          </cell>
          <cell r="N131">
            <v>96460</v>
          </cell>
          <cell r="O131">
            <v>96000</v>
          </cell>
          <cell r="P131">
            <v>96660</v>
          </cell>
          <cell r="Q131">
            <v>144990</v>
          </cell>
          <cell r="R131">
            <v>0</v>
          </cell>
          <cell r="S131">
            <v>96000</v>
          </cell>
          <cell r="T131">
            <v>0</v>
          </cell>
          <cell r="U131">
            <v>96660</v>
          </cell>
          <cell r="V131">
            <v>0</v>
          </cell>
          <cell r="W131">
            <v>1672452.9771991237</v>
          </cell>
          <cell r="X131">
            <v>0</v>
          </cell>
          <cell r="Y131">
            <v>48330</v>
          </cell>
          <cell r="Z131">
            <v>144990</v>
          </cell>
          <cell r="AA131">
            <v>96660</v>
          </cell>
          <cell r="AB131">
            <v>96000</v>
          </cell>
          <cell r="AC131">
            <v>98660</v>
          </cell>
          <cell r="AD131">
            <v>147990</v>
          </cell>
          <cell r="AE131">
            <v>98660</v>
          </cell>
          <cell r="AF131">
            <v>98660</v>
          </cell>
          <cell r="AG131">
            <v>49330</v>
          </cell>
          <cell r="AH131">
            <v>78928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714244.97719912371</v>
          </cell>
          <cell r="AT131">
            <v>714244.97719912371</v>
          </cell>
          <cell r="AU131">
            <v>96660</v>
          </cell>
        </row>
        <row r="132">
          <cell r="B132">
            <v>118</v>
          </cell>
          <cell r="C132">
            <v>1</v>
          </cell>
          <cell r="D132">
            <v>2890960.8351356457</v>
          </cell>
          <cell r="E132">
            <v>2890960.8351356457</v>
          </cell>
          <cell r="F132">
            <v>1219030</v>
          </cell>
          <cell r="G132">
            <v>1</v>
          </cell>
          <cell r="H132">
            <v>13100</v>
          </cell>
          <cell r="I132">
            <v>192920</v>
          </cell>
          <cell r="J132">
            <v>96660</v>
          </cell>
          <cell r="K132">
            <v>96660</v>
          </cell>
          <cell r="L132">
            <v>96460</v>
          </cell>
          <cell r="M132">
            <v>96460</v>
          </cell>
          <cell r="N132">
            <v>96460</v>
          </cell>
          <cell r="O132">
            <v>96000</v>
          </cell>
          <cell r="P132">
            <v>96660</v>
          </cell>
          <cell r="Q132">
            <v>144990</v>
          </cell>
          <cell r="R132">
            <v>0</v>
          </cell>
          <cell r="S132">
            <v>96000</v>
          </cell>
          <cell r="T132">
            <v>0</v>
          </cell>
          <cell r="U132">
            <v>96660</v>
          </cell>
          <cell r="V132">
            <v>0</v>
          </cell>
          <cell r="W132">
            <v>1671930.8351356457</v>
          </cell>
          <cell r="X132">
            <v>0</v>
          </cell>
          <cell r="Y132">
            <v>48330</v>
          </cell>
          <cell r="Z132">
            <v>144990</v>
          </cell>
          <cell r="AA132">
            <v>96660</v>
          </cell>
          <cell r="AB132">
            <v>96000</v>
          </cell>
          <cell r="AC132">
            <v>98660</v>
          </cell>
          <cell r="AD132">
            <v>147990</v>
          </cell>
          <cell r="AE132">
            <v>98660</v>
          </cell>
          <cell r="AF132">
            <v>98660</v>
          </cell>
          <cell r="AG132">
            <v>49330</v>
          </cell>
          <cell r="AH132">
            <v>78928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713722.8351356457</v>
          </cell>
          <cell r="AT132">
            <v>713722.8351356457</v>
          </cell>
          <cell r="AU132">
            <v>96660</v>
          </cell>
        </row>
        <row r="133">
          <cell r="B133">
            <v>119</v>
          </cell>
          <cell r="C133">
            <v>1</v>
          </cell>
          <cell r="D133">
            <v>2703746.4488497539</v>
          </cell>
          <cell r="E133">
            <v>2703746.4488497539</v>
          </cell>
          <cell r="F133">
            <v>1219030</v>
          </cell>
          <cell r="G133">
            <v>1</v>
          </cell>
          <cell r="H133">
            <v>13100</v>
          </cell>
          <cell r="I133">
            <v>192920</v>
          </cell>
          <cell r="J133">
            <v>96660</v>
          </cell>
          <cell r="K133">
            <v>96660</v>
          </cell>
          <cell r="L133">
            <v>96460</v>
          </cell>
          <cell r="M133">
            <v>96460</v>
          </cell>
          <cell r="N133">
            <v>96460</v>
          </cell>
          <cell r="O133">
            <v>96000</v>
          </cell>
          <cell r="P133">
            <v>96660</v>
          </cell>
          <cell r="Q133">
            <v>144990</v>
          </cell>
          <cell r="R133">
            <v>0</v>
          </cell>
          <cell r="S133">
            <v>96000</v>
          </cell>
          <cell r="T133">
            <v>0</v>
          </cell>
          <cell r="U133">
            <v>96660</v>
          </cell>
          <cell r="V133">
            <v>0</v>
          </cell>
          <cell r="W133">
            <v>1484716.4488497539</v>
          </cell>
          <cell r="X133">
            <v>0</v>
          </cell>
          <cell r="Y133">
            <v>48330</v>
          </cell>
          <cell r="Z133">
            <v>144990</v>
          </cell>
          <cell r="AA133">
            <v>96660</v>
          </cell>
          <cell r="AB133">
            <v>96000</v>
          </cell>
          <cell r="AC133">
            <v>98660</v>
          </cell>
          <cell r="AD133">
            <v>147990</v>
          </cell>
          <cell r="AE133">
            <v>98660</v>
          </cell>
          <cell r="AF133">
            <v>98660</v>
          </cell>
          <cell r="AG133">
            <v>49330</v>
          </cell>
          <cell r="AH133">
            <v>78928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526508.44884975394</v>
          </cell>
          <cell r="AT133">
            <v>526508.44884975394</v>
          </cell>
          <cell r="AU133">
            <v>96660</v>
          </cell>
        </row>
        <row r="134">
          <cell r="B134">
            <v>120</v>
          </cell>
          <cell r="C134">
            <v>1</v>
          </cell>
          <cell r="D134">
            <v>2617559.0641499599</v>
          </cell>
          <cell r="E134">
            <v>2617559.0641499599</v>
          </cell>
          <cell r="F134">
            <v>1219030</v>
          </cell>
          <cell r="G134">
            <v>1</v>
          </cell>
          <cell r="H134">
            <v>13100</v>
          </cell>
          <cell r="I134">
            <v>192920</v>
          </cell>
          <cell r="J134">
            <v>96660</v>
          </cell>
          <cell r="K134">
            <v>96660</v>
          </cell>
          <cell r="L134">
            <v>96460</v>
          </cell>
          <cell r="M134">
            <v>96460</v>
          </cell>
          <cell r="N134">
            <v>96460</v>
          </cell>
          <cell r="O134">
            <v>96000</v>
          </cell>
          <cell r="P134">
            <v>96660</v>
          </cell>
          <cell r="Q134">
            <v>144990</v>
          </cell>
          <cell r="R134">
            <v>0</v>
          </cell>
          <cell r="S134">
            <v>96000</v>
          </cell>
          <cell r="T134">
            <v>0</v>
          </cell>
          <cell r="U134">
            <v>96660</v>
          </cell>
          <cell r="V134">
            <v>0</v>
          </cell>
          <cell r="W134">
            <v>1398529.0641499599</v>
          </cell>
          <cell r="X134">
            <v>0</v>
          </cell>
          <cell r="Y134">
            <v>48330</v>
          </cell>
          <cell r="Z134">
            <v>144990</v>
          </cell>
          <cell r="AA134">
            <v>96660</v>
          </cell>
          <cell r="AB134">
            <v>96000</v>
          </cell>
          <cell r="AC134">
            <v>98660</v>
          </cell>
          <cell r="AD134">
            <v>147990</v>
          </cell>
          <cell r="AE134">
            <v>98660</v>
          </cell>
          <cell r="AF134">
            <v>98660</v>
          </cell>
          <cell r="AG134">
            <v>49330</v>
          </cell>
          <cell r="AH134">
            <v>78928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440321.06414995994</v>
          </cell>
          <cell r="AT134">
            <v>440321.06414995994</v>
          </cell>
          <cell r="AU134">
            <v>96660</v>
          </cell>
        </row>
        <row r="135">
          <cell r="B135">
            <v>121</v>
          </cell>
          <cell r="C135">
            <v>1</v>
          </cell>
          <cell r="D135">
            <v>2617559.0641499599</v>
          </cell>
          <cell r="E135">
            <v>2617559.0641499599</v>
          </cell>
          <cell r="F135">
            <v>1219030</v>
          </cell>
          <cell r="G135">
            <v>1</v>
          </cell>
          <cell r="H135">
            <v>13100</v>
          </cell>
          <cell r="I135">
            <v>192920</v>
          </cell>
          <cell r="J135">
            <v>96660</v>
          </cell>
          <cell r="K135">
            <v>96660</v>
          </cell>
          <cell r="L135">
            <v>96460</v>
          </cell>
          <cell r="M135">
            <v>96460</v>
          </cell>
          <cell r="N135">
            <v>96460</v>
          </cell>
          <cell r="O135">
            <v>96000</v>
          </cell>
          <cell r="P135">
            <v>96660</v>
          </cell>
          <cell r="Q135">
            <v>144990</v>
          </cell>
          <cell r="R135">
            <v>0</v>
          </cell>
          <cell r="S135">
            <v>96000</v>
          </cell>
          <cell r="T135">
            <v>0</v>
          </cell>
          <cell r="U135">
            <v>96660</v>
          </cell>
          <cell r="V135">
            <v>0</v>
          </cell>
          <cell r="W135">
            <v>1398529.0641499599</v>
          </cell>
          <cell r="Y135">
            <v>48330</v>
          </cell>
          <cell r="Z135">
            <v>144990</v>
          </cell>
          <cell r="AA135">
            <v>96660</v>
          </cell>
          <cell r="AB135">
            <v>96000</v>
          </cell>
          <cell r="AC135">
            <v>98660</v>
          </cell>
          <cell r="AD135">
            <v>147990</v>
          </cell>
          <cell r="AE135">
            <v>98660</v>
          </cell>
          <cell r="AF135">
            <v>98660</v>
          </cell>
          <cell r="AG135">
            <v>49330</v>
          </cell>
          <cell r="AH135">
            <v>78928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440321.06414995994</v>
          </cell>
          <cell r="AT135">
            <v>440321.06414995994</v>
          </cell>
          <cell r="AU135">
            <v>96660</v>
          </cell>
        </row>
        <row r="136">
          <cell r="B136">
            <v>122</v>
          </cell>
          <cell r="C136">
            <v>1</v>
          </cell>
          <cell r="D136">
            <v>2891482.9771991237</v>
          </cell>
          <cell r="E136">
            <v>2891482.9771991237</v>
          </cell>
          <cell r="F136">
            <v>1219030</v>
          </cell>
          <cell r="G136">
            <v>1</v>
          </cell>
          <cell r="H136">
            <v>13100</v>
          </cell>
          <cell r="I136">
            <v>192920</v>
          </cell>
          <cell r="J136">
            <v>96660</v>
          </cell>
          <cell r="K136">
            <v>96660</v>
          </cell>
          <cell r="L136">
            <v>96460</v>
          </cell>
          <cell r="M136">
            <v>96460</v>
          </cell>
          <cell r="N136">
            <v>96460</v>
          </cell>
          <cell r="O136">
            <v>96000</v>
          </cell>
          <cell r="P136">
            <v>96660</v>
          </cell>
          <cell r="Q136">
            <v>144990</v>
          </cell>
          <cell r="R136">
            <v>0</v>
          </cell>
          <cell r="S136">
            <v>96000</v>
          </cell>
          <cell r="T136">
            <v>0</v>
          </cell>
          <cell r="U136">
            <v>96660</v>
          </cell>
          <cell r="V136">
            <v>0</v>
          </cell>
          <cell r="W136">
            <v>1672452.9771991237</v>
          </cell>
          <cell r="Y136">
            <v>48330</v>
          </cell>
          <cell r="Z136">
            <v>144990</v>
          </cell>
          <cell r="AA136">
            <v>96660</v>
          </cell>
          <cell r="AB136">
            <v>96000</v>
          </cell>
          <cell r="AC136">
            <v>98660</v>
          </cell>
          <cell r="AD136">
            <v>147990</v>
          </cell>
          <cell r="AE136">
            <v>98660</v>
          </cell>
          <cell r="AF136">
            <v>98660</v>
          </cell>
          <cell r="AG136">
            <v>49330</v>
          </cell>
          <cell r="AH136">
            <v>78928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714244.97719912371</v>
          </cell>
          <cell r="AT136">
            <v>714244.97719912371</v>
          </cell>
          <cell r="AU136">
            <v>96660</v>
          </cell>
        </row>
        <row r="137">
          <cell r="B137">
            <v>123</v>
          </cell>
          <cell r="C137">
            <v>1</v>
          </cell>
          <cell r="D137">
            <v>2891482.9771991237</v>
          </cell>
          <cell r="E137">
            <v>2891482.9771991237</v>
          </cell>
          <cell r="F137">
            <v>1219030</v>
          </cell>
          <cell r="G137">
            <v>1</v>
          </cell>
          <cell r="H137">
            <v>13100</v>
          </cell>
          <cell r="I137">
            <v>192920</v>
          </cell>
          <cell r="J137">
            <v>96660</v>
          </cell>
          <cell r="K137">
            <v>96660</v>
          </cell>
          <cell r="L137">
            <v>96460</v>
          </cell>
          <cell r="M137">
            <v>96460</v>
          </cell>
          <cell r="N137">
            <v>96460</v>
          </cell>
          <cell r="O137">
            <v>96000</v>
          </cell>
          <cell r="P137">
            <v>96660</v>
          </cell>
          <cell r="Q137">
            <v>144990</v>
          </cell>
          <cell r="R137">
            <v>0</v>
          </cell>
          <cell r="S137">
            <v>96000</v>
          </cell>
          <cell r="T137">
            <v>0</v>
          </cell>
          <cell r="U137">
            <v>96660</v>
          </cell>
          <cell r="V137">
            <v>0</v>
          </cell>
          <cell r="W137">
            <v>1672452.9771991237</v>
          </cell>
          <cell r="Y137">
            <v>48330</v>
          </cell>
          <cell r="Z137">
            <v>144990</v>
          </cell>
          <cell r="AA137">
            <v>96660</v>
          </cell>
          <cell r="AB137">
            <v>96000</v>
          </cell>
          <cell r="AC137">
            <v>98660</v>
          </cell>
          <cell r="AD137">
            <v>147990</v>
          </cell>
          <cell r="AE137">
            <v>98660</v>
          </cell>
          <cell r="AF137">
            <v>98660</v>
          </cell>
          <cell r="AG137">
            <v>49330</v>
          </cell>
          <cell r="AH137">
            <v>78928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714244.97719912371</v>
          </cell>
          <cell r="AT137">
            <v>714244.97719912371</v>
          </cell>
          <cell r="AU137">
            <v>96660</v>
          </cell>
        </row>
        <row r="138">
          <cell r="B138">
            <v>124</v>
          </cell>
          <cell r="C138">
            <v>2</v>
          </cell>
          <cell r="D138">
            <v>2597326.3087800839</v>
          </cell>
          <cell r="E138">
            <v>2597326.3087800839</v>
          </cell>
          <cell r="F138">
            <v>1219030</v>
          </cell>
          <cell r="G138">
            <v>1</v>
          </cell>
          <cell r="H138">
            <v>13100</v>
          </cell>
          <cell r="I138">
            <v>192920</v>
          </cell>
          <cell r="J138">
            <v>96660</v>
          </cell>
          <cell r="K138">
            <v>96660</v>
          </cell>
          <cell r="L138">
            <v>96460</v>
          </cell>
          <cell r="M138">
            <v>96460</v>
          </cell>
          <cell r="N138">
            <v>96460</v>
          </cell>
          <cell r="O138">
            <v>96000</v>
          </cell>
          <cell r="P138">
            <v>96660</v>
          </cell>
          <cell r="Q138">
            <v>144990</v>
          </cell>
          <cell r="R138">
            <v>0</v>
          </cell>
          <cell r="S138">
            <v>96000</v>
          </cell>
          <cell r="T138">
            <v>0</v>
          </cell>
          <cell r="U138">
            <v>96660</v>
          </cell>
          <cell r="V138">
            <v>0</v>
          </cell>
          <cell r="W138">
            <v>1378296.3087800839</v>
          </cell>
          <cell r="Y138">
            <v>48330</v>
          </cell>
          <cell r="Z138">
            <v>144990</v>
          </cell>
          <cell r="AA138">
            <v>96660</v>
          </cell>
          <cell r="AB138">
            <v>96000</v>
          </cell>
          <cell r="AC138">
            <v>98660</v>
          </cell>
          <cell r="AD138">
            <v>147990</v>
          </cell>
          <cell r="AE138">
            <v>98660</v>
          </cell>
          <cell r="AF138">
            <v>98660</v>
          </cell>
          <cell r="AG138">
            <v>49330</v>
          </cell>
          <cell r="AH138">
            <v>78928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420088.3087800839</v>
          </cell>
          <cell r="AT138">
            <v>420088.3087800839</v>
          </cell>
          <cell r="AU138">
            <v>96660</v>
          </cell>
        </row>
        <row r="139">
          <cell r="B139">
            <v>125</v>
          </cell>
          <cell r="C139">
            <v>2</v>
          </cell>
          <cell r="D139">
            <v>2588627.6017072657</v>
          </cell>
          <cell r="E139">
            <v>2588627.6017072657</v>
          </cell>
          <cell r="F139">
            <v>1219030</v>
          </cell>
          <cell r="G139">
            <v>1</v>
          </cell>
          <cell r="H139">
            <v>13100</v>
          </cell>
          <cell r="I139">
            <v>192920</v>
          </cell>
          <cell r="J139">
            <v>96660</v>
          </cell>
          <cell r="K139">
            <v>96660</v>
          </cell>
          <cell r="L139">
            <v>96460</v>
          </cell>
          <cell r="M139">
            <v>96460</v>
          </cell>
          <cell r="N139">
            <v>96460</v>
          </cell>
          <cell r="O139">
            <v>96000</v>
          </cell>
          <cell r="P139">
            <v>96660</v>
          </cell>
          <cell r="Q139">
            <v>144990</v>
          </cell>
          <cell r="R139">
            <v>0</v>
          </cell>
          <cell r="S139">
            <v>96000</v>
          </cell>
          <cell r="T139">
            <v>0</v>
          </cell>
          <cell r="U139">
            <v>96660</v>
          </cell>
          <cell r="V139">
            <v>0</v>
          </cell>
          <cell r="W139">
            <v>1369597.6017072657</v>
          </cell>
          <cell r="Y139">
            <v>48330</v>
          </cell>
          <cell r="Z139">
            <v>144990</v>
          </cell>
          <cell r="AA139">
            <v>96660</v>
          </cell>
          <cell r="AB139">
            <v>96000</v>
          </cell>
          <cell r="AC139">
            <v>98660</v>
          </cell>
          <cell r="AD139">
            <v>147990</v>
          </cell>
          <cell r="AE139">
            <v>98660</v>
          </cell>
          <cell r="AF139">
            <v>98660</v>
          </cell>
          <cell r="AG139">
            <v>49330</v>
          </cell>
          <cell r="AH139">
            <v>78928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411389.60170726571</v>
          </cell>
          <cell r="AT139">
            <v>411389.60170726571</v>
          </cell>
          <cell r="AU139">
            <v>96660</v>
          </cell>
        </row>
        <row r="140">
          <cell r="B140">
            <v>126</v>
          </cell>
          <cell r="C140">
            <v>2</v>
          </cell>
          <cell r="D140">
            <v>2581679.0189887057</v>
          </cell>
          <cell r="E140">
            <v>2581679.0189887057</v>
          </cell>
          <cell r="F140">
            <v>1219030</v>
          </cell>
          <cell r="G140">
            <v>1</v>
          </cell>
          <cell r="H140">
            <v>13100</v>
          </cell>
          <cell r="I140">
            <v>192920</v>
          </cell>
          <cell r="J140">
            <v>96660</v>
          </cell>
          <cell r="K140">
            <v>96660</v>
          </cell>
          <cell r="L140">
            <v>96460</v>
          </cell>
          <cell r="M140">
            <v>96460</v>
          </cell>
          <cell r="N140">
            <v>96460</v>
          </cell>
          <cell r="O140">
            <v>96000</v>
          </cell>
          <cell r="P140">
            <v>96660</v>
          </cell>
          <cell r="Q140">
            <v>144990</v>
          </cell>
          <cell r="R140">
            <v>0</v>
          </cell>
          <cell r="S140">
            <v>96000</v>
          </cell>
          <cell r="T140">
            <v>0</v>
          </cell>
          <cell r="U140">
            <v>96660</v>
          </cell>
          <cell r="V140">
            <v>0</v>
          </cell>
          <cell r="W140">
            <v>1362649.0189887057</v>
          </cell>
          <cell r="Y140">
            <v>48330</v>
          </cell>
          <cell r="Z140">
            <v>144990</v>
          </cell>
          <cell r="AA140">
            <v>96660</v>
          </cell>
          <cell r="AB140">
            <v>96000</v>
          </cell>
          <cell r="AC140">
            <v>98660</v>
          </cell>
          <cell r="AD140">
            <v>147990</v>
          </cell>
          <cell r="AE140">
            <v>98660</v>
          </cell>
          <cell r="AF140">
            <v>98660</v>
          </cell>
          <cell r="AG140">
            <v>49330</v>
          </cell>
          <cell r="AH140">
            <v>78928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404441.01898870571</v>
          </cell>
          <cell r="AT140">
            <v>404441.01898870571</v>
          </cell>
          <cell r="AU140">
            <v>96660</v>
          </cell>
        </row>
        <row r="141">
          <cell r="B141">
            <v>127</v>
          </cell>
          <cell r="C141">
            <v>2</v>
          </cell>
          <cell r="D141">
            <v>3049593.1848339438</v>
          </cell>
          <cell r="E141">
            <v>3049593.1848339438</v>
          </cell>
          <cell r="F141">
            <v>1219030</v>
          </cell>
          <cell r="G141">
            <v>1</v>
          </cell>
          <cell r="H141">
            <v>13100</v>
          </cell>
          <cell r="I141">
            <v>192920</v>
          </cell>
          <cell r="J141">
            <v>96660</v>
          </cell>
          <cell r="K141">
            <v>96660</v>
          </cell>
          <cell r="L141">
            <v>96460</v>
          </cell>
          <cell r="M141">
            <v>96460</v>
          </cell>
          <cell r="N141">
            <v>96460</v>
          </cell>
          <cell r="O141">
            <v>96000</v>
          </cell>
          <cell r="P141">
            <v>96660</v>
          </cell>
          <cell r="Q141">
            <v>144990</v>
          </cell>
          <cell r="R141">
            <v>0</v>
          </cell>
          <cell r="S141">
            <v>96000</v>
          </cell>
          <cell r="T141">
            <v>0</v>
          </cell>
          <cell r="U141">
            <v>96660</v>
          </cell>
          <cell r="V141">
            <v>0</v>
          </cell>
          <cell r="W141">
            <v>1830563.1848339438</v>
          </cell>
          <cell r="Y141">
            <v>48330</v>
          </cell>
          <cell r="Z141">
            <v>144990</v>
          </cell>
          <cell r="AA141">
            <v>96660</v>
          </cell>
          <cell r="AB141">
            <v>96000</v>
          </cell>
          <cell r="AC141">
            <v>98660</v>
          </cell>
          <cell r="AD141">
            <v>147990</v>
          </cell>
          <cell r="AE141">
            <v>98660</v>
          </cell>
          <cell r="AF141">
            <v>98660</v>
          </cell>
          <cell r="AG141">
            <v>49330</v>
          </cell>
          <cell r="AH141">
            <v>78928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872355.18483394384</v>
          </cell>
          <cell r="AT141">
            <v>872355.18483394384</v>
          </cell>
          <cell r="AU141">
            <v>96660</v>
          </cell>
        </row>
        <row r="142">
          <cell r="B142">
            <v>128</v>
          </cell>
          <cell r="C142">
            <v>2</v>
          </cell>
          <cell r="D142">
            <v>3222537.019197552</v>
          </cell>
          <cell r="E142">
            <v>3222537.019197552</v>
          </cell>
          <cell r="F142">
            <v>1219030</v>
          </cell>
          <cell r="G142">
            <v>1</v>
          </cell>
          <cell r="H142">
            <v>13100</v>
          </cell>
          <cell r="I142">
            <v>192920</v>
          </cell>
          <cell r="J142">
            <v>96660</v>
          </cell>
          <cell r="K142">
            <v>96660</v>
          </cell>
          <cell r="L142">
            <v>96460</v>
          </cell>
          <cell r="M142">
            <v>96460</v>
          </cell>
          <cell r="N142">
            <v>96460</v>
          </cell>
          <cell r="O142">
            <v>96000</v>
          </cell>
          <cell r="P142">
            <v>96660</v>
          </cell>
          <cell r="Q142">
            <v>144990</v>
          </cell>
          <cell r="R142">
            <v>0</v>
          </cell>
          <cell r="S142">
            <v>96000</v>
          </cell>
          <cell r="T142">
            <v>0</v>
          </cell>
          <cell r="U142">
            <v>96660</v>
          </cell>
          <cell r="V142">
            <v>0</v>
          </cell>
          <cell r="W142">
            <v>2003507.019197552</v>
          </cell>
          <cell r="Y142">
            <v>48330</v>
          </cell>
          <cell r="Z142">
            <v>144990</v>
          </cell>
          <cell r="AA142">
            <v>96660</v>
          </cell>
          <cell r="AB142">
            <v>96000</v>
          </cell>
          <cell r="AC142">
            <v>98660</v>
          </cell>
          <cell r="AD142">
            <v>147990</v>
          </cell>
          <cell r="AE142">
            <v>98660</v>
          </cell>
          <cell r="AF142">
            <v>98660</v>
          </cell>
          <cell r="AG142">
            <v>49330</v>
          </cell>
          <cell r="AH142">
            <v>78928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1045299.019197552</v>
          </cell>
          <cell r="AT142">
            <v>1045299.019197552</v>
          </cell>
          <cell r="AU142">
            <v>96660</v>
          </cell>
        </row>
        <row r="143">
          <cell r="B143">
            <v>129</v>
          </cell>
          <cell r="C143">
            <v>2</v>
          </cell>
          <cell r="D143">
            <v>2884008.2589787417</v>
          </cell>
          <cell r="E143">
            <v>2884008.2589787417</v>
          </cell>
          <cell r="F143">
            <v>1219030</v>
          </cell>
          <cell r="G143">
            <v>1</v>
          </cell>
          <cell r="H143">
            <v>13100</v>
          </cell>
          <cell r="I143">
            <v>192920</v>
          </cell>
          <cell r="J143">
            <v>96660</v>
          </cell>
          <cell r="K143">
            <v>96660</v>
          </cell>
          <cell r="L143">
            <v>96460</v>
          </cell>
          <cell r="M143">
            <v>96460</v>
          </cell>
          <cell r="N143">
            <v>96460</v>
          </cell>
          <cell r="O143">
            <v>96000</v>
          </cell>
          <cell r="P143">
            <v>96660</v>
          </cell>
          <cell r="Q143">
            <v>144990</v>
          </cell>
          <cell r="R143">
            <v>0</v>
          </cell>
          <cell r="S143">
            <v>96000</v>
          </cell>
          <cell r="T143">
            <v>0</v>
          </cell>
          <cell r="U143">
            <v>96660</v>
          </cell>
          <cell r="V143">
            <v>0</v>
          </cell>
          <cell r="W143">
            <v>1664978.2589787417</v>
          </cell>
          <cell r="Y143">
            <v>48330</v>
          </cell>
          <cell r="Z143">
            <v>144990</v>
          </cell>
          <cell r="AA143">
            <v>96660</v>
          </cell>
          <cell r="AB143">
            <v>96000</v>
          </cell>
          <cell r="AC143">
            <v>98660</v>
          </cell>
          <cell r="AD143">
            <v>147990</v>
          </cell>
          <cell r="AE143">
            <v>98660</v>
          </cell>
          <cell r="AF143">
            <v>98660</v>
          </cell>
          <cell r="AG143">
            <v>49330</v>
          </cell>
          <cell r="AH143">
            <v>78928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706770.25897874171</v>
          </cell>
          <cell r="AT143">
            <v>706770.25897874171</v>
          </cell>
          <cell r="AU143">
            <v>96660</v>
          </cell>
        </row>
        <row r="144">
          <cell r="B144">
            <v>130</v>
          </cell>
          <cell r="C144">
            <v>2</v>
          </cell>
          <cell r="D144">
            <v>2872979.3806321998</v>
          </cell>
          <cell r="E144">
            <v>2872979.3806321998</v>
          </cell>
          <cell r="F144">
            <v>1219030</v>
          </cell>
          <cell r="G144">
            <v>1</v>
          </cell>
          <cell r="H144">
            <v>13100</v>
          </cell>
          <cell r="I144">
            <v>192920</v>
          </cell>
          <cell r="J144">
            <v>96660</v>
          </cell>
          <cell r="K144">
            <v>96660</v>
          </cell>
          <cell r="L144">
            <v>96460</v>
          </cell>
          <cell r="M144">
            <v>96460</v>
          </cell>
          <cell r="N144">
            <v>96460</v>
          </cell>
          <cell r="O144">
            <v>96000</v>
          </cell>
          <cell r="P144">
            <v>96660</v>
          </cell>
          <cell r="Q144">
            <v>144990</v>
          </cell>
          <cell r="R144">
            <v>0</v>
          </cell>
          <cell r="S144">
            <v>96000</v>
          </cell>
          <cell r="T144">
            <v>0</v>
          </cell>
          <cell r="U144">
            <v>96660</v>
          </cell>
          <cell r="V144">
            <v>0</v>
          </cell>
          <cell r="W144">
            <v>1653949.3806321998</v>
          </cell>
          <cell r="Y144">
            <v>48330</v>
          </cell>
          <cell r="Z144">
            <v>144990</v>
          </cell>
          <cell r="AA144">
            <v>96660</v>
          </cell>
          <cell r="AB144">
            <v>96000</v>
          </cell>
          <cell r="AC144">
            <v>98660</v>
          </cell>
          <cell r="AD144">
            <v>147990</v>
          </cell>
          <cell r="AE144">
            <v>98660</v>
          </cell>
          <cell r="AF144">
            <v>98660</v>
          </cell>
          <cell r="AG144">
            <v>49330</v>
          </cell>
          <cell r="AH144">
            <v>78928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695741.38063219981</v>
          </cell>
          <cell r="AT144">
            <v>695741.38063219981</v>
          </cell>
          <cell r="AU144">
            <v>96660</v>
          </cell>
        </row>
        <row r="145">
          <cell r="B145">
            <v>131</v>
          </cell>
          <cell r="C145">
            <v>2</v>
          </cell>
          <cell r="D145">
            <v>3189509.2873734999</v>
          </cell>
          <cell r="E145">
            <v>3189509.2873734999</v>
          </cell>
          <cell r="F145">
            <v>1219030</v>
          </cell>
          <cell r="G145">
            <v>1</v>
          </cell>
          <cell r="H145">
            <v>13100</v>
          </cell>
          <cell r="I145">
            <v>192920</v>
          </cell>
          <cell r="J145">
            <v>96660</v>
          </cell>
          <cell r="K145">
            <v>96660</v>
          </cell>
          <cell r="L145">
            <v>96460</v>
          </cell>
          <cell r="M145">
            <v>96460</v>
          </cell>
          <cell r="N145">
            <v>96460</v>
          </cell>
          <cell r="O145">
            <v>96000</v>
          </cell>
          <cell r="P145">
            <v>96660</v>
          </cell>
          <cell r="Q145">
            <v>144990</v>
          </cell>
          <cell r="R145">
            <v>0</v>
          </cell>
          <cell r="S145">
            <v>96000</v>
          </cell>
          <cell r="T145">
            <v>0</v>
          </cell>
          <cell r="U145">
            <v>96660</v>
          </cell>
          <cell r="V145">
            <v>0</v>
          </cell>
          <cell r="W145">
            <v>1970479.2873734999</v>
          </cell>
          <cell r="Y145">
            <v>48330</v>
          </cell>
          <cell r="Z145">
            <v>144990</v>
          </cell>
          <cell r="AA145">
            <v>96660</v>
          </cell>
          <cell r="AB145">
            <v>96000</v>
          </cell>
          <cell r="AC145">
            <v>98660</v>
          </cell>
          <cell r="AD145">
            <v>147990</v>
          </cell>
          <cell r="AE145">
            <v>98660</v>
          </cell>
          <cell r="AF145">
            <v>98660</v>
          </cell>
          <cell r="AG145">
            <v>49330</v>
          </cell>
          <cell r="AH145">
            <v>78928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1012271.2873734999</v>
          </cell>
          <cell r="AT145">
            <v>1012271.2873734999</v>
          </cell>
          <cell r="AU145">
            <v>96660</v>
          </cell>
        </row>
        <row r="146">
          <cell r="B146">
            <v>132</v>
          </cell>
          <cell r="C146">
            <v>2</v>
          </cell>
          <cell r="D146">
            <v>3556170.8223662036</v>
          </cell>
          <cell r="E146">
            <v>3556170.8223662036</v>
          </cell>
          <cell r="F146">
            <v>1219030</v>
          </cell>
          <cell r="G146">
            <v>1</v>
          </cell>
          <cell r="H146">
            <v>13100</v>
          </cell>
          <cell r="I146">
            <v>192920</v>
          </cell>
          <cell r="J146">
            <v>96660</v>
          </cell>
          <cell r="K146">
            <v>96660</v>
          </cell>
          <cell r="L146">
            <v>96460</v>
          </cell>
          <cell r="M146">
            <v>96460</v>
          </cell>
          <cell r="N146">
            <v>96460</v>
          </cell>
          <cell r="O146">
            <v>96000</v>
          </cell>
          <cell r="P146">
            <v>96660</v>
          </cell>
          <cell r="Q146">
            <v>144990</v>
          </cell>
          <cell r="R146">
            <v>0</v>
          </cell>
          <cell r="S146">
            <v>96000</v>
          </cell>
          <cell r="T146">
            <v>0</v>
          </cell>
          <cell r="U146">
            <v>96660</v>
          </cell>
          <cell r="V146">
            <v>0</v>
          </cell>
          <cell r="W146">
            <v>2337140.8223662036</v>
          </cell>
          <cell r="Y146">
            <v>48330</v>
          </cell>
          <cell r="Z146">
            <v>144990</v>
          </cell>
          <cell r="AA146">
            <v>96660</v>
          </cell>
          <cell r="AB146">
            <v>96000</v>
          </cell>
          <cell r="AC146">
            <v>98660</v>
          </cell>
          <cell r="AD146">
            <v>147990</v>
          </cell>
          <cell r="AE146">
            <v>98660</v>
          </cell>
          <cell r="AF146">
            <v>98660</v>
          </cell>
          <cell r="AG146">
            <v>49330</v>
          </cell>
          <cell r="AH146">
            <v>78928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1378932.8223662036</v>
          </cell>
          <cell r="AT146">
            <v>1378932.8223662036</v>
          </cell>
          <cell r="AU146">
            <v>96660</v>
          </cell>
        </row>
        <row r="147">
          <cell r="B147">
            <v>133</v>
          </cell>
          <cell r="C147">
            <v>2</v>
          </cell>
          <cell r="D147">
            <v>3072092.2164640399</v>
          </cell>
          <cell r="E147">
            <v>3072092.2164640399</v>
          </cell>
          <cell r="F147">
            <v>1219030</v>
          </cell>
          <cell r="G147">
            <v>1</v>
          </cell>
          <cell r="H147">
            <v>13100</v>
          </cell>
          <cell r="I147">
            <v>192920</v>
          </cell>
          <cell r="J147">
            <v>96660</v>
          </cell>
          <cell r="K147">
            <v>96660</v>
          </cell>
          <cell r="L147">
            <v>96460</v>
          </cell>
          <cell r="M147">
            <v>96460</v>
          </cell>
          <cell r="N147">
            <v>96460</v>
          </cell>
          <cell r="O147">
            <v>96000</v>
          </cell>
          <cell r="P147">
            <v>96660</v>
          </cell>
          <cell r="Q147">
            <v>144990</v>
          </cell>
          <cell r="R147">
            <v>0</v>
          </cell>
          <cell r="S147">
            <v>96000</v>
          </cell>
          <cell r="T147">
            <v>0</v>
          </cell>
          <cell r="U147">
            <v>96660</v>
          </cell>
          <cell r="V147">
            <v>0</v>
          </cell>
          <cell r="W147">
            <v>1853062.2164640399</v>
          </cell>
          <cell r="Y147">
            <v>48330</v>
          </cell>
          <cell r="Z147">
            <v>144990</v>
          </cell>
          <cell r="AA147">
            <v>96660</v>
          </cell>
          <cell r="AB147">
            <v>96000</v>
          </cell>
          <cell r="AC147">
            <v>98660</v>
          </cell>
          <cell r="AD147">
            <v>147990</v>
          </cell>
          <cell r="AE147">
            <v>98660</v>
          </cell>
          <cell r="AF147">
            <v>98660</v>
          </cell>
          <cell r="AG147">
            <v>49330</v>
          </cell>
          <cell r="AH147">
            <v>78928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894854.21646403987</v>
          </cell>
          <cell r="AT147">
            <v>894854.21646403987</v>
          </cell>
          <cell r="AU147">
            <v>96660</v>
          </cell>
        </row>
        <row r="148">
          <cell r="B148">
            <v>134</v>
          </cell>
          <cell r="C148">
            <v>2</v>
          </cell>
          <cell r="D148">
            <v>3044728.1785713658</v>
          </cell>
          <cell r="E148">
            <v>3044728.1785713658</v>
          </cell>
          <cell r="F148">
            <v>1219030</v>
          </cell>
          <cell r="G148">
            <v>1</v>
          </cell>
          <cell r="H148">
            <v>13100</v>
          </cell>
          <cell r="I148">
            <v>192920</v>
          </cell>
          <cell r="J148">
            <v>96660</v>
          </cell>
          <cell r="K148">
            <v>96660</v>
          </cell>
          <cell r="L148">
            <v>96460</v>
          </cell>
          <cell r="M148">
            <v>96460</v>
          </cell>
          <cell r="N148">
            <v>96460</v>
          </cell>
          <cell r="O148">
            <v>96000</v>
          </cell>
          <cell r="P148">
            <v>96660</v>
          </cell>
          <cell r="Q148">
            <v>144990</v>
          </cell>
          <cell r="R148">
            <v>0</v>
          </cell>
          <cell r="S148">
            <v>96000</v>
          </cell>
          <cell r="T148">
            <v>0</v>
          </cell>
          <cell r="U148">
            <v>96660</v>
          </cell>
          <cell r="V148">
            <v>0</v>
          </cell>
          <cell r="W148">
            <v>1825698.1785713658</v>
          </cell>
          <cell r="Y148">
            <v>48330</v>
          </cell>
          <cell r="Z148">
            <v>144990</v>
          </cell>
          <cell r="AA148">
            <v>96660</v>
          </cell>
          <cell r="AB148">
            <v>96000</v>
          </cell>
          <cell r="AC148">
            <v>98660</v>
          </cell>
          <cell r="AD148">
            <v>147990</v>
          </cell>
          <cell r="AE148">
            <v>98660</v>
          </cell>
          <cell r="AF148">
            <v>98660</v>
          </cell>
          <cell r="AG148">
            <v>49330</v>
          </cell>
          <cell r="AH148">
            <v>78928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867490.17857136577</v>
          </cell>
          <cell r="AT148">
            <v>867490.17857136577</v>
          </cell>
          <cell r="AU148">
            <v>96660</v>
          </cell>
        </row>
        <row r="149">
          <cell r="B149">
            <v>135</v>
          </cell>
          <cell r="C149">
            <v>2</v>
          </cell>
          <cell r="D149">
            <v>3168496.8131669578</v>
          </cell>
          <cell r="E149">
            <v>3168496.8131669578</v>
          </cell>
          <cell r="F149">
            <v>1219030</v>
          </cell>
          <cell r="G149">
            <v>1</v>
          </cell>
          <cell r="H149">
            <v>13100</v>
          </cell>
          <cell r="I149">
            <v>192920</v>
          </cell>
          <cell r="J149">
            <v>96660</v>
          </cell>
          <cell r="K149">
            <v>96660</v>
          </cell>
          <cell r="L149">
            <v>96460</v>
          </cell>
          <cell r="M149">
            <v>96460</v>
          </cell>
          <cell r="N149">
            <v>96460</v>
          </cell>
          <cell r="O149">
            <v>96000</v>
          </cell>
          <cell r="P149">
            <v>96660</v>
          </cell>
          <cell r="Q149">
            <v>144990</v>
          </cell>
          <cell r="R149">
            <v>0</v>
          </cell>
          <cell r="S149">
            <v>96000</v>
          </cell>
          <cell r="T149">
            <v>0</v>
          </cell>
          <cell r="U149">
            <v>96660</v>
          </cell>
          <cell r="V149">
            <v>0</v>
          </cell>
          <cell r="W149">
            <v>1949466.8131669578</v>
          </cell>
          <cell r="Y149">
            <v>48330</v>
          </cell>
          <cell r="Z149">
            <v>144990</v>
          </cell>
          <cell r="AA149">
            <v>96660</v>
          </cell>
          <cell r="AB149">
            <v>96000</v>
          </cell>
          <cell r="AC149">
            <v>98660</v>
          </cell>
          <cell r="AD149">
            <v>147990</v>
          </cell>
          <cell r="AE149">
            <v>98660</v>
          </cell>
          <cell r="AF149">
            <v>98660</v>
          </cell>
          <cell r="AG149">
            <v>49330</v>
          </cell>
          <cell r="AH149">
            <v>78928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991258.81316695781</v>
          </cell>
          <cell r="AT149">
            <v>991258.81316695781</v>
          </cell>
          <cell r="AU149">
            <v>96660</v>
          </cell>
        </row>
        <row r="150">
          <cell r="B150">
            <v>136</v>
          </cell>
          <cell r="C150">
            <v>2</v>
          </cell>
          <cell r="D150">
            <v>3509193.0120469737</v>
          </cell>
          <cell r="E150">
            <v>3509193.0120469737</v>
          </cell>
          <cell r="F150">
            <v>1219030</v>
          </cell>
          <cell r="G150">
            <v>1</v>
          </cell>
          <cell r="H150">
            <v>13100</v>
          </cell>
          <cell r="I150">
            <v>192920</v>
          </cell>
          <cell r="J150">
            <v>96660</v>
          </cell>
          <cell r="K150">
            <v>96660</v>
          </cell>
          <cell r="L150">
            <v>96460</v>
          </cell>
          <cell r="M150">
            <v>96460</v>
          </cell>
          <cell r="N150">
            <v>96460</v>
          </cell>
          <cell r="O150">
            <v>96000</v>
          </cell>
          <cell r="P150">
            <v>96660</v>
          </cell>
          <cell r="Q150">
            <v>144990</v>
          </cell>
          <cell r="R150">
            <v>0</v>
          </cell>
          <cell r="S150">
            <v>96000</v>
          </cell>
          <cell r="T150">
            <v>0</v>
          </cell>
          <cell r="U150">
            <v>96660</v>
          </cell>
          <cell r="V150">
            <v>0</v>
          </cell>
          <cell r="W150">
            <v>2290163.0120469737</v>
          </cell>
          <cell r="Y150">
            <v>48330</v>
          </cell>
          <cell r="Z150">
            <v>144990</v>
          </cell>
          <cell r="AA150">
            <v>96660</v>
          </cell>
          <cell r="AB150">
            <v>96000</v>
          </cell>
          <cell r="AC150">
            <v>98660</v>
          </cell>
          <cell r="AD150">
            <v>147990</v>
          </cell>
          <cell r="AE150">
            <v>98660</v>
          </cell>
          <cell r="AF150">
            <v>98660</v>
          </cell>
          <cell r="AG150">
            <v>49330</v>
          </cell>
          <cell r="AH150">
            <v>78928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1331955.0120469737</v>
          </cell>
          <cell r="AT150">
            <v>1331955.0120469737</v>
          </cell>
          <cell r="AU150">
            <v>96660</v>
          </cell>
        </row>
        <row r="151">
          <cell r="B151">
            <v>137</v>
          </cell>
          <cell r="C151">
            <v>2</v>
          </cell>
          <cell r="D151">
            <v>2468155.550464646</v>
          </cell>
          <cell r="E151">
            <v>2468155.550464646</v>
          </cell>
          <cell r="F151">
            <v>1219030</v>
          </cell>
          <cell r="G151">
            <v>1</v>
          </cell>
          <cell r="H151">
            <v>13100</v>
          </cell>
          <cell r="I151">
            <v>192920</v>
          </cell>
          <cell r="J151">
            <v>96660</v>
          </cell>
          <cell r="K151">
            <v>96660</v>
          </cell>
          <cell r="L151">
            <v>96460</v>
          </cell>
          <cell r="M151">
            <v>96460</v>
          </cell>
          <cell r="N151">
            <v>96460</v>
          </cell>
          <cell r="O151">
            <v>96000</v>
          </cell>
          <cell r="P151">
            <v>96660</v>
          </cell>
          <cell r="Q151">
            <v>144990</v>
          </cell>
          <cell r="R151">
            <v>0</v>
          </cell>
          <cell r="S151">
            <v>96000</v>
          </cell>
          <cell r="T151">
            <v>0</v>
          </cell>
          <cell r="U151">
            <v>96660</v>
          </cell>
          <cell r="V151">
            <v>0</v>
          </cell>
          <cell r="W151">
            <v>1249125.550464646</v>
          </cell>
          <cell r="Y151">
            <v>48330</v>
          </cell>
          <cell r="Z151">
            <v>144990</v>
          </cell>
          <cell r="AA151">
            <v>96660</v>
          </cell>
          <cell r="AB151">
            <v>96000</v>
          </cell>
          <cell r="AC151">
            <v>98660</v>
          </cell>
          <cell r="AD151">
            <v>147990</v>
          </cell>
          <cell r="AE151">
            <v>98660</v>
          </cell>
          <cell r="AF151">
            <v>98660</v>
          </cell>
          <cell r="AG151">
            <v>49330</v>
          </cell>
          <cell r="AH151">
            <v>78928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290917.55046464596</v>
          </cell>
          <cell r="AT151">
            <v>290917.55046464596</v>
          </cell>
          <cell r="AU151">
            <v>96660</v>
          </cell>
        </row>
        <row r="152">
          <cell r="B152">
            <v>138</v>
          </cell>
          <cell r="C152">
            <v>2</v>
          </cell>
          <cell r="D152">
            <v>2399261.7505135438</v>
          </cell>
          <cell r="E152">
            <v>2399261.7505135438</v>
          </cell>
          <cell r="F152">
            <v>1219030</v>
          </cell>
          <cell r="G152">
            <v>1</v>
          </cell>
          <cell r="H152">
            <v>13100</v>
          </cell>
          <cell r="I152">
            <v>192920</v>
          </cell>
          <cell r="J152">
            <v>96660</v>
          </cell>
          <cell r="K152">
            <v>96660</v>
          </cell>
          <cell r="L152">
            <v>96460</v>
          </cell>
          <cell r="M152">
            <v>96460</v>
          </cell>
          <cell r="N152">
            <v>96460</v>
          </cell>
          <cell r="O152">
            <v>96000</v>
          </cell>
          <cell r="P152">
            <v>96660</v>
          </cell>
          <cell r="Q152">
            <v>144990</v>
          </cell>
          <cell r="R152">
            <v>0</v>
          </cell>
          <cell r="S152">
            <v>96000</v>
          </cell>
          <cell r="T152">
            <v>0</v>
          </cell>
          <cell r="U152">
            <v>96660</v>
          </cell>
          <cell r="V152">
            <v>0</v>
          </cell>
          <cell r="W152">
            <v>1180231.7505135438</v>
          </cell>
          <cell r="Y152">
            <v>48330</v>
          </cell>
          <cell r="Z152">
            <v>144990</v>
          </cell>
          <cell r="AA152">
            <v>96660</v>
          </cell>
          <cell r="AB152">
            <v>96000</v>
          </cell>
          <cell r="AC152">
            <v>98660</v>
          </cell>
          <cell r="AD152">
            <v>147990</v>
          </cell>
          <cell r="AE152">
            <v>98660</v>
          </cell>
          <cell r="AF152">
            <v>98660</v>
          </cell>
          <cell r="AG152">
            <v>49330</v>
          </cell>
          <cell r="AH152">
            <v>78928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222023.75051354384</v>
          </cell>
          <cell r="AT152">
            <v>222023.75051354384</v>
          </cell>
          <cell r="AU152">
            <v>96660</v>
          </cell>
        </row>
        <row r="153">
          <cell r="B153">
            <v>139</v>
          </cell>
          <cell r="C153">
            <v>2</v>
          </cell>
          <cell r="D153">
            <v>2788395.3614275218</v>
          </cell>
          <cell r="E153">
            <v>2788395.3614275218</v>
          </cell>
          <cell r="F153">
            <v>1219030</v>
          </cell>
          <cell r="G153">
            <v>1</v>
          </cell>
          <cell r="H153">
            <v>13100</v>
          </cell>
          <cell r="I153">
            <v>192920</v>
          </cell>
          <cell r="J153">
            <v>96660</v>
          </cell>
          <cell r="K153">
            <v>96660</v>
          </cell>
          <cell r="L153">
            <v>96460</v>
          </cell>
          <cell r="M153">
            <v>96460</v>
          </cell>
          <cell r="N153">
            <v>96460</v>
          </cell>
          <cell r="O153">
            <v>96000</v>
          </cell>
          <cell r="P153">
            <v>96660</v>
          </cell>
          <cell r="Q153">
            <v>144990</v>
          </cell>
          <cell r="R153">
            <v>0</v>
          </cell>
          <cell r="S153">
            <v>96000</v>
          </cell>
          <cell r="T153">
            <v>0</v>
          </cell>
          <cell r="U153">
            <v>96660</v>
          </cell>
          <cell r="V153">
            <v>0</v>
          </cell>
          <cell r="W153">
            <v>1569365.3614275218</v>
          </cell>
          <cell r="Y153">
            <v>48330</v>
          </cell>
          <cell r="Z153">
            <v>144990</v>
          </cell>
          <cell r="AA153">
            <v>96660</v>
          </cell>
          <cell r="AB153">
            <v>96000</v>
          </cell>
          <cell r="AC153">
            <v>98660</v>
          </cell>
          <cell r="AD153">
            <v>147990</v>
          </cell>
          <cell r="AE153">
            <v>98660</v>
          </cell>
          <cell r="AF153">
            <v>98660</v>
          </cell>
          <cell r="AG153">
            <v>49330</v>
          </cell>
          <cell r="AH153">
            <v>78928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611157.3614275218</v>
          </cell>
          <cell r="AT153">
            <v>611157.3614275218</v>
          </cell>
          <cell r="AU153">
            <v>96660</v>
          </cell>
        </row>
        <row r="154">
          <cell r="B154">
            <v>140</v>
          </cell>
          <cell r="C154">
            <v>2</v>
          </cell>
          <cell r="D154">
            <v>2861447.3290543137</v>
          </cell>
          <cell r="E154">
            <v>2861447.3290543137</v>
          </cell>
          <cell r="F154">
            <v>1219030</v>
          </cell>
          <cell r="G154">
            <v>1</v>
          </cell>
          <cell r="H154">
            <v>13100</v>
          </cell>
          <cell r="I154">
            <v>192920</v>
          </cell>
          <cell r="J154">
            <v>96660</v>
          </cell>
          <cell r="K154">
            <v>96660</v>
          </cell>
          <cell r="L154">
            <v>96460</v>
          </cell>
          <cell r="M154">
            <v>96460</v>
          </cell>
          <cell r="N154">
            <v>96460</v>
          </cell>
          <cell r="O154">
            <v>96000</v>
          </cell>
          <cell r="P154">
            <v>96660</v>
          </cell>
          <cell r="Q154">
            <v>144990</v>
          </cell>
          <cell r="R154">
            <v>0</v>
          </cell>
          <cell r="S154">
            <v>96000</v>
          </cell>
          <cell r="T154">
            <v>0</v>
          </cell>
          <cell r="U154">
            <v>96660</v>
          </cell>
          <cell r="V154">
            <v>0</v>
          </cell>
          <cell r="W154">
            <v>1642417.3290543137</v>
          </cell>
          <cell r="Y154">
            <v>48330</v>
          </cell>
          <cell r="Z154">
            <v>144990</v>
          </cell>
          <cell r="AA154">
            <v>96660</v>
          </cell>
          <cell r="AB154">
            <v>96000</v>
          </cell>
          <cell r="AC154">
            <v>98660</v>
          </cell>
          <cell r="AD154">
            <v>147990</v>
          </cell>
          <cell r="AE154">
            <v>98660</v>
          </cell>
          <cell r="AF154">
            <v>98660</v>
          </cell>
          <cell r="AG154">
            <v>49330</v>
          </cell>
          <cell r="AH154">
            <v>78928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684209.32905431371</v>
          </cell>
          <cell r="AT154">
            <v>684209.32905431371</v>
          </cell>
          <cell r="AU154">
            <v>96660</v>
          </cell>
        </row>
        <row r="155">
          <cell r="B155">
            <v>141</v>
          </cell>
          <cell r="C155">
            <v>2</v>
          </cell>
          <cell r="D155">
            <v>2482008.7880799817</v>
          </cell>
          <cell r="E155">
            <v>2482008.7880799817</v>
          </cell>
          <cell r="F155">
            <v>1219030</v>
          </cell>
          <cell r="G155">
            <v>1</v>
          </cell>
          <cell r="H155">
            <v>13100</v>
          </cell>
          <cell r="I155">
            <v>192920</v>
          </cell>
          <cell r="J155">
            <v>96660</v>
          </cell>
          <cell r="K155">
            <v>96660</v>
          </cell>
          <cell r="L155">
            <v>96460</v>
          </cell>
          <cell r="M155">
            <v>96460</v>
          </cell>
          <cell r="N155">
            <v>96460</v>
          </cell>
          <cell r="O155">
            <v>96000</v>
          </cell>
          <cell r="P155">
            <v>96660</v>
          </cell>
          <cell r="Q155">
            <v>144990</v>
          </cell>
          <cell r="R155">
            <v>0</v>
          </cell>
          <cell r="S155">
            <v>96000</v>
          </cell>
          <cell r="T155">
            <v>0</v>
          </cell>
          <cell r="U155">
            <v>96660</v>
          </cell>
          <cell r="V155">
            <v>0</v>
          </cell>
          <cell r="W155">
            <v>1262978.7880799817</v>
          </cell>
          <cell r="Y155">
            <v>48330</v>
          </cell>
          <cell r="Z155">
            <v>144990</v>
          </cell>
          <cell r="AA155">
            <v>96660</v>
          </cell>
          <cell r="AB155">
            <v>96000</v>
          </cell>
          <cell r="AC155">
            <v>98660</v>
          </cell>
          <cell r="AD155">
            <v>147990</v>
          </cell>
          <cell r="AE155">
            <v>98660</v>
          </cell>
          <cell r="AF155">
            <v>98660</v>
          </cell>
          <cell r="AG155">
            <v>49330</v>
          </cell>
          <cell r="AH155">
            <v>78928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304770.78807998169</v>
          </cell>
          <cell r="AT155">
            <v>304770.78807998169</v>
          </cell>
          <cell r="AU155">
            <v>96660</v>
          </cell>
        </row>
        <row r="156">
          <cell r="B156">
            <v>142</v>
          </cell>
          <cell r="C156">
            <v>2</v>
          </cell>
          <cell r="D156">
            <v>2809689.3730373159</v>
          </cell>
          <cell r="E156">
            <v>2809689.3730373159</v>
          </cell>
          <cell r="F156">
            <v>1219030</v>
          </cell>
          <cell r="G156">
            <v>1</v>
          </cell>
          <cell r="H156">
            <v>13100</v>
          </cell>
          <cell r="I156">
            <v>192920</v>
          </cell>
          <cell r="J156">
            <v>96660</v>
          </cell>
          <cell r="K156">
            <v>96660</v>
          </cell>
          <cell r="L156">
            <v>96460</v>
          </cell>
          <cell r="M156">
            <v>96460</v>
          </cell>
          <cell r="N156">
            <v>96460</v>
          </cell>
          <cell r="O156">
            <v>96000</v>
          </cell>
          <cell r="P156">
            <v>96660</v>
          </cell>
          <cell r="Q156">
            <v>144990</v>
          </cell>
          <cell r="R156">
            <v>0</v>
          </cell>
          <cell r="S156">
            <v>96000</v>
          </cell>
          <cell r="T156">
            <v>0</v>
          </cell>
          <cell r="U156">
            <v>96660</v>
          </cell>
          <cell r="V156">
            <v>0</v>
          </cell>
          <cell r="W156">
            <v>1590659.3730373159</v>
          </cell>
          <cell r="Y156">
            <v>48330</v>
          </cell>
          <cell r="Z156">
            <v>144990</v>
          </cell>
          <cell r="AA156">
            <v>96660</v>
          </cell>
          <cell r="AB156">
            <v>96000</v>
          </cell>
          <cell r="AC156">
            <v>98660</v>
          </cell>
          <cell r="AD156">
            <v>147990</v>
          </cell>
          <cell r="AE156">
            <v>98660</v>
          </cell>
          <cell r="AF156">
            <v>98660</v>
          </cell>
          <cell r="AG156">
            <v>49330</v>
          </cell>
          <cell r="AH156">
            <v>78928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632451.37303731591</v>
          </cell>
          <cell r="AT156">
            <v>632451.37303731591</v>
          </cell>
          <cell r="AU156">
            <v>96660</v>
          </cell>
        </row>
        <row r="157">
          <cell r="B157">
            <v>143</v>
          </cell>
          <cell r="C157">
            <v>2</v>
          </cell>
          <cell r="D157">
            <v>2716873.8790460681</v>
          </cell>
          <cell r="E157">
            <v>2716873.8790460681</v>
          </cell>
          <cell r="F157">
            <v>1219030</v>
          </cell>
          <cell r="G157">
            <v>1</v>
          </cell>
          <cell r="H157">
            <v>13100</v>
          </cell>
          <cell r="I157">
            <v>192920</v>
          </cell>
          <cell r="J157">
            <v>96660</v>
          </cell>
          <cell r="K157">
            <v>96660</v>
          </cell>
          <cell r="L157">
            <v>96460</v>
          </cell>
          <cell r="M157">
            <v>96460</v>
          </cell>
          <cell r="N157">
            <v>96460</v>
          </cell>
          <cell r="O157">
            <v>96000</v>
          </cell>
          <cell r="P157">
            <v>96660</v>
          </cell>
          <cell r="Q157">
            <v>144990</v>
          </cell>
          <cell r="R157">
            <v>0</v>
          </cell>
          <cell r="S157">
            <v>96000</v>
          </cell>
          <cell r="T157">
            <v>0</v>
          </cell>
          <cell r="U157">
            <v>96660</v>
          </cell>
          <cell r="V157">
            <v>0</v>
          </cell>
          <cell r="W157">
            <v>1497843.8790460681</v>
          </cell>
          <cell r="Y157">
            <v>48330</v>
          </cell>
          <cell r="Z157">
            <v>144990</v>
          </cell>
          <cell r="AA157">
            <v>96660</v>
          </cell>
          <cell r="AB157">
            <v>96000</v>
          </cell>
          <cell r="AC157">
            <v>98660</v>
          </cell>
          <cell r="AD157">
            <v>147990</v>
          </cell>
          <cell r="AE157">
            <v>98660</v>
          </cell>
          <cell r="AF157">
            <v>98660</v>
          </cell>
          <cell r="AG157">
            <v>49330</v>
          </cell>
          <cell r="AH157">
            <v>78928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539635.87904606806</v>
          </cell>
          <cell r="AT157">
            <v>539635.87904606806</v>
          </cell>
          <cell r="AU157">
            <v>96660</v>
          </cell>
        </row>
        <row r="158">
          <cell r="B158">
            <v>144</v>
          </cell>
          <cell r="C158">
            <v>2</v>
          </cell>
          <cell r="D158">
            <v>2464333.8299694378</v>
          </cell>
          <cell r="E158">
            <v>2464333.8299694378</v>
          </cell>
          <cell r="F158">
            <v>1219030</v>
          </cell>
          <cell r="G158">
            <v>1</v>
          </cell>
          <cell r="H158">
            <v>13100</v>
          </cell>
          <cell r="I158">
            <v>192920</v>
          </cell>
          <cell r="J158">
            <v>96660</v>
          </cell>
          <cell r="K158">
            <v>96660</v>
          </cell>
          <cell r="L158">
            <v>96460</v>
          </cell>
          <cell r="M158">
            <v>96460</v>
          </cell>
          <cell r="N158">
            <v>96460</v>
          </cell>
          <cell r="O158">
            <v>96000</v>
          </cell>
          <cell r="P158">
            <v>96660</v>
          </cell>
          <cell r="Q158">
            <v>144990</v>
          </cell>
          <cell r="R158">
            <v>0</v>
          </cell>
          <cell r="S158">
            <v>96000</v>
          </cell>
          <cell r="T158">
            <v>0</v>
          </cell>
          <cell r="U158">
            <v>96660</v>
          </cell>
          <cell r="V158">
            <v>0</v>
          </cell>
          <cell r="W158">
            <v>1245303.8299694378</v>
          </cell>
          <cell r="Y158">
            <v>48330</v>
          </cell>
          <cell r="Z158">
            <v>144990</v>
          </cell>
          <cell r="AA158">
            <v>96660</v>
          </cell>
          <cell r="AB158">
            <v>96000</v>
          </cell>
          <cell r="AC158">
            <v>98660</v>
          </cell>
          <cell r="AD158">
            <v>147990</v>
          </cell>
          <cell r="AE158">
            <v>98660</v>
          </cell>
          <cell r="AF158">
            <v>98660</v>
          </cell>
          <cell r="AG158">
            <v>49330</v>
          </cell>
          <cell r="AH158">
            <v>78928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287095.82996943779</v>
          </cell>
          <cell r="AT158">
            <v>287095.82996943779</v>
          </cell>
          <cell r="AU158">
            <v>96660</v>
          </cell>
        </row>
        <row r="159">
          <cell r="B159">
            <v>145</v>
          </cell>
          <cell r="C159">
            <v>2</v>
          </cell>
          <cell r="D159">
            <v>2408112.2082434339</v>
          </cell>
          <cell r="E159">
            <v>2408112.2082434339</v>
          </cell>
          <cell r="F159">
            <v>1219030</v>
          </cell>
          <cell r="G159">
            <v>1</v>
          </cell>
          <cell r="H159">
            <v>13100</v>
          </cell>
          <cell r="I159">
            <v>192920</v>
          </cell>
          <cell r="J159">
            <v>96660</v>
          </cell>
          <cell r="K159">
            <v>96660</v>
          </cell>
          <cell r="L159">
            <v>96460</v>
          </cell>
          <cell r="M159">
            <v>96460</v>
          </cell>
          <cell r="N159">
            <v>96460</v>
          </cell>
          <cell r="O159">
            <v>96000</v>
          </cell>
          <cell r="P159">
            <v>96660</v>
          </cell>
          <cell r="Q159">
            <v>144990</v>
          </cell>
          <cell r="R159">
            <v>0</v>
          </cell>
          <cell r="S159">
            <v>96000</v>
          </cell>
          <cell r="T159">
            <v>0</v>
          </cell>
          <cell r="U159">
            <v>96660</v>
          </cell>
          <cell r="V159">
            <v>0</v>
          </cell>
          <cell r="W159">
            <v>1189082.2082434339</v>
          </cell>
          <cell r="Y159">
            <v>48330</v>
          </cell>
          <cell r="Z159">
            <v>144990</v>
          </cell>
          <cell r="AA159">
            <v>96660</v>
          </cell>
          <cell r="AB159">
            <v>96000</v>
          </cell>
          <cell r="AC159">
            <v>98660</v>
          </cell>
          <cell r="AD159">
            <v>147990</v>
          </cell>
          <cell r="AE159">
            <v>98660</v>
          </cell>
          <cell r="AF159">
            <v>98660</v>
          </cell>
          <cell r="AG159">
            <v>49330</v>
          </cell>
          <cell r="AH159">
            <v>78928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230874.20824343385</v>
          </cell>
          <cell r="AT159">
            <v>230874.20824343385</v>
          </cell>
          <cell r="AU159">
            <v>96660</v>
          </cell>
        </row>
        <row r="160">
          <cell r="B160">
            <v>146</v>
          </cell>
          <cell r="C160">
            <v>2</v>
          </cell>
          <cell r="D160">
            <v>2464333.8299694378</v>
          </cell>
          <cell r="E160">
            <v>2464333.8299694378</v>
          </cell>
          <cell r="F160">
            <v>1219030</v>
          </cell>
          <cell r="G160">
            <v>1</v>
          </cell>
          <cell r="H160">
            <v>13100</v>
          </cell>
          <cell r="I160">
            <v>192920</v>
          </cell>
          <cell r="J160">
            <v>96660</v>
          </cell>
          <cell r="K160">
            <v>96660</v>
          </cell>
          <cell r="L160">
            <v>96460</v>
          </cell>
          <cell r="M160">
            <v>96460</v>
          </cell>
          <cell r="N160">
            <v>96460</v>
          </cell>
          <cell r="O160">
            <v>96000</v>
          </cell>
          <cell r="P160">
            <v>96660</v>
          </cell>
          <cell r="Q160">
            <v>144990</v>
          </cell>
          <cell r="R160">
            <v>0</v>
          </cell>
          <cell r="S160">
            <v>96000</v>
          </cell>
          <cell r="T160">
            <v>0</v>
          </cell>
          <cell r="U160">
            <v>96660</v>
          </cell>
          <cell r="V160">
            <v>0</v>
          </cell>
          <cell r="W160">
            <v>1245303.8299694378</v>
          </cell>
          <cell r="Y160">
            <v>48330</v>
          </cell>
          <cell r="Z160">
            <v>144990</v>
          </cell>
          <cell r="AA160">
            <v>96660</v>
          </cell>
          <cell r="AB160">
            <v>96000</v>
          </cell>
          <cell r="AC160">
            <v>98660</v>
          </cell>
          <cell r="AD160">
            <v>147990</v>
          </cell>
          <cell r="AE160">
            <v>98660</v>
          </cell>
          <cell r="AF160">
            <v>98660</v>
          </cell>
          <cell r="AG160">
            <v>49330</v>
          </cell>
          <cell r="AH160">
            <v>78928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287095.82996943779</v>
          </cell>
          <cell r="AT160">
            <v>287095.82996943779</v>
          </cell>
          <cell r="AU160">
            <v>96660</v>
          </cell>
        </row>
        <row r="161">
          <cell r="B161">
            <v>147</v>
          </cell>
          <cell r="C161">
            <v>2</v>
          </cell>
          <cell r="D161">
            <v>2464333.8299694378</v>
          </cell>
          <cell r="E161">
            <v>2464333.8299694378</v>
          </cell>
          <cell r="F161">
            <v>1219030</v>
          </cell>
          <cell r="G161">
            <v>1</v>
          </cell>
          <cell r="H161">
            <v>13100</v>
          </cell>
          <cell r="I161">
            <v>192920</v>
          </cell>
          <cell r="J161">
            <v>96660</v>
          </cell>
          <cell r="K161">
            <v>96660</v>
          </cell>
          <cell r="L161">
            <v>96460</v>
          </cell>
          <cell r="M161">
            <v>96460</v>
          </cell>
          <cell r="N161">
            <v>96460</v>
          </cell>
          <cell r="O161">
            <v>96000</v>
          </cell>
          <cell r="P161">
            <v>96660</v>
          </cell>
          <cell r="Q161">
            <v>144990</v>
          </cell>
          <cell r="R161">
            <v>0</v>
          </cell>
          <cell r="S161">
            <v>96000</v>
          </cell>
          <cell r="T161">
            <v>0</v>
          </cell>
          <cell r="U161">
            <v>96660</v>
          </cell>
          <cell r="V161">
            <v>0</v>
          </cell>
          <cell r="W161">
            <v>1245303.8299694378</v>
          </cell>
          <cell r="Y161">
            <v>48330</v>
          </cell>
          <cell r="Z161">
            <v>144990</v>
          </cell>
          <cell r="AA161">
            <v>96660</v>
          </cell>
          <cell r="AB161">
            <v>96000</v>
          </cell>
          <cell r="AC161">
            <v>98660</v>
          </cell>
          <cell r="AD161">
            <v>147990</v>
          </cell>
          <cell r="AE161">
            <v>98660</v>
          </cell>
          <cell r="AF161">
            <v>98660</v>
          </cell>
          <cell r="AG161">
            <v>49330</v>
          </cell>
          <cell r="AH161">
            <v>78928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287095.82996943779</v>
          </cell>
          <cell r="AT161">
            <v>287095.82996943779</v>
          </cell>
          <cell r="AU161">
            <v>96660</v>
          </cell>
        </row>
        <row r="162">
          <cell r="B162">
            <v>148</v>
          </cell>
          <cell r="C162">
            <v>2</v>
          </cell>
          <cell r="D162">
            <v>2783041.1589678037</v>
          </cell>
          <cell r="E162">
            <v>2783041.1589678037</v>
          </cell>
          <cell r="F162">
            <v>1219030</v>
          </cell>
          <cell r="G162">
            <v>1</v>
          </cell>
          <cell r="H162">
            <v>13100</v>
          </cell>
          <cell r="I162">
            <v>192920</v>
          </cell>
          <cell r="J162">
            <v>96660</v>
          </cell>
          <cell r="K162">
            <v>96660</v>
          </cell>
          <cell r="L162">
            <v>96460</v>
          </cell>
          <cell r="M162">
            <v>96460</v>
          </cell>
          <cell r="N162">
            <v>96460</v>
          </cell>
          <cell r="O162">
            <v>96000</v>
          </cell>
          <cell r="P162">
            <v>96660</v>
          </cell>
          <cell r="Q162">
            <v>144990</v>
          </cell>
          <cell r="R162">
            <v>0</v>
          </cell>
          <cell r="S162">
            <v>96000</v>
          </cell>
          <cell r="T162">
            <v>0</v>
          </cell>
          <cell r="U162">
            <v>96660</v>
          </cell>
          <cell r="V162">
            <v>0</v>
          </cell>
          <cell r="W162">
            <v>1564011.1589678037</v>
          </cell>
          <cell r="Y162">
            <v>48330</v>
          </cell>
          <cell r="Z162">
            <v>144990</v>
          </cell>
          <cell r="AA162">
            <v>96660</v>
          </cell>
          <cell r="AB162">
            <v>96000</v>
          </cell>
          <cell r="AC162">
            <v>98660</v>
          </cell>
          <cell r="AD162">
            <v>147990</v>
          </cell>
          <cell r="AE162">
            <v>98660</v>
          </cell>
          <cell r="AF162">
            <v>98660</v>
          </cell>
          <cell r="AG162">
            <v>49330</v>
          </cell>
          <cell r="AH162">
            <v>78928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605803.1589678037</v>
          </cell>
          <cell r="AT162">
            <v>605803.1589678037</v>
          </cell>
          <cell r="AU162">
            <v>96660</v>
          </cell>
        </row>
        <row r="163">
          <cell r="B163">
            <v>149</v>
          </cell>
          <cell r="C163">
            <v>2</v>
          </cell>
          <cell r="D163">
            <v>2784302.0871249218</v>
          </cell>
          <cell r="E163">
            <v>2784302.0871249218</v>
          </cell>
          <cell r="F163">
            <v>1219030</v>
          </cell>
          <cell r="G163">
            <v>1</v>
          </cell>
          <cell r="H163">
            <v>13100</v>
          </cell>
          <cell r="I163">
            <v>192920</v>
          </cell>
          <cell r="J163">
            <v>96660</v>
          </cell>
          <cell r="K163">
            <v>96660</v>
          </cell>
          <cell r="L163">
            <v>96460</v>
          </cell>
          <cell r="M163">
            <v>96460</v>
          </cell>
          <cell r="N163">
            <v>96460</v>
          </cell>
          <cell r="O163">
            <v>96000</v>
          </cell>
          <cell r="P163">
            <v>96660</v>
          </cell>
          <cell r="Q163">
            <v>144990</v>
          </cell>
          <cell r="R163">
            <v>0</v>
          </cell>
          <cell r="S163">
            <v>96000</v>
          </cell>
          <cell r="T163">
            <v>0</v>
          </cell>
          <cell r="U163">
            <v>96660</v>
          </cell>
          <cell r="V163">
            <v>0</v>
          </cell>
          <cell r="W163">
            <v>1565272.0871249218</v>
          </cell>
          <cell r="Y163">
            <v>48330</v>
          </cell>
          <cell r="Z163">
            <v>144990</v>
          </cell>
          <cell r="AA163">
            <v>96660</v>
          </cell>
          <cell r="AB163">
            <v>96000</v>
          </cell>
          <cell r="AC163">
            <v>98660</v>
          </cell>
          <cell r="AD163">
            <v>147990</v>
          </cell>
          <cell r="AE163">
            <v>98660</v>
          </cell>
          <cell r="AF163">
            <v>98660</v>
          </cell>
          <cell r="AG163">
            <v>49330</v>
          </cell>
          <cell r="AH163">
            <v>78928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607064.08712492185</v>
          </cell>
          <cell r="AT163">
            <v>607064.08712492185</v>
          </cell>
          <cell r="AU163">
            <v>96660</v>
          </cell>
        </row>
        <row r="164">
          <cell r="B164">
            <v>150</v>
          </cell>
          <cell r="C164">
            <v>2</v>
          </cell>
          <cell r="D164">
            <v>2680492.6573726418</v>
          </cell>
          <cell r="E164">
            <v>2680492.6573726418</v>
          </cell>
          <cell r="F164">
            <v>1219030</v>
          </cell>
          <cell r="G164">
            <v>1</v>
          </cell>
          <cell r="H164">
            <v>13100</v>
          </cell>
          <cell r="I164">
            <v>192920</v>
          </cell>
          <cell r="J164">
            <v>96660</v>
          </cell>
          <cell r="K164">
            <v>96660</v>
          </cell>
          <cell r="L164">
            <v>96460</v>
          </cell>
          <cell r="M164">
            <v>96460</v>
          </cell>
          <cell r="N164">
            <v>96460</v>
          </cell>
          <cell r="O164">
            <v>96000</v>
          </cell>
          <cell r="P164">
            <v>96660</v>
          </cell>
          <cell r="Q164">
            <v>144990</v>
          </cell>
          <cell r="R164">
            <v>0</v>
          </cell>
          <cell r="S164">
            <v>96000</v>
          </cell>
          <cell r="T164">
            <v>0</v>
          </cell>
          <cell r="U164">
            <v>96660</v>
          </cell>
          <cell r="V164">
            <v>0</v>
          </cell>
          <cell r="W164">
            <v>1461462.6573726418</v>
          </cell>
          <cell r="Y164">
            <v>48330</v>
          </cell>
          <cell r="Z164">
            <v>144990</v>
          </cell>
          <cell r="AA164">
            <v>96660</v>
          </cell>
          <cell r="AB164">
            <v>96000</v>
          </cell>
          <cell r="AC164">
            <v>98660</v>
          </cell>
          <cell r="AD164">
            <v>147990</v>
          </cell>
          <cell r="AE164">
            <v>98660</v>
          </cell>
          <cell r="AF164">
            <v>98660</v>
          </cell>
          <cell r="AG164">
            <v>49330</v>
          </cell>
          <cell r="AH164">
            <v>78928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503254.65737264184</v>
          </cell>
          <cell r="AT164">
            <v>503254.65737264184</v>
          </cell>
          <cell r="AU164">
            <v>96660</v>
          </cell>
        </row>
        <row r="165">
          <cell r="B165">
            <v>151</v>
          </cell>
          <cell r="C165">
            <v>2</v>
          </cell>
          <cell r="D165">
            <v>2464333.8299694378</v>
          </cell>
          <cell r="E165">
            <v>2464333.8299694378</v>
          </cell>
          <cell r="F165">
            <v>1219030</v>
          </cell>
          <cell r="G165">
            <v>1</v>
          </cell>
          <cell r="H165">
            <v>13100</v>
          </cell>
          <cell r="I165">
            <v>192920</v>
          </cell>
          <cell r="J165">
            <v>96660</v>
          </cell>
          <cell r="K165">
            <v>96660</v>
          </cell>
          <cell r="L165">
            <v>96460</v>
          </cell>
          <cell r="M165">
            <v>96460</v>
          </cell>
          <cell r="N165">
            <v>96460</v>
          </cell>
          <cell r="O165">
            <v>96000</v>
          </cell>
          <cell r="P165">
            <v>96660</v>
          </cell>
          <cell r="Q165">
            <v>144990</v>
          </cell>
          <cell r="R165">
            <v>0</v>
          </cell>
          <cell r="S165">
            <v>96000</v>
          </cell>
          <cell r="T165">
            <v>0</v>
          </cell>
          <cell r="U165">
            <v>96660</v>
          </cell>
          <cell r="V165">
            <v>0</v>
          </cell>
          <cell r="W165">
            <v>1245303.8299694378</v>
          </cell>
          <cell r="Y165">
            <v>48330</v>
          </cell>
          <cell r="Z165">
            <v>144990</v>
          </cell>
          <cell r="AA165">
            <v>96660</v>
          </cell>
          <cell r="AB165">
            <v>96000</v>
          </cell>
          <cell r="AC165">
            <v>98660</v>
          </cell>
          <cell r="AD165">
            <v>147990</v>
          </cell>
          <cell r="AE165">
            <v>98660</v>
          </cell>
          <cell r="AF165">
            <v>98660</v>
          </cell>
          <cell r="AG165">
            <v>49330</v>
          </cell>
          <cell r="AH165">
            <v>78928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287095.82996943779</v>
          </cell>
          <cell r="AT165">
            <v>287095.82996943779</v>
          </cell>
          <cell r="AU165">
            <v>96660</v>
          </cell>
        </row>
        <row r="166">
          <cell r="B166">
            <v>152</v>
          </cell>
          <cell r="C166">
            <v>3</v>
          </cell>
          <cell r="D166">
            <v>2213335.248093592</v>
          </cell>
          <cell r="E166">
            <v>2213335.248093592</v>
          </cell>
          <cell r="F166">
            <v>1219030</v>
          </cell>
          <cell r="G166">
            <v>1</v>
          </cell>
          <cell r="H166">
            <v>13100</v>
          </cell>
          <cell r="I166">
            <v>192920</v>
          </cell>
          <cell r="J166">
            <v>96660</v>
          </cell>
          <cell r="K166">
            <v>96660</v>
          </cell>
          <cell r="L166">
            <v>96460</v>
          </cell>
          <cell r="M166">
            <v>96460</v>
          </cell>
          <cell r="N166">
            <v>96460</v>
          </cell>
          <cell r="O166">
            <v>96000</v>
          </cell>
          <cell r="P166">
            <v>96660</v>
          </cell>
          <cell r="Q166">
            <v>144990</v>
          </cell>
          <cell r="R166">
            <v>0</v>
          </cell>
          <cell r="S166">
            <v>96000</v>
          </cell>
          <cell r="T166">
            <v>0</v>
          </cell>
          <cell r="U166">
            <v>96660</v>
          </cell>
          <cell r="V166">
            <v>0</v>
          </cell>
          <cell r="W166">
            <v>994305.248093592</v>
          </cell>
          <cell r="Y166">
            <v>48330</v>
          </cell>
          <cell r="Z166">
            <v>0</v>
          </cell>
          <cell r="AA166">
            <v>96660</v>
          </cell>
          <cell r="AB166">
            <v>96000</v>
          </cell>
          <cell r="AC166">
            <v>98660</v>
          </cell>
          <cell r="AD166">
            <v>147990</v>
          </cell>
          <cell r="AE166">
            <v>98660</v>
          </cell>
          <cell r="AF166">
            <v>98660</v>
          </cell>
          <cell r="AG166">
            <v>49330</v>
          </cell>
          <cell r="AH166">
            <v>78928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181087.248093592</v>
          </cell>
          <cell r="AT166">
            <v>181087.248093592</v>
          </cell>
          <cell r="AU166">
            <v>96660</v>
          </cell>
        </row>
        <row r="167">
          <cell r="B167">
            <v>153</v>
          </cell>
          <cell r="C167">
            <v>3</v>
          </cell>
          <cell r="D167">
            <v>2334920.4702746021</v>
          </cell>
          <cell r="E167">
            <v>2334920.4702746021</v>
          </cell>
          <cell r="F167">
            <v>1219030</v>
          </cell>
          <cell r="G167">
            <v>1</v>
          </cell>
          <cell r="H167">
            <v>13100</v>
          </cell>
          <cell r="I167">
            <v>192920</v>
          </cell>
          <cell r="J167">
            <v>96660</v>
          </cell>
          <cell r="K167">
            <v>96660</v>
          </cell>
          <cell r="L167">
            <v>96460</v>
          </cell>
          <cell r="M167">
            <v>96460</v>
          </cell>
          <cell r="N167">
            <v>96460</v>
          </cell>
          <cell r="O167">
            <v>96000</v>
          </cell>
          <cell r="P167">
            <v>96660</v>
          </cell>
          <cell r="Q167">
            <v>144990</v>
          </cell>
          <cell r="R167">
            <v>0</v>
          </cell>
          <cell r="S167">
            <v>96000</v>
          </cell>
          <cell r="T167">
            <v>0</v>
          </cell>
          <cell r="U167">
            <v>96660</v>
          </cell>
          <cell r="V167">
            <v>0</v>
          </cell>
          <cell r="W167">
            <v>1115890.4702746021</v>
          </cell>
          <cell r="Y167">
            <v>48330</v>
          </cell>
          <cell r="Z167">
            <v>0</v>
          </cell>
          <cell r="AA167">
            <v>96660</v>
          </cell>
          <cell r="AB167">
            <v>96000</v>
          </cell>
          <cell r="AC167">
            <v>98660</v>
          </cell>
          <cell r="AD167">
            <v>147990</v>
          </cell>
          <cell r="AE167">
            <v>98660</v>
          </cell>
          <cell r="AF167">
            <v>98660</v>
          </cell>
          <cell r="AG167">
            <v>49330</v>
          </cell>
          <cell r="AH167">
            <v>78928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302672.47027460206</v>
          </cell>
          <cell r="AT167">
            <v>302672.47027460206</v>
          </cell>
          <cell r="AU167">
            <v>96660</v>
          </cell>
        </row>
        <row r="168">
          <cell r="B168">
            <v>154</v>
          </cell>
          <cell r="C168">
            <v>3</v>
          </cell>
          <cell r="D168">
            <v>3026736.7404720597</v>
          </cell>
          <cell r="E168">
            <v>3026736.7404720597</v>
          </cell>
          <cell r="F168">
            <v>1219030</v>
          </cell>
          <cell r="G168">
            <v>1</v>
          </cell>
          <cell r="H168">
            <v>13100</v>
          </cell>
          <cell r="I168">
            <v>192920</v>
          </cell>
          <cell r="J168">
            <v>96660</v>
          </cell>
          <cell r="K168">
            <v>96660</v>
          </cell>
          <cell r="L168">
            <v>96460</v>
          </cell>
          <cell r="M168">
            <v>96460</v>
          </cell>
          <cell r="N168">
            <v>96460</v>
          </cell>
          <cell r="O168">
            <v>96000</v>
          </cell>
          <cell r="P168">
            <v>96660</v>
          </cell>
          <cell r="Q168">
            <v>144990</v>
          </cell>
          <cell r="R168">
            <v>0</v>
          </cell>
          <cell r="S168">
            <v>96000</v>
          </cell>
          <cell r="T168">
            <v>0</v>
          </cell>
          <cell r="U168">
            <v>96660</v>
          </cell>
          <cell r="V168">
            <v>0</v>
          </cell>
          <cell r="W168">
            <v>1807706.7404720597</v>
          </cell>
          <cell r="Y168">
            <v>48330</v>
          </cell>
          <cell r="Z168">
            <v>0</v>
          </cell>
          <cell r="AA168">
            <v>96660</v>
          </cell>
          <cell r="AB168">
            <v>96000</v>
          </cell>
          <cell r="AC168">
            <v>98660</v>
          </cell>
          <cell r="AD168">
            <v>147990</v>
          </cell>
          <cell r="AE168">
            <v>98660</v>
          </cell>
          <cell r="AF168">
            <v>98660</v>
          </cell>
          <cell r="AG168">
            <v>49330</v>
          </cell>
          <cell r="AH168">
            <v>78928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994488.7404720597</v>
          </cell>
          <cell r="AT168">
            <v>994488.7404720597</v>
          </cell>
          <cell r="AU168">
            <v>96660</v>
          </cell>
        </row>
        <row r="169">
          <cell r="B169">
            <v>155</v>
          </cell>
          <cell r="C169">
            <v>3</v>
          </cell>
          <cell r="D169">
            <v>2576830.9848390897</v>
          </cell>
          <cell r="E169">
            <v>2576830.9848390897</v>
          </cell>
          <cell r="F169">
            <v>1219030</v>
          </cell>
          <cell r="G169">
            <v>1</v>
          </cell>
          <cell r="H169">
            <v>13100</v>
          </cell>
          <cell r="I169">
            <v>192920</v>
          </cell>
          <cell r="J169">
            <v>96660</v>
          </cell>
          <cell r="K169">
            <v>96660</v>
          </cell>
          <cell r="L169">
            <v>96460</v>
          </cell>
          <cell r="M169">
            <v>96460</v>
          </cell>
          <cell r="N169">
            <v>96460</v>
          </cell>
          <cell r="O169">
            <v>96000</v>
          </cell>
          <cell r="P169">
            <v>96660</v>
          </cell>
          <cell r="Q169">
            <v>144990</v>
          </cell>
          <cell r="R169">
            <v>0</v>
          </cell>
          <cell r="S169">
            <v>96000</v>
          </cell>
          <cell r="T169">
            <v>0</v>
          </cell>
          <cell r="U169">
            <v>96660</v>
          </cell>
          <cell r="V169">
            <v>0</v>
          </cell>
          <cell r="W169">
            <v>1357800.9848390897</v>
          </cell>
          <cell r="Y169">
            <v>48330</v>
          </cell>
          <cell r="Z169">
            <v>0</v>
          </cell>
          <cell r="AA169">
            <v>96660</v>
          </cell>
          <cell r="AB169">
            <v>96000</v>
          </cell>
          <cell r="AC169">
            <v>98660</v>
          </cell>
          <cell r="AD169">
            <v>147990</v>
          </cell>
          <cell r="AE169">
            <v>98660</v>
          </cell>
          <cell r="AF169">
            <v>98660</v>
          </cell>
          <cell r="AG169">
            <v>49330</v>
          </cell>
          <cell r="AH169">
            <v>78928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544582.98483908968</v>
          </cell>
          <cell r="AT169">
            <v>544582.98483908968</v>
          </cell>
          <cell r="AU169">
            <v>96660</v>
          </cell>
        </row>
        <row r="170">
          <cell r="B170">
            <v>156</v>
          </cell>
          <cell r="C170">
            <v>3</v>
          </cell>
          <cell r="D170">
            <v>2743231.5704760537</v>
          </cell>
          <cell r="E170">
            <v>2743231.5704760537</v>
          </cell>
          <cell r="F170">
            <v>1219030</v>
          </cell>
          <cell r="G170">
            <v>1</v>
          </cell>
          <cell r="H170">
            <v>13100</v>
          </cell>
          <cell r="I170">
            <v>192920</v>
          </cell>
          <cell r="J170">
            <v>96660</v>
          </cell>
          <cell r="K170">
            <v>96660</v>
          </cell>
          <cell r="L170">
            <v>96460</v>
          </cell>
          <cell r="M170">
            <v>96460</v>
          </cell>
          <cell r="N170">
            <v>96460</v>
          </cell>
          <cell r="O170">
            <v>96000</v>
          </cell>
          <cell r="P170">
            <v>96660</v>
          </cell>
          <cell r="Q170">
            <v>144990</v>
          </cell>
          <cell r="R170">
            <v>0</v>
          </cell>
          <cell r="S170">
            <v>96000</v>
          </cell>
          <cell r="T170">
            <v>0</v>
          </cell>
          <cell r="U170">
            <v>96660</v>
          </cell>
          <cell r="V170">
            <v>0</v>
          </cell>
          <cell r="W170">
            <v>1524201.5704760537</v>
          </cell>
          <cell r="Y170">
            <v>48330</v>
          </cell>
          <cell r="Z170">
            <v>0</v>
          </cell>
          <cell r="AA170">
            <v>96660</v>
          </cell>
          <cell r="AB170">
            <v>96000</v>
          </cell>
          <cell r="AC170">
            <v>98660</v>
          </cell>
          <cell r="AD170">
            <v>147990</v>
          </cell>
          <cell r="AE170">
            <v>98660</v>
          </cell>
          <cell r="AF170">
            <v>98660</v>
          </cell>
          <cell r="AG170">
            <v>49330</v>
          </cell>
          <cell r="AH170">
            <v>78928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710983.57047605375</v>
          </cell>
          <cell r="AT170">
            <v>710983.57047605375</v>
          </cell>
          <cell r="AU170">
            <v>96660</v>
          </cell>
        </row>
        <row r="171">
          <cell r="B171">
            <v>157</v>
          </cell>
          <cell r="C171">
            <v>3</v>
          </cell>
          <cell r="D171">
            <v>2120373.9936027881</v>
          </cell>
          <cell r="E171">
            <v>2120373.9936027881</v>
          </cell>
          <cell r="F171">
            <v>1219030</v>
          </cell>
          <cell r="G171">
            <v>1</v>
          </cell>
          <cell r="H171">
            <v>13100</v>
          </cell>
          <cell r="I171">
            <v>192920</v>
          </cell>
          <cell r="J171">
            <v>96660</v>
          </cell>
          <cell r="K171">
            <v>96660</v>
          </cell>
          <cell r="L171">
            <v>96460</v>
          </cell>
          <cell r="M171">
            <v>96460</v>
          </cell>
          <cell r="N171">
            <v>96460</v>
          </cell>
          <cell r="O171">
            <v>96000</v>
          </cell>
          <cell r="P171">
            <v>96660</v>
          </cell>
          <cell r="Q171">
            <v>144990</v>
          </cell>
          <cell r="R171">
            <v>0</v>
          </cell>
          <cell r="S171">
            <v>96000</v>
          </cell>
          <cell r="T171">
            <v>0</v>
          </cell>
          <cell r="U171">
            <v>96660</v>
          </cell>
          <cell r="V171">
            <v>0</v>
          </cell>
          <cell r="W171">
            <v>901343.99360278808</v>
          </cell>
          <cell r="Y171">
            <v>48330</v>
          </cell>
          <cell r="Z171">
            <v>0</v>
          </cell>
          <cell r="AA171">
            <v>96660</v>
          </cell>
          <cell r="AB171">
            <v>96000</v>
          </cell>
          <cell r="AC171">
            <v>98660</v>
          </cell>
          <cell r="AD171">
            <v>147990</v>
          </cell>
          <cell r="AE171">
            <v>98660</v>
          </cell>
          <cell r="AF171">
            <v>98660</v>
          </cell>
          <cell r="AG171">
            <v>49330</v>
          </cell>
          <cell r="AH171">
            <v>78928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88125.993602788076</v>
          </cell>
          <cell r="AT171">
            <v>88125.993602788076</v>
          </cell>
          <cell r="AU171">
            <v>88125.993602788076</v>
          </cell>
        </row>
        <row r="172">
          <cell r="B172">
            <v>158</v>
          </cell>
          <cell r="C172">
            <v>3</v>
          </cell>
          <cell r="D172">
            <v>1756149.45435951</v>
          </cell>
          <cell r="E172">
            <v>1756149.45435951</v>
          </cell>
          <cell r="F172">
            <v>1219030</v>
          </cell>
          <cell r="G172">
            <v>1</v>
          </cell>
          <cell r="H172">
            <v>13100</v>
          </cell>
          <cell r="I172">
            <v>192920</v>
          </cell>
          <cell r="J172">
            <v>96660</v>
          </cell>
          <cell r="K172">
            <v>96660</v>
          </cell>
          <cell r="L172">
            <v>96460</v>
          </cell>
          <cell r="M172">
            <v>96460</v>
          </cell>
          <cell r="N172">
            <v>96460</v>
          </cell>
          <cell r="O172">
            <v>96000</v>
          </cell>
          <cell r="P172">
            <v>96660</v>
          </cell>
          <cell r="Q172">
            <v>144990</v>
          </cell>
          <cell r="R172">
            <v>0</v>
          </cell>
          <cell r="S172">
            <v>96000</v>
          </cell>
          <cell r="T172">
            <v>0</v>
          </cell>
          <cell r="U172">
            <v>96660</v>
          </cell>
          <cell r="V172">
            <v>0</v>
          </cell>
          <cell r="W172">
            <v>537119.45435950998</v>
          </cell>
          <cell r="Y172">
            <v>48330</v>
          </cell>
          <cell r="Z172">
            <v>0</v>
          </cell>
          <cell r="AA172">
            <v>96660</v>
          </cell>
          <cell r="AB172">
            <v>96000</v>
          </cell>
          <cell r="AC172">
            <v>98660</v>
          </cell>
          <cell r="AD172">
            <v>147990</v>
          </cell>
          <cell r="AE172">
            <v>49479.454359509982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</row>
        <row r="173">
          <cell r="B173">
            <v>159</v>
          </cell>
          <cell r="C173">
            <v>3</v>
          </cell>
          <cell r="D173">
            <v>1683452.902745334</v>
          </cell>
          <cell r="E173">
            <v>1683452.902745334</v>
          </cell>
          <cell r="F173">
            <v>1219030</v>
          </cell>
          <cell r="G173">
            <v>1</v>
          </cell>
          <cell r="H173">
            <v>13100</v>
          </cell>
          <cell r="I173">
            <v>192920</v>
          </cell>
          <cell r="J173">
            <v>96660</v>
          </cell>
          <cell r="K173">
            <v>96660</v>
          </cell>
          <cell r="L173">
            <v>96460</v>
          </cell>
          <cell r="M173">
            <v>96460</v>
          </cell>
          <cell r="N173">
            <v>96460</v>
          </cell>
          <cell r="O173">
            <v>96000</v>
          </cell>
          <cell r="P173">
            <v>96660</v>
          </cell>
          <cell r="Q173">
            <v>144990</v>
          </cell>
          <cell r="R173">
            <v>0</v>
          </cell>
          <cell r="S173">
            <v>96000</v>
          </cell>
          <cell r="T173">
            <v>0</v>
          </cell>
          <cell r="U173">
            <v>96660</v>
          </cell>
          <cell r="V173">
            <v>0</v>
          </cell>
          <cell r="W173">
            <v>464422.90274533397</v>
          </cell>
          <cell r="Y173">
            <v>48330</v>
          </cell>
          <cell r="Z173">
            <v>0</v>
          </cell>
          <cell r="AA173">
            <v>96660</v>
          </cell>
          <cell r="AB173">
            <v>96000</v>
          </cell>
          <cell r="AC173">
            <v>98660</v>
          </cell>
          <cell r="AD173">
            <v>124772.90274533397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</row>
        <row r="174">
          <cell r="B174">
            <v>160</v>
          </cell>
          <cell r="C174">
            <v>3</v>
          </cell>
          <cell r="D174">
            <v>2029425.43203736</v>
          </cell>
          <cell r="E174">
            <v>2029425.43203736</v>
          </cell>
          <cell r="F174">
            <v>1219030</v>
          </cell>
          <cell r="G174">
            <v>1</v>
          </cell>
          <cell r="H174">
            <v>13100</v>
          </cell>
          <cell r="I174">
            <v>192920</v>
          </cell>
          <cell r="J174">
            <v>96660</v>
          </cell>
          <cell r="K174">
            <v>96660</v>
          </cell>
          <cell r="L174">
            <v>96460</v>
          </cell>
          <cell r="M174">
            <v>96460</v>
          </cell>
          <cell r="N174">
            <v>96460</v>
          </cell>
          <cell r="O174">
            <v>96000</v>
          </cell>
          <cell r="P174">
            <v>96660</v>
          </cell>
          <cell r="Q174">
            <v>144990</v>
          </cell>
          <cell r="R174">
            <v>0</v>
          </cell>
          <cell r="S174">
            <v>96000</v>
          </cell>
          <cell r="T174">
            <v>0</v>
          </cell>
          <cell r="U174">
            <v>96660</v>
          </cell>
          <cell r="V174">
            <v>0</v>
          </cell>
          <cell r="W174">
            <v>810395.43203736003</v>
          </cell>
          <cell r="Y174">
            <v>48330</v>
          </cell>
          <cell r="Z174">
            <v>0</v>
          </cell>
          <cell r="AA174">
            <v>96660</v>
          </cell>
          <cell r="AB174">
            <v>96000</v>
          </cell>
          <cell r="AC174">
            <v>98660</v>
          </cell>
          <cell r="AD174">
            <v>147990</v>
          </cell>
          <cell r="AE174">
            <v>98660</v>
          </cell>
          <cell r="AF174">
            <v>98660</v>
          </cell>
          <cell r="AG174">
            <v>49330</v>
          </cell>
          <cell r="AH174">
            <v>76105.432037360035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</row>
        <row r="175">
          <cell r="B175">
            <v>161</v>
          </cell>
          <cell r="C175">
            <v>3</v>
          </cell>
          <cell r="D175">
            <v>2029425.43203736</v>
          </cell>
          <cell r="E175">
            <v>2029425.43203736</v>
          </cell>
          <cell r="F175">
            <v>1219030</v>
          </cell>
          <cell r="G175">
            <v>1</v>
          </cell>
          <cell r="H175">
            <v>13100</v>
          </cell>
          <cell r="I175">
            <v>192920</v>
          </cell>
          <cell r="J175">
            <v>96660</v>
          </cell>
          <cell r="K175">
            <v>96660</v>
          </cell>
          <cell r="L175">
            <v>96460</v>
          </cell>
          <cell r="M175">
            <v>96460</v>
          </cell>
          <cell r="N175">
            <v>96460</v>
          </cell>
          <cell r="O175">
            <v>96000</v>
          </cell>
          <cell r="P175">
            <v>96660</v>
          </cell>
          <cell r="Q175">
            <v>144990</v>
          </cell>
          <cell r="R175">
            <v>0</v>
          </cell>
          <cell r="S175">
            <v>96000</v>
          </cell>
          <cell r="T175">
            <v>0</v>
          </cell>
          <cell r="U175">
            <v>96660</v>
          </cell>
          <cell r="V175">
            <v>0</v>
          </cell>
          <cell r="W175">
            <v>810395.43203736003</v>
          </cell>
          <cell r="Y175">
            <v>48330</v>
          </cell>
          <cell r="Z175">
            <v>0</v>
          </cell>
          <cell r="AA175">
            <v>96660</v>
          </cell>
          <cell r="AB175">
            <v>96000</v>
          </cell>
          <cell r="AC175">
            <v>98660</v>
          </cell>
          <cell r="AD175">
            <v>147990</v>
          </cell>
          <cell r="AE175">
            <v>98660</v>
          </cell>
          <cell r="AF175">
            <v>98660</v>
          </cell>
          <cell r="AG175">
            <v>49330</v>
          </cell>
          <cell r="AH175">
            <v>76105.432037360035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6">
          <cell r="B176">
            <v>162</v>
          </cell>
          <cell r="C176">
            <v>3</v>
          </cell>
          <cell r="D176">
            <v>2029425.43203736</v>
          </cell>
          <cell r="E176">
            <v>2029425.43203736</v>
          </cell>
          <cell r="F176">
            <v>1219030</v>
          </cell>
          <cell r="G176">
            <v>1</v>
          </cell>
          <cell r="H176">
            <v>13100</v>
          </cell>
          <cell r="I176">
            <v>192920</v>
          </cell>
          <cell r="J176">
            <v>96660</v>
          </cell>
          <cell r="K176">
            <v>96660</v>
          </cell>
          <cell r="L176">
            <v>96460</v>
          </cell>
          <cell r="M176">
            <v>96460</v>
          </cell>
          <cell r="N176">
            <v>96460</v>
          </cell>
          <cell r="O176">
            <v>96000</v>
          </cell>
          <cell r="P176">
            <v>96660</v>
          </cell>
          <cell r="Q176">
            <v>144990</v>
          </cell>
          <cell r="R176">
            <v>0</v>
          </cell>
          <cell r="S176">
            <v>96000</v>
          </cell>
          <cell r="T176">
            <v>0</v>
          </cell>
          <cell r="U176">
            <v>96660</v>
          </cell>
          <cell r="V176">
            <v>0</v>
          </cell>
          <cell r="W176">
            <v>810395.43203736003</v>
          </cell>
          <cell r="Y176">
            <v>48330</v>
          </cell>
          <cell r="Z176">
            <v>0</v>
          </cell>
          <cell r="AA176">
            <v>96660</v>
          </cell>
          <cell r="AB176">
            <v>96000</v>
          </cell>
          <cell r="AC176">
            <v>98660</v>
          </cell>
          <cell r="AD176">
            <v>147990</v>
          </cell>
          <cell r="AE176">
            <v>98660</v>
          </cell>
          <cell r="AF176">
            <v>98660</v>
          </cell>
          <cell r="AG176">
            <v>49330</v>
          </cell>
          <cell r="AH176">
            <v>76105.432037360035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</row>
        <row r="177">
          <cell r="B177">
            <v>163</v>
          </cell>
          <cell r="C177">
            <v>3</v>
          </cell>
          <cell r="D177">
            <v>2029425.43203736</v>
          </cell>
          <cell r="E177">
            <v>2029425.43203736</v>
          </cell>
          <cell r="F177">
            <v>1219030</v>
          </cell>
          <cell r="G177">
            <v>1</v>
          </cell>
          <cell r="H177">
            <v>13100</v>
          </cell>
          <cell r="I177">
            <v>192920</v>
          </cell>
          <cell r="J177">
            <v>96660</v>
          </cell>
          <cell r="K177">
            <v>96660</v>
          </cell>
          <cell r="L177">
            <v>96460</v>
          </cell>
          <cell r="M177">
            <v>96460</v>
          </cell>
          <cell r="N177">
            <v>96460</v>
          </cell>
          <cell r="O177">
            <v>96000</v>
          </cell>
          <cell r="P177">
            <v>96660</v>
          </cell>
          <cell r="Q177">
            <v>144990</v>
          </cell>
          <cell r="R177">
            <v>0</v>
          </cell>
          <cell r="S177">
            <v>96000</v>
          </cell>
          <cell r="T177">
            <v>0</v>
          </cell>
          <cell r="U177">
            <v>96660</v>
          </cell>
          <cell r="V177">
            <v>0</v>
          </cell>
          <cell r="W177">
            <v>810395.43203736003</v>
          </cell>
          <cell r="Y177">
            <v>48330</v>
          </cell>
          <cell r="Z177">
            <v>0</v>
          </cell>
          <cell r="AA177">
            <v>96660</v>
          </cell>
          <cell r="AB177">
            <v>96000</v>
          </cell>
          <cell r="AC177">
            <v>98660</v>
          </cell>
          <cell r="AD177">
            <v>147990</v>
          </cell>
          <cell r="AE177">
            <v>98660</v>
          </cell>
          <cell r="AF177">
            <v>98660</v>
          </cell>
          <cell r="AG177">
            <v>49330</v>
          </cell>
          <cell r="AH177">
            <v>76105.432037360035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78">
          <cell r="B178">
            <v>164</v>
          </cell>
          <cell r="C178">
            <v>3</v>
          </cell>
          <cell r="D178">
            <v>2001204.8016198978</v>
          </cell>
          <cell r="E178">
            <v>2001204.8016198978</v>
          </cell>
          <cell r="F178">
            <v>1219030</v>
          </cell>
          <cell r="G178">
            <v>1</v>
          </cell>
          <cell r="H178">
            <v>13100</v>
          </cell>
          <cell r="I178">
            <v>192920</v>
          </cell>
          <cell r="J178">
            <v>96660</v>
          </cell>
          <cell r="K178">
            <v>96660</v>
          </cell>
          <cell r="L178">
            <v>96460</v>
          </cell>
          <cell r="M178">
            <v>96460</v>
          </cell>
          <cell r="N178">
            <v>96460</v>
          </cell>
          <cell r="O178">
            <v>96000</v>
          </cell>
          <cell r="P178">
            <v>96660</v>
          </cell>
          <cell r="Q178">
            <v>144990</v>
          </cell>
          <cell r="R178">
            <v>0</v>
          </cell>
          <cell r="S178">
            <v>96000</v>
          </cell>
          <cell r="T178">
            <v>0</v>
          </cell>
          <cell r="U178">
            <v>96660</v>
          </cell>
          <cell r="V178">
            <v>0</v>
          </cell>
          <cell r="W178">
            <v>782174.80161989783</v>
          </cell>
          <cell r="Y178">
            <v>48330</v>
          </cell>
          <cell r="Z178">
            <v>0</v>
          </cell>
          <cell r="AA178">
            <v>96660</v>
          </cell>
          <cell r="AB178">
            <v>96000</v>
          </cell>
          <cell r="AC178">
            <v>98660</v>
          </cell>
          <cell r="AD178">
            <v>147990</v>
          </cell>
          <cell r="AE178">
            <v>98660</v>
          </cell>
          <cell r="AF178">
            <v>98660</v>
          </cell>
          <cell r="AG178">
            <v>49330</v>
          </cell>
          <cell r="AH178">
            <v>47884.801619897829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</row>
        <row r="179">
          <cell r="B179">
            <v>165</v>
          </cell>
          <cell r="C179">
            <v>3</v>
          </cell>
          <cell r="D179">
            <v>1855854.627853744</v>
          </cell>
          <cell r="E179">
            <v>1855854.627853744</v>
          </cell>
          <cell r="F179">
            <v>1219030</v>
          </cell>
          <cell r="G179">
            <v>1</v>
          </cell>
          <cell r="H179">
            <v>13100</v>
          </cell>
          <cell r="I179">
            <v>192920</v>
          </cell>
          <cell r="J179">
            <v>96660</v>
          </cell>
          <cell r="K179">
            <v>96660</v>
          </cell>
          <cell r="L179">
            <v>96460</v>
          </cell>
          <cell r="M179">
            <v>96460</v>
          </cell>
          <cell r="N179">
            <v>96460</v>
          </cell>
          <cell r="O179">
            <v>96000</v>
          </cell>
          <cell r="P179">
            <v>96660</v>
          </cell>
          <cell r="Q179">
            <v>144990</v>
          </cell>
          <cell r="R179">
            <v>0</v>
          </cell>
          <cell r="S179">
            <v>96000</v>
          </cell>
          <cell r="T179">
            <v>0</v>
          </cell>
          <cell r="U179">
            <v>96660</v>
          </cell>
          <cell r="V179">
            <v>0</v>
          </cell>
          <cell r="W179">
            <v>636824.62785374396</v>
          </cell>
          <cell r="Y179">
            <v>48330</v>
          </cell>
          <cell r="Z179">
            <v>0</v>
          </cell>
          <cell r="AA179">
            <v>96660</v>
          </cell>
          <cell r="AB179">
            <v>96000</v>
          </cell>
          <cell r="AC179">
            <v>98660</v>
          </cell>
          <cell r="AD179">
            <v>147990</v>
          </cell>
          <cell r="AE179">
            <v>98660</v>
          </cell>
          <cell r="AF179">
            <v>50524.627853743965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B180">
            <v>166</v>
          </cell>
          <cell r="C180">
            <v>3</v>
          </cell>
          <cell r="D180">
            <v>2029425.43203736</v>
          </cell>
          <cell r="E180">
            <v>2029425.43203736</v>
          </cell>
          <cell r="F180">
            <v>1219030</v>
          </cell>
          <cell r="G180">
            <v>1</v>
          </cell>
          <cell r="H180">
            <v>13100</v>
          </cell>
          <cell r="I180">
            <v>192920</v>
          </cell>
          <cell r="J180">
            <v>96660</v>
          </cell>
          <cell r="K180">
            <v>96660</v>
          </cell>
          <cell r="L180">
            <v>96460</v>
          </cell>
          <cell r="M180">
            <v>96460</v>
          </cell>
          <cell r="N180">
            <v>96460</v>
          </cell>
          <cell r="O180">
            <v>96000</v>
          </cell>
          <cell r="P180">
            <v>96660</v>
          </cell>
          <cell r="Q180">
            <v>144990</v>
          </cell>
          <cell r="R180">
            <v>0</v>
          </cell>
          <cell r="S180">
            <v>96000</v>
          </cell>
          <cell r="T180">
            <v>0</v>
          </cell>
          <cell r="U180">
            <v>96660</v>
          </cell>
          <cell r="V180">
            <v>0</v>
          </cell>
          <cell r="W180">
            <v>810395.43203736003</v>
          </cell>
          <cell r="Y180">
            <v>48330</v>
          </cell>
          <cell r="Z180">
            <v>0</v>
          </cell>
          <cell r="AA180">
            <v>96660</v>
          </cell>
          <cell r="AB180">
            <v>96000</v>
          </cell>
          <cell r="AC180">
            <v>98660</v>
          </cell>
          <cell r="AD180">
            <v>147990</v>
          </cell>
          <cell r="AE180">
            <v>98660</v>
          </cell>
          <cell r="AF180">
            <v>98660</v>
          </cell>
          <cell r="AG180">
            <v>49330</v>
          </cell>
          <cell r="AH180">
            <v>76105.432037360035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1">
          <cell r="B181">
            <v>167</v>
          </cell>
          <cell r="C181">
            <v>3</v>
          </cell>
          <cell r="D181">
            <v>1988255.0794298919</v>
          </cell>
          <cell r="E181">
            <v>1988255.0794298919</v>
          </cell>
          <cell r="F181">
            <v>1219030</v>
          </cell>
          <cell r="G181">
            <v>1</v>
          </cell>
          <cell r="H181">
            <v>13100</v>
          </cell>
          <cell r="I181">
            <v>192920</v>
          </cell>
          <cell r="J181">
            <v>96660</v>
          </cell>
          <cell r="K181">
            <v>96660</v>
          </cell>
          <cell r="L181">
            <v>96460</v>
          </cell>
          <cell r="M181">
            <v>96460</v>
          </cell>
          <cell r="N181">
            <v>96460</v>
          </cell>
          <cell r="O181">
            <v>96000</v>
          </cell>
          <cell r="P181">
            <v>96660</v>
          </cell>
          <cell r="Q181">
            <v>144990</v>
          </cell>
          <cell r="R181">
            <v>0</v>
          </cell>
          <cell r="S181">
            <v>96000</v>
          </cell>
          <cell r="T181">
            <v>0</v>
          </cell>
          <cell r="U181">
            <v>96660</v>
          </cell>
          <cell r="V181">
            <v>0</v>
          </cell>
          <cell r="W181">
            <v>769225.07942989189</v>
          </cell>
          <cell r="Y181">
            <v>48330</v>
          </cell>
          <cell r="Z181">
            <v>0</v>
          </cell>
          <cell r="AA181">
            <v>96660</v>
          </cell>
          <cell r="AB181">
            <v>96000</v>
          </cell>
          <cell r="AC181">
            <v>98660</v>
          </cell>
          <cell r="AD181">
            <v>147990</v>
          </cell>
          <cell r="AE181">
            <v>98660</v>
          </cell>
          <cell r="AF181">
            <v>98660</v>
          </cell>
          <cell r="AG181">
            <v>49330</v>
          </cell>
          <cell r="AH181">
            <v>34935.079429891892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</row>
        <row r="182">
          <cell r="B182">
            <v>168</v>
          </cell>
          <cell r="C182">
            <v>3</v>
          </cell>
          <cell r="D182">
            <v>1874718.6322312139</v>
          </cell>
          <cell r="E182">
            <v>1874718.6322312139</v>
          </cell>
          <cell r="F182">
            <v>1219030</v>
          </cell>
          <cell r="G182">
            <v>1</v>
          </cell>
          <cell r="H182">
            <v>13100</v>
          </cell>
          <cell r="I182">
            <v>192920</v>
          </cell>
          <cell r="J182">
            <v>96660</v>
          </cell>
          <cell r="K182">
            <v>96660</v>
          </cell>
          <cell r="L182">
            <v>96460</v>
          </cell>
          <cell r="M182">
            <v>96460</v>
          </cell>
          <cell r="N182">
            <v>96460</v>
          </cell>
          <cell r="O182">
            <v>96000</v>
          </cell>
          <cell r="P182">
            <v>96660</v>
          </cell>
          <cell r="Q182">
            <v>144990</v>
          </cell>
          <cell r="R182">
            <v>0</v>
          </cell>
          <cell r="S182">
            <v>96000</v>
          </cell>
          <cell r="T182">
            <v>0</v>
          </cell>
          <cell r="U182">
            <v>96660</v>
          </cell>
          <cell r="V182">
            <v>0</v>
          </cell>
          <cell r="W182">
            <v>655688.63223121385</v>
          </cell>
          <cell r="Y182">
            <v>48330</v>
          </cell>
          <cell r="Z182">
            <v>0</v>
          </cell>
          <cell r="AA182">
            <v>96660</v>
          </cell>
          <cell r="AB182">
            <v>96000</v>
          </cell>
          <cell r="AC182">
            <v>98660</v>
          </cell>
          <cell r="AD182">
            <v>147990</v>
          </cell>
          <cell r="AE182">
            <v>98660</v>
          </cell>
          <cell r="AF182">
            <v>69388.632231213851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</row>
        <row r="183">
          <cell r="B183">
            <v>169</v>
          </cell>
          <cell r="C183">
            <v>3</v>
          </cell>
          <cell r="D183">
            <v>2029425.43203736</v>
          </cell>
          <cell r="E183">
            <v>2029425.43203736</v>
          </cell>
          <cell r="F183">
            <v>1219030</v>
          </cell>
          <cell r="G183">
            <v>1</v>
          </cell>
          <cell r="H183">
            <v>13100</v>
          </cell>
          <cell r="I183">
            <v>192920</v>
          </cell>
          <cell r="J183">
            <v>96660</v>
          </cell>
          <cell r="K183">
            <v>96660</v>
          </cell>
          <cell r="L183">
            <v>96460</v>
          </cell>
          <cell r="M183">
            <v>96460</v>
          </cell>
          <cell r="N183">
            <v>96460</v>
          </cell>
          <cell r="O183">
            <v>96000</v>
          </cell>
          <cell r="P183">
            <v>96660</v>
          </cell>
          <cell r="Q183">
            <v>144990</v>
          </cell>
          <cell r="R183">
            <v>0</v>
          </cell>
          <cell r="S183">
            <v>96000</v>
          </cell>
          <cell r="T183">
            <v>0</v>
          </cell>
          <cell r="U183">
            <v>96660</v>
          </cell>
          <cell r="V183">
            <v>0</v>
          </cell>
          <cell r="W183">
            <v>810395.43203736003</v>
          </cell>
          <cell r="Y183">
            <v>48330</v>
          </cell>
          <cell r="Z183">
            <v>0</v>
          </cell>
          <cell r="AA183">
            <v>96660</v>
          </cell>
          <cell r="AB183">
            <v>96000</v>
          </cell>
          <cell r="AC183">
            <v>98660</v>
          </cell>
          <cell r="AD183">
            <v>147990</v>
          </cell>
          <cell r="AE183">
            <v>98660</v>
          </cell>
          <cell r="AF183">
            <v>98660</v>
          </cell>
          <cell r="AG183">
            <v>49330</v>
          </cell>
          <cell r="AH183">
            <v>76105.432037360035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</row>
        <row r="184">
          <cell r="B184">
            <v>170</v>
          </cell>
          <cell r="C184">
            <v>3</v>
          </cell>
          <cell r="D184">
            <v>2029425.43203736</v>
          </cell>
          <cell r="E184">
            <v>2029425.43203736</v>
          </cell>
          <cell r="F184">
            <v>1219030</v>
          </cell>
          <cell r="G184">
            <v>1</v>
          </cell>
          <cell r="H184">
            <v>13100</v>
          </cell>
          <cell r="I184">
            <v>192920</v>
          </cell>
          <cell r="J184">
            <v>96660</v>
          </cell>
          <cell r="K184">
            <v>96660</v>
          </cell>
          <cell r="L184">
            <v>96460</v>
          </cell>
          <cell r="M184">
            <v>96460</v>
          </cell>
          <cell r="N184">
            <v>96460</v>
          </cell>
          <cell r="O184">
            <v>96000</v>
          </cell>
          <cell r="P184">
            <v>96660</v>
          </cell>
          <cell r="Q184">
            <v>144990</v>
          </cell>
          <cell r="R184">
            <v>0</v>
          </cell>
          <cell r="S184">
            <v>96000</v>
          </cell>
          <cell r="T184">
            <v>0</v>
          </cell>
          <cell r="U184">
            <v>96660</v>
          </cell>
          <cell r="V184">
            <v>0</v>
          </cell>
          <cell r="W184">
            <v>810395.43203736003</v>
          </cell>
          <cell r="Y184">
            <v>48330</v>
          </cell>
          <cell r="Z184">
            <v>0</v>
          </cell>
          <cell r="AA184">
            <v>96660</v>
          </cell>
          <cell r="AB184">
            <v>96000</v>
          </cell>
          <cell r="AC184">
            <v>98660</v>
          </cell>
          <cell r="AD184">
            <v>147990</v>
          </cell>
          <cell r="AE184">
            <v>98660</v>
          </cell>
          <cell r="AF184">
            <v>98660</v>
          </cell>
          <cell r="AG184">
            <v>49330</v>
          </cell>
          <cell r="AH184">
            <v>76105.432037360035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</row>
        <row r="185">
          <cell r="B185">
            <v>171</v>
          </cell>
          <cell r="C185">
            <v>3</v>
          </cell>
          <cell r="D185">
            <v>1826809.352418246</v>
          </cell>
          <cell r="E185">
            <v>1826809.352418246</v>
          </cell>
          <cell r="F185">
            <v>1219030</v>
          </cell>
          <cell r="G185">
            <v>1</v>
          </cell>
          <cell r="H185">
            <v>13100</v>
          </cell>
          <cell r="I185">
            <v>192920</v>
          </cell>
          <cell r="J185">
            <v>96660</v>
          </cell>
          <cell r="K185">
            <v>96660</v>
          </cell>
          <cell r="L185">
            <v>96460</v>
          </cell>
          <cell r="M185">
            <v>96460</v>
          </cell>
          <cell r="N185">
            <v>96460</v>
          </cell>
          <cell r="O185">
            <v>96000</v>
          </cell>
          <cell r="P185">
            <v>96660</v>
          </cell>
          <cell r="Q185">
            <v>144990</v>
          </cell>
          <cell r="R185">
            <v>0</v>
          </cell>
          <cell r="S185">
            <v>96000</v>
          </cell>
          <cell r="T185">
            <v>0</v>
          </cell>
          <cell r="U185">
            <v>96660</v>
          </cell>
          <cell r="V185">
            <v>0</v>
          </cell>
          <cell r="W185">
            <v>607779.35241824598</v>
          </cell>
          <cell r="Y185">
            <v>48330</v>
          </cell>
          <cell r="Z185">
            <v>0</v>
          </cell>
          <cell r="AA185">
            <v>96660</v>
          </cell>
          <cell r="AB185">
            <v>96000</v>
          </cell>
          <cell r="AC185">
            <v>98660</v>
          </cell>
          <cell r="AD185">
            <v>147990</v>
          </cell>
          <cell r="AE185">
            <v>98660</v>
          </cell>
          <cell r="AF185">
            <v>21479.352418245981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</row>
        <row r="186">
          <cell r="B186">
            <v>172</v>
          </cell>
          <cell r="C186">
            <v>3</v>
          </cell>
          <cell r="D186">
            <v>1367962.28833306</v>
          </cell>
          <cell r="E186">
            <v>1367962.28833306</v>
          </cell>
          <cell r="F186">
            <v>1219030</v>
          </cell>
          <cell r="G186">
            <v>1</v>
          </cell>
          <cell r="H186">
            <v>13100</v>
          </cell>
          <cell r="I186">
            <v>192920</v>
          </cell>
          <cell r="J186">
            <v>96660</v>
          </cell>
          <cell r="K186">
            <v>96660</v>
          </cell>
          <cell r="L186">
            <v>96460</v>
          </cell>
          <cell r="M186">
            <v>96460</v>
          </cell>
          <cell r="N186">
            <v>96460</v>
          </cell>
          <cell r="O186">
            <v>96000</v>
          </cell>
          <cell r="P186">
            <v>96660</v>
          </cell>
          <cell r="Q186">
            <v>144990</v>
          </cell>
          <cell r="R186">
            <v>0</v>
          </cell>
          <cell r="S186">
            <v>96000</v>
          </cell>
          <cell r="T186">
            <v>0</v>
          </cell>
          <cell r="U186">
            <v>96660</v>
          </cell>
          <cell r="V186">
            <v>0</v>
          </cell>
          <cell r="W186">
            <v>148932.28833305999</v>
          </cell>
          <cell r="Y186">
            <v>48330</v>
          </cell>
          <cell r="Z186">
            <v>0</v>
          </cell>
          <cell r="AA186">
            <v>96660</v>
          </cell>
          <cell r="AB186">
            <v>3942.2883330599871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</row>
        <row r="187">
          <cell r="B187">
            <v>173</v>
          </cell>
          <cell r="C187">
            <v>3</v>
          </cell>
          <cell r="D187">
            <v>1371886.8398656261</v>
          </cell>
          <cell r="E187">
            <v>1371886.8398656261</v>
          </cell>
          <cell r="F187">
            <v>1219030</v>
          </cell>
          <cell r="G187">
            <v>1</v>
          </cell>
          <cell r="H187">
            <v>13100</v>
          </cell>
          <cell r="I187">
            <v>192920</v>
          </cell>
          <cell r="J187">
            <v>96660</v>
          </cell>
          <cell r="K187">
            <v>96660</v>
          </cell>
          <cell r="L187">
            <v>96460</v>
          </cell>
          <cell r="M187">
            <v>96460</v>
          </cell>
          <cell r="N187">
            <v>96460</v>
          </cell>
          <cell r="O187">
            <v>96000</v>
          </cell>
          <cell r="P187">
            <v>96660</v>
          </cell>
          <cell r="Q187">
            <v>144990</v>
          </cell>
          <cell r="R187">
            <v>0</v>
          </cell>
          <cell r="S187">
            <v>96000</v>
          </cell>
          <cell r="T187">
            <v>0</v>
          </cell>
          <cell r="U187">
            <v>96660</v>
          </cell>
          <cell r="V187">
            <v>0</v>
          </cell>
          <cell r="W187">
            <v>152856.83986562607</v>
          </cell>
          <cell r="Y187">
            <v>48330</v>
          </cell>
          <cell r="Z187">
            <v>0</v>
          </cell>
          <cell r="AA187">
            <v>96660</v>
          </cell>
          <cell r="AB187">
            <v>7866.8398656260688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</row>
        <row r="188">
          <cell r="B188">
            <v>174</v>
          </cell>
          <cell r="C188">
            <v>3</v>
          </cell>
          <cell r="D188">
            <v>1555675.854411952</v>
          </cell>
          <cell r="E188">
            <v>1555675.854411952</v>
          </cell>
          <cell r="F188">
            <v>1219030</v>
          </cell>
          <cell r="G188">
            <v>1</v>
          </cell>
          <cell r="H188">
            <v>13100</v>
          </cell>
          <cell r="I188">
            <v>192920</v>
          </cell>
          <cell r="J188">
            <v>96660</v>
          </cell>
          <cell r="K188">
            <v>96660</v>
          </cell>
          <cell r="L188">
            <v>96460</v>
          </cell>
          <cell r="M188">
            <v>96460</v>
          </cell>
          <cell r="N188">
            <v>96460</v>
          </cell>
          <cell r="O188">
            <v>96000</v>
          </cell>
          <cell r="P188">
            <v>96660</v>
          </cell>
          <cell r="Q188">
            <v>144990</v>
          </cell>
          <cell r="R188">
            <v>0</v>
          </cell>
          <cell r="S188">
            <v>96000</v>
          </cell>
          <cell r="T188">
            <v>0</v>
          </cell>
          <cell r="U188">
            <v>96660</v>
          </cell>
          <cell r="V188">
            <v>0</v>
          </cell>
          <cell r="W188">
            <v>336645.85441195196</v>
          </cell>
          <cell r="Y188">
            <v>48330</v>
          </cell>
          <cell r="Z188">
            <v>0</v>
          </cell>
          <cell r="AA188">
            <v>96660</v>
          </cell>
          <cell r="AB188">
            <v>96000</v>
          </cell>
          <cell r="AC188">
            <v>95655.854411951965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</row>
        <row r="189">
          <cell r="B189">
            <v>175</v>
          </cell>
          <cell r="C189">
            <v>3</v>
          </cell>
          <cell r="D189">
            <v>2029425.43203736</v>
          </cell>
          <cell r="E189">
            <v>2029425.43203736</v>
          </cell>
          <cell r="F189">
            <v>1219030</v>
          </cell>
          <cell r="G189">
            <v>1</v>
          </cell>
          <cell r="H189">
            <v>13100</v>
          </cell>
          <cell r="I189">
            <v>192920</v>
          </cell>
          <cell r="J189">
            <v>96660</v>
          </cell>
          <cell r="K189">
            <v>96660</v>
          </cell>
          <cell r="L189">
            <v>96460</v>
          </cell>
          <cell r="M189">
            <v>96460</v>
          </cell>
          <cell r="N189">
            <v>96460</v>
          </cell>
          <cell r="O189">
            <v>96000</v>
          </cell>
          <cell r="P189">
            <v>96660</v>
          </cell>
          <cell r="Q189">
            <v>144990</v>
          </cell>
          <cell r="R189">
            <v>0</v>
          </cell>
          <cell r="S189">
            <v>96000</v>
          </cell>
          <cell r="T189">
            <v>0</v>
          </cell>
          <cell r="U189">
            <v>96660</v>
          </cell>
          <cell r="V189">
            <v>0</v>
          </cell>
          <cell r="W189">
            <v>810395.43203736003</v>
          </cell>
          <cell r="Y189">
            <v>48330</v>
          </cell>
          <cell r="Z189">
            <v>0</v>
          </cell>
          <cell r="AA189">
            <v>96660</v>
          </cell>
          <cell r="AB189">
            <v>96000</v>
          </cell>
          <cell r="AC189">
            <v>98660</v>
          </cell>
          <cell r="AD189">
            <v>147990</v>
          </cell>
          <cell r="AE189">
            <v>98660</v>
          </cell>
          <cell r="AF189">
            <v>98660</v>
          </cell>
          <cell r="AG189">
            <v>49330</v>
          </cell>
          <cell r="AH189">
            <v>76105.432037360035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</row>
        <row r="190">
          <cell r="B190">
            <v>176</v>
          </cell>
          <cell r="C190">
            <v>3</v>
          </cell>
          <cell r="D190">
            <v>2029425.43203736</v>
          </cell>
          <cell r="E190">
            <v>2029425.43203736</v>
          </cell>
          <cell r="F190">
            <v>1219030</v>
          </cell>
          <cell r="G190">
            <v>1</v>
          </cell>
          <cell r="H190">
            <v>13100</v>
          </cell>
          <cell r="I190">
            <v>192920</v>
          </cell>
          <cell r="J190">
            <v>96660</v>
          </cell>
          <cell r="K190">
            <v>96660</v>
          </cell>
          <cell r="L190">
            <v>96460</v>
          </cell>
          <cell r="M190">
            <v>96460</v>
          </cell>
          <cell r="N190">
            <v>96460</v>
          </cell>
          <cell r="O190">
            <v>96000</v>
          </cell>
          <cell r="P190">
            <v>96660</v>
          </cell>
          <cell r="Q190">
            <v>144990</v>
          </cell>
          <cell r="R190">
            <v>0</v>
          </cell>
          <cell r="S190">
            <v>96000</v>
          </cell>
          <cell r="T190">
            <v>0</v>
          </cell>
          <cell r="U190">
            <v>96660</v>
          </cell>
          <cell r="V190">
            <v>0</v>
          </cell>
          <cell r="W190">
            <v>810395.43203736003</v>
          </cell>
          <cell r="Y190">
            <v>48330</v>
          </cell>
          <cell r="Z190">
            <v>0</v>
          </cell>
          <cell r="AA190">
            <v>96660</v>
          </cell>
          <cell r="AB190">
            <v>96000</v>
          </cell>
          <cell r="AC190">
            <v>98660</v>
          </cell>
          <cell r="AD190">
            <v>147990</v>
          </cell>
          <cell r="AE190">
            <v>98660</v>
          </cell>
          <cell r="AF190">
            <v>98660</v>
          </cell>
          <cell r="AG190">
            <v>49330</v>
          </cell>
          <cell r="AH190">
            <v>76105.432037360035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</row>
        <row r="191">
          <cell r="B191">
            <v>177</v>
          </cell>
          <cell r="C191">
            <v>3</v>
          </cell>
          <cell r="D191">
            <v>2029425.43203736</v>
          </cell>
          <cell r="E191">
            <v>2029425.43203736</v>
          </cell>
          <cell r="F191">
            <v>1219030</v>
          </cell>
          <cell r="G191">
            <v>1</v>
          </cell>
          <cell r="H191">
            <v>13100</v>
          </cell>
          <cell r="I191">
            <v>192920</v>
          </cell>
          <cell r="J191">
            <v>96660</v>
          </cell>
          <cell r="K191">
            <v>96660</v>
          </cell>
          <cell r="L191">
            <v>96460</v>
          </cell>
          <cell r="M191">
            <v>96460</v>
          </cell>
          <cell r="N191">
            <v>96460</v>
          </cell>
          <cell r="O191">
            <v>96000</v>
          </cell>
          <cell r="P191">
            <v>96660</v>
          </cell>
          <cell r="Q191">
            <v>144990</v>
          </cell>
          <cell r="R191">
            <v>0</v>
          </cell>
          <cell r="S191">
            <v>96000</v>
          </cell>
          <cell r="T191">
            <v>0</v>
          </cell>
          <cell r="U191">
            <v>96660</v>
          </cell>
          <cell r="V191">
            <v>0</v>
          </cell>
          <cell r="W191">
            <v>810395.43203736003</v>
          </cell>
          <cell r="Y191">
            <v>48330</v>
          </cell>
          <cell r="Z191">
            <v>0</v>
          </cell>
          <cell r="AA191">
            <v>96660</v>
          </cell>
          <cell r="AB191">
            <v>96000</v>
          </cell>
          <cell r="AC191">
            <v>98660</v>
          </cell>
          <cell r="AD191">
            <v>147990</v>
          </cell>
          <cell r="AE191">
            <v>98660</v>
          </cell>
          <cell r="AF191">
            <v>98660</v>
          </cell>
          <cell r="AG191">
            <v>49330</v>
          </cell>
          <cell r="AH191">
            <v>76105.432037360035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</row>
        <row r="192">
          <cell r="B192">
            <v>178</v>
          </cell>
          <cell r="C192">
            <v>3</v>
          </cell>
          <cell r="D192">
            <v>2029425.43203736</v>
          </cell>
          <cell r="E192">
            <v>2029425.43203736</v>
          </cell>
          <cell r="F192">
            <v>1219030</v>
          </cell>
          <cell r="G192">
            <v>1</v>
          </cell>
          <cell r="H192">
            <v>13100</v>
          </cell>
          <cell r="I192">
            <v>192920</v>
          </cell>
          <cell r="J192">
            <v>96660</v>
          </cell>
          <cell r="K192">
            <v>96660</v>
          </cell>
          <cell r="L192">
            <v>96460</v>
          </cell>
          <cell r="M192">
            <v>96460</v>
          </cell>
          <cell r="N192">
            <v>96460</v>
          </cell>
          <cell r="O192">
            <v>96000</v>
          </cell>
          <cell r="P192">
            <v>96660</v>
          </cell>
          <cell r="Q192">
            <v>144990</v>
          </cell>
          <cell r="R192">
            <v>0</v>
          </cell>
          <cell r="S192">
            <v>96000</v>
          </cell>
          <cell r="T192">
            <v>0</v>
          </cell>
          <cell r="U192">
            <v>96660</v>
          </cell>
          <cell r="V192">
            <v>0</v>
          </cell>
          <cell r="W192">
            <v>810395.43203736003</v>
          </cell>
          <cell r="Y192">
            <v>48330</v>
          </cell>
          <cell r="Z192">
            <v>0</v>
          </cell>
          <cell r="AA192">
            <v>96660</v>
          </cell>
          <cell r="AB192">
            <v>96000</v>
          </cell>
          <cell r="AC192">
            <v>98660</v>
          </cell>
          <cell r="AD192">
            <v>147990</v>
          </cell>
          <cell r="AE192">
            <v>98660</v>
          </cell>
          <cell r="AF192">
            <v>98660</v>
          </cell>
          <cell r="AG192">
            <v>49330</v>
          </cell>
          <cell r="AH192">
            <v>76105.432037360035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</row>
        <row r="193">
          <cell r="B193">
            <v>179</v>
          </cell>
          <cell r="C193">
            <v>3</v>
          </cell>
          <cell r="D193">
            <v>1738377.6553691239</v>
          </cell>
          <cell r="E193">
            <v>1738377.6553691239</v>
          </cell>
          <cell r="F193">
            <v>1219030</v>
          </cell>
          <cell r="G193">
            <v>1</v>
          </cell>
          <cell r="H193">
            <v>13100</v>
          </cell>
          <cell r="I193">
            <v>192920</v>
          </cell>
          <cell r="J193">
            <v>96660</v>
          </cell>
          <cell r="K193">
            <v>96660</v>
          </cell>
          <cell r="L193">
            <v>96460</v>
          </cell>
          <cell r="M193">
            <v>96460</v>
          </cell>
          <cell r="N193">
            <v>96460</v>
          </cell>
          <cell r="O193">
            <v>96000</v>
          </cell>
          <cell r="P193">
            <v>96660</v>
          </cell>
          <cell r="Q193">
            <v>144990</v>
          </cell>
          <cell r="R193">
            <v>0</v>
          </cell>
          <cell r="S193">
            <v>96000</v>
          </cell>
          <cell r="T193">
            <v>0</v>
          </cell>
          <cell r="U193">
            <v>96660</v>
          </cell>
          <cell r="V193">
            <v>0</v>
          </cell>
          <cell r="W193">
            <v>519347.65536912391</v>
          </cell>
          <cell r="Y193">
            <v>48330</v>
          </cell>
          <cell r="Z193">
            <v>0</v>
          </cell>
          <cell r="AA193">
            <v>96660</v>
          </cell>
          <cell r="AB193">
            <v>96000</v>
          </cell>
          <cell r="AC193">
            <v>98660</v>
          </cell>
          <cell r="AD193">
            <v>147990</v>
          </cell>
          <cell r="AE193">
            <v>31707.65536912391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</row>
        <row r="194">
          <cell r="B194">
            <v>180</v>
          </cell>
          <cell r="C194">
            <v>3</v>
          </cell>
          <cell r="D194">
            <v>1402360.76786869</v>
          </cell>
          <cell r="E194">
            <v>1402360.76786869</v>
          </cell>
          <cell r="F194">
            <v>1219030</v>
          </cell>
          <cell r="G194">
            <v>1</v>
          </cell>
          <cell r="H194">
            <v>13100</v>
          </cell>
          <cell r="I194">
            <v>192920</v>
          </cell>
          <cell r="J194">
            <v>96660</v>
          </cell>
          <cell r="K194">
            <v>96660</v>
          </cell>
          <cell r="L194">
            <v>96460</v>
          </cell>
          <cell r="M194">
            <v>96460</v>
          </cell>
          <cell r="N194">
            <v>96460</v>
          </cell>
          <cell r="O194">
            <v>96000</v>
          </cell>
          <cell r="P194">
            <v>96660</v>
          </cell>
          <cell r="Q194">
            <v>144990</v>
          </cell>
          <cell r="R194">
            <v>0</v>
          </cell>
          <cell r="S194">
            <v>96000</v>
          </cell>
          <cell r="T194">
            <v>0</v>
          </cell>
          <cell r="U194">
            <v>96660</v>
          </cell>
          <cell r="V194">
            <v>0</v>
          </cell>
          <cell r="W194">
            <v>183330.76786868996</v>
          </cell>
          <cell r="Y194">
            <v>48330</v>
          </cell>
          <cell r="Z194">
            <v>0</v>
          </cell>
          <cell r="AA194">
            <v>96660</v>
          </cell>
          <cell r="AB194">
            <v>38340.76786868996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</row>
        <row r="195">
          <cell r="B195">
            <v>181</v>
          </cell>
          <cell r="C195">
            <v>3</v>
          </cell>
          <cell r="D195">
            <v>2029425.43203736</v>
          </cell>
          <cell r="E195">
            <v>2029425.43203736</v>
          </cell>
          <cell r="F195">
            <v>1219030</v>
          </cell>
          <cell r="G195">
            <v>1</v>
          </cell>
          <cell r="H195">
            <v>13100</v>
          </cell>
          <cell r="I195">
            <v>192920</v>
          </cell>
          <cell r="J195">
            <v>96660</v>
          </cell>
          <cell r="K195">
            <v>96660</v>
          </cell>
          <cell r="L195">
            <v>96460</v>
          </cell>
          <cell r="M195">
            <v>96460</v>
          </cell>
          <cell r="N195">
            <v>96460</v>
          </cell>
          <cell r="O195">
            <v>96000</v>
          </cell>
          <cell r="P195">
            <v>96660</v>
          </cell>
          <cell r="Q195">
            <v>144990</v>
          </cell>
          <cell r="R195">
            <v>0</v>
          </cell>
          <cell r="S195">
            <v>96000</v>
          </cell>
          <cell r="T195">
            <v>0</v>
          </cell>
          <cell r="U195">
            <v>96660</v>
          </cell>
          <cell r="V195">
            <v>0</v>
          </cell>
          <cell r="W195">
            <v>810395.43203736003</v>
          </cell>
          <cell r="Y195">
            <v>48330</v>
          </cell>
          <cell r="Z195">
            <v>0</v>
          </cell>
          <cell r="AA195">
            <v>96660</v>
          </cell>
          <cell r="AB195">
            <v>96000</v>
          </cell>
          <cell r="AC195">
            <v>98660</v>
          </cell>
          <cell r="AD195">
            <v>147990</v>
          </cell>
          <cell r="AE195">
            <v>98660</v>
          </cell>
          <cell r="AF195">
            <v>98660</v>
          </cell>
          <cell r="AG195">
            <v>49330</v>
          </cell>
          <cell r="AH195">
            <v>76105.432037360035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B196">
            <v>182</v>
          </cell>
          <cell r="C196">
            <v>3</v>
          </cell>
          <cell r="D196">
            <v>2029425.43203736</v>
          </cell>
          <cell r="E196">
            <v>2029425.43203736</v>
          </cell>
          <cell r="F196">
            <v>1219030</v>
          </cell>
          <cell r="G196">
            <v>1</v>
          </cell>
          <cell r="H196">
            <v>13100</v>
          </cell>
          <cell r="I196">
            <v>192920</v>
          </cell>
          <cell r="J196">
            <v>96660</v>
          </cell>
          <cell r="K196">
            <v>96660</v>
          </cell>
          <cell r="L196">
            <v>96460</v>
          </cell>
          <cell r="M196">
            <v>96460</v>
          </cell>
          <cell r="N196">
            <v>96460</v>
          </cell>
          <cell r="O196">
            <v>96000</v>
          </cell>
          <cell r="P196">
            <v>96660</v>
          </cell>
          <cell r="Q196">
            <v>144990</v>
          </cell>
          <cell r="R196">
            <v>0</v>
          </cell>
          <cell r="S196">
            <v>96000</v>
          </cell>
          <cell r="T196">
            <v>0</v>
          </cell>
          <cell r="U196">
            <v>96660</v>
          </cell>
          <cell r="V196">
            <v>0</v>
          </cell>
          <cell r="W196">
            <v>810395.43203736003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49330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761065.43203736003</v>
          </cell>
          <cell r="AT196">
            <v>761065.43203736003</v>
          </cell>
          <cell r="AU196">
            <v>0</v>
          </cell>
        </row>
        <row r="197">
          <cell r="B197">
            <v>183</v>
          </cell>
          <cell r="C197">
            <v>4</v>
          </cell>
          <cell r="D197">
            <v>1413551.3804681639</v>
          </cell>
          <cell r="E197">
            <v>1413551.3804681639</v>
          </cell>
          <cell r="F197">
            <v>1219030</v>
          </cell>
          <cell r="G197">
            <v>1</v>
          </cell>
          <cell r="H197">
            <v>13100</v>
          </cell>
          <cell r="I197">
            <v>192920</v>
          </cell>
          <cell r="J197">
            <v>96660</v>
          </cell>
          <cell r="K197">
            <v>96660</v>
          </cell>
          <cell r="L197">
            <v>96460</v>
          </cell>
          <cell r="M197">
            <v>96460</v>
          </cell>
          <cell r="N197">
            <v>96460</v>
          </cell>
          <cell r="O197">
            <v>96000</v>
          </cell>
          <cell r="P197">
            <v>96660</v>
          </cell>
          <cell r="Q197">
            <v>144990</v>
          </cell>
          <cell r="R197">
            <v>0</v>
          </cell>
          <cell r="S197">
            <v>96000</v>
          </cell>
          <cell r="T197">
            <v>0</v>
          </cell>
          <cell r="U197">
            <v>96660</v>
          </cell>
          <cell r="V197">
            <v>0</v>
          </cell>
          <cell r="W197">
            <v>194521.38046816387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49330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145191.38046816387</v>
          </cell>
          <cell r="AT197">
            <v>145191.38046816387</v>
          </cell>
          <cell r="AU197">
            <v>0</v>
          </cell>
        </row>
        <row r="198">
          <cell r="B198">
            <v>184</v>
          </cell>
          <cell r="C198">
            <v>4</v>
          </cell>
          <cell r="D198">
            <v>1266608.8231623399</v>
          </cell>
          <cell r="E198">
            <v>1266608.8231623399</v>
          </cell>
          <cell r="F198">
            <v>1219030</v>
          </cell>
          <cell r="G198">
            <v>1</v>
          </cell>
          <cell r="H198">
            <v>13100</v>
          </cell>
          <cell r="I198">
            <v>192920</v>
          </cell>
          <cell r="J198">
            <v>96660</v>
          </cell>
          <cell r="K198">
            <v>96660</v>
          </cell>
          <cell r="L198">
            <v>96460</v>
          </cell>
          <cell r="M198">
            <v>96460</v>
          </cell>
          <cell r="N198">
            <v>96460</v>
          </cell>
          <cell r="O198">
            <v>96000</v>
          </cell>
          <cell r="P198">
            <v>96660</v>
          </cell>
          <cell r="Q198">
            <v>144990</v>
          </cell>
          <cell r="R198">
            <v>0</v>
          </cell>
          <cell r="S198">
            <v>96000</v>
          </cell>
          <cell r="T198">
            <v>0</v>
          </cell>
          <cell r="U198">
            <v>96660</v>
          </cell>
          <cell r="V198">
            <v>0</v>
          </cell>
          <cell r="W198">
            <v>47578.823162339861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47578.823162339861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</row>
        <row r="199">
          <cell r="B199">
            <v>185</v>
          </cell>
          <cell r="C199">
            <v>4</v>
          </cell>
          <cell r="D199">
            <v>1227387.2684667439</v>
          </cell>
          <cell r="E199">
            <v>1227387.2684667439</v>
          </cell>
          <cell r="F199">
            <v>1219030</v>
          </cell>
          <cell r="G199">
            <v>1</v>
          </cell>
          <cell r="H199">
            <v>13100</v>
          </cell>
          <cell r="I199">
            <v>192920</v>
          </cell>
          <cell r="J199">
            <v>96660</v>
          </cell>
          <cell r="K199">
            <v>96660</v>
          </cell>
          <cell r="L199">
            <v>96460</v>
          </cell>
          <cell r="M199">
            <v>96460</v>
          </cell>
          <cell r="N199">
            <v>96460</v>
          </cell>
          <cell r="O199">
            <v>96000</v>
          </cell>
          <cell r="P199">
            <v>96660</v>
          </cell>
          <cell r="Q199">
            <v>144990</v>
          </cell>
          <cell r="R199">
            <v>0</v>
          </cell>
          <cell r="S199">
            <v>96000</v>
          </cell>
          <cell r="T199">
            <v>0</v>
          </cell>
          <cell r="U199">
            <v>96660</v>
          </cell>
          <cell r="V199">
            <v>0</v>
          </cell>
          <cell r="W199">
            <v>8357.2684667438734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8357.2684667438734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</row>
        <row r="200">
          <cell r="B200">
            <v>186</v>
          </cell>
          <cell r="C200">
            <v>4</v>
          </cell>
          <cell r="D200">
            <v>1266608.8231623399</v>
          </cell>
          <cell r="E200">
            <v>1266608.8231623399</v>
          </cell>
          <cell r="F200">
            <v>1219030</v>
          </cell>
          <cell r="G200">
            <v>1</v>
          </cell>
          <cell r="H200">
            <v>13100</v>
          </cell>
          <cell r="I200">
            <v>192920</v>
          </cell>
          <cell r="J200">
            <v>96660</v>
          </cell>
          <cell r="K200">
            <v>96660</v>
          </cell>
          <cell r="L200">
            <v>96460</v>
          </cell>
          <cell r="M200">
            <v>96460</v>
          </cell>
          <cell r="N200">
            <v>96460</v>
          </cell>
          <cell r="O200">
            <v>96000</v>
          </cell>
          <cell r="P200">
            <v>96660</v>
          </cell>
          <cell r="Q200">
            <v>144990</v>
          </cell>
          <cell r="R200">
            <v>0</v>
          </cell>
          <cell r="S200">
            <v>96000</v>
          </cell>
          <cell r="T200">
            <v>0</v>
          </cell>
          <cell r="U200">
            <v>96660</v>
          </cell>
          <cell r="V200">
            <v>0</v>
          </cell>
          <cell r="W200">
            <v>47578.823162339861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47578.823162339861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</row>
        <row r="201">
          <cell r="B201">
            <v>187</v>
          </cell>
          <cell r="C201">
            <v>4</v>
          </cell>
          <cell r="D201">
            <v>1266608.8231623399</v>
          </cell>
          <cell r="E201">
            <v>1266608.8231623399</v>
          </cell>
          <cell r="F201">
            <v>1219030</v>
          </cell>
          <cell r="G201">
            <v>1</v>
          </cell>
          <cell r="H201">
            <v>13100</v>
          </cell>
          <cell r="I201">
            <v>192920</v>
          </cell>
          <cell r="J201">
            <v>96660</v>
          </cell>
          <cell r="K201">
            <v>96660</v>
          </cell>
          <cell r="L201">
            <v>96460</v>
          </cell>
          <cell r="M201">
            <v>96460</v>
          </cell>
          <cell r="N201">
            <v>96460</v>
          </cell>
          <cell r="O201">
            <v>96000</v>
          </cell>
          <cell r="P201">
            <v>96660</v>
          </cell>
          <cell r="Q201">
            <v>144990</v>
          </cell>
          <cell r="R201">
            <v>0</v>
          </cell>
          <cell r="S201">
            <v>96000</v>
          </cell>
          <cell r="T201">
            <v>0</v>
          </cell>
          <cell r="U201">
            <v>96660</v>
          </cell>
          <cell r="V201">
            <v>0</v>
          </cell>
          <cell r="W201">
            <v>47578.823162339861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47578.823162339861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2">
          <cell r="B202">
            <v>188</v>
          </cell>
          <cell r="C202">
            <v>4</v>
          </cell>
          <cell r="D202">
            <v>1482589.942559236</v>
          </cell>
          <cell r="E202">
            <v>1482589.942559236</v>
          </cell>
          <cell r="F202">
            <v>1219030</v>
          </cell>
          <cell r="G202">
            <v>1</v>
          </cell>
          <cell r="H202">
            <v>13100</v>
          </cell>
          <cell r="I202">
            <v>192920</v>
          </cell>
          <cell r="J202">
            <v>96660</v>
          </cell>
          <cell r="K202">
            <v>96660</v>
          </cell>
          <cell r="L202">
            <v>96460</v>
          </cell>
          <cell r="M202">
            <v>96460</v>
          </cell>
          <cell r="N202">
            <v>96460</v>
          </cell>
          <cell r="O202">
            <v>96000</v>
          </cell>
          <cell r="P202">
            <v>96660</v>
          </cell>
          <cell r="Q202">
            <v>144990</v>
          </cell>
          <cell r="R202">
            <v>0</v>
          </cell>
          <cell r="S202">
            <v>96000</v>
          </cell>
          <cell r="T202">
            <v>0</v>
          </cell>
          <cell r="U202">
            <v>96660</v>
          </cell>
          <cell r="V202">
            <v>0</v>
          </cell>
          <cell r="W202">
            <v>263559.94255923596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49330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214229.94255923596</v>
          </cell>
          <cell r="AT202">
            <v>214229.94255923596</v>
          </cell>
          <cell r="AU202">
            <v>0</v>
          </cell>
        </row>
        <row r="203">
          <cell r="B203">
            <v>189</v>
          </cell>
          <cell r="C203">
            <v>4</v>
          </cell>
          <cell r="D203">
            <v>1633946.2475947659</v>
          </cell>
          <cell r="E203">
            <v>1633946.2475947659</v>
          </cell>
          <cell r="F203">
            <v>1219030</v>
          </cell>
          <cell r="G203">
            <v>1</v>
          </cell>
          <cell r="H203">
            <v>13100</v>
          </cell>
          <cell r="I203">
            <v>192920</v>
          </cell>
          <cell r="J203">
            <v>96660</v>
          </cell>
          <cell r="K203">
            <v>96660</v>
          </cell>
          <cell r="L203">
            <v>96460</v>
          </cell>
          <cell r="M203">
            <v>96460</v>
          </cell>
          <cell r="N203">
            <v>96460</v>
          </cell>
          <cell r="O203">
            <v>96000</v>
          </cell>
          <cell r="P203">
            <v>96660</v>
          </cell>
          <cell r="Q203">
            <v>144990</v>
          </cell>
          <cell r="R203">
            <v>0</v>
          </cell>
          <cell r="S203">
            <v>96000</v>
          </cell>
          <cell r="T203">
            <v>0</v>
          </cell>
          <cell r="U203">
            <v>96660</v>
          </cell>
          <cell r="V203">
            <v>0</v>
          </cell>
          <cell r="W203">
            <v>414916.24759476585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49330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365586.24759476585</v>
          </cell>
          <cell r="AT203">
            <v>365586.24759476585</v>
          </cell>
          <cell r="AU203">
            <v>0</v>
          </cell>
        </row>
        <row r="204">
          <cell r="B204">
            <v>190</v>
          </cell>
          <cell r="C204">
            <v>4</v>
          </cell>
          <cell r="D204">
            <v>1693178.9218321459</v>
          </cell>
          <cell r="E204">
            <v>1693178.9218321459</v>
          </cell>
          <cell r="F204">
            <v>1219030</v>
          </cell>
          <cell r="G204">
            <v>1</v>
          </cell>
          <cell r="H204">
            <v>13100</v>
          </cell>
          <cell r="I204">
            <v>192920</v>
          </cell>
          <cell r="J204">
            <v>96660</v>
          </cell>
          <cell r="K204">
            <v>96660</v>
          </cell>
          <cell r="L204">
            <v>96460</v>
          </cell>
          <cell r="M204">
            <v>96460</v>
          </cell>
          <cell r="N204">
            <v>96460</v>
          </cell>
          <cell r="O204">
            <v>96000</v>
          </cell>
          <cell r="P204">
            <v>96660</v>
          </cell>
          <cell r="Q204">
            <v>144990</v>
          </cell>
          <cell r="R204">
            <v>0</v>
          </cell>
          <cell r="S204">
            <v>96000</v>
          </cell>
          <cell r="T204">
            <v>0</v>
          </cell>
          <cell r="U204">
            <v>96660</v>
          </cell>
          <cell r="V204">
            <v>0</v>
          </cell>
          <cell r="W204">
            <v>474148.92183214589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49330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424818.92183214589</v>
          </cell>
          <cell r="AT204">
            <v>424818.92183214589</v>
          </cell>
          <cell r="AU204">
            <v>0</v>
          </cell>
        </row>
        <row r="205">
          <cell r="B205">
            <v>191</v>
          </cell>
          <cell r="C205">
            <v>4</v>
          </cell>
          <cell r="D205">
            <v>1269127.6843978181</v>
          </cell>
          <cell r="E205">
            <v>1269127.6843978181</v>
          </cell>
          <cell r="F205">
            <v>1219030</v>
          </cell>
          <cell r="G205">
            <v>1</v>
          </cell>
          <cell r="H205">
            <v>13100</v>
          </cell>
          <cell r="I205">
            <v>192920</v>
          </cell>
          <cell r="J205">
            <v>96660</v>
          </cell>
          <cell r="K205">
            <v>96660</v>
          </cell>
          <cell r="L205">
            <v>96460</v>
          </cell>
          <cell r="M205">
            <v>96460</v>
          </cell>
          <cell r="N205">
            <v>96460</v>
          </cell>
          <cell r="O205">
            <v>96000</v>
          </cell>
          <cell r="P205">
            <v>96660</v>
          </cell>
          <cell r="Q205">
            <v>144990</v>
          </cell>
          <cell r="R205">
            <v>0</v>
          </cell>
          <cell r="S205">
            <v>96000</v>
          </cell>
          <cell r="T205">
            <v>0</v>
          </cell>
          <cell r="U205">
            <v>96660</v>
          </cell>
          <cell r="V205">
            <v>0</v>
          </cell>
          <cell r="W205">
            <v>50097.684397818055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49330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767.684397818055</v>
          </cell>
          <cell r="AT205">
            <v>767.684397818055</v>
          </cell>
          <cell r="AU205">
            <v>0</v>
          </cell>
        </row>
        <row r="206">
          <cell r="B206">
            <v>192</v>
          </cell>
          <cell r="C206">
            <v>4</v>
          </cell>
          <cell r="D206">
            <v>1099640.170920942</v>
          </cell>
          <cell r="E206">
            <v>1099640.170920942</v>
          </cell>
          <cell r="F206">
            <v>1219030</v>
          </cell>
          <cell r="G206">
            <v>0.9020616153178691</v>
          </cell>
          <cell r="H206">
            <v>11817.007160664085</v>
          </cell>
          <cell r="I206">
            <v>174025.72682712332</v>
          </cell>
          <cell r="J206">
            <v>87193.275736625234</v>
          </cell>
          <cell r="K206">
            <v>87193.275736625234</v>
          </cell>
          <cell r="L206">
            <v>87012.863413561659</v>
          </cell>
          <cell r="M206">
            <v>87012.863413561659</v>
          </cell>
          <cell r="N206">
            <v>87012.863413561659</v>
          </cell>
          <cell r="O206">
            <v>86597.915070515432</v>
          </cell>
          <cell r="P206">
            <v>87193.275736625234</v>
          </cell>
          <cell r="Q206">
            <v>130789.91360493784</v>
          </cell>
          <cell r="R206">
            <v>0</v>
          </cell>
          <cell r="S206">
            <v>86597.915070515432</v>
          </cell>
          <cell r="T206">
            <v>0</v>
          </cell>
          <cell r="U206">
            <v>78653.707155836382</v>
          </cell>
          <cell r="V206">
            <v>0</v>
          </cell>
          <cell r="W206">
            <v>8539.568580788793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7703.2170281040617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836.35155268473136</v>
          </cell>
          <cell r="AT206">
            <v>836.35155268473136</v>
          </cell>
          <cell r="AU206">
            <v>0</v>
          </cell>
        </row>
        <row r="207">
          <cell r="B207">
            <v>193</v>
          </cell>
          <cell r="C207">
            <v>4</v>
          </cell>
          <cell r="D207">
            <v>1074328.7603370841</v>
          </cell>
          <cell r="E207">
            <v>1074328.7603370841</v>
          </cell>
          <cell r="F207">
            <v>1219030</v>
          </cell>
          <cell r="G207">
            <v>0.88129804872487472</v>
          </cell>
          <cell r="H207">
            <v>11545.004438295859</v>
          </cell>
          <cell r="I207">
            <v>170020.01956000284</v>
          </cell>
          <cell r="J207">
            <v>85186.269389746391</v>
          </cell>
          <cell r="K207">
            <v>85186.269389746391</v>
          </cell>
          <cell r="L207">
            <v>85010.009780001419</v>
          </cell>
          <cell r="M207">
            <v>85010.009780001419</v>
          </cell>
          <cell r="N207">
            <v>85010.009780001419</v>
          </cell>
          <cell r="O207">
            <v>84604.612677587967</v>
          </cell>
          <cell r="P207">
            <v>85186.269389746391</v>
          </cell>
          <cell r="Q207">
            <v>127779.40408461959</v>
          </cell>
          <cell r="R207">
            <v>0</v>
          </cell>
          <cell r="S207">
            <v>84604.612677587967</v>
          </cell>
          <cell r="T207">
            <v>0</v>
          </cell>
          <cell r="U207">
            <v>75074.492991334992</v>
          </cell>
          <cell r="V207">
            <v>0</v>
          </cell>
          <cell r="W207">
            <v>10111.776398411486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8911.4888090622844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1200.2875893492019</v>
          </cell>
          <cell r="AT207">
            <v>1200.2875893492019</v>
          </cell>
          <cell r="AU207">
            <v>0</v>
          </cell>
        </row>
        <row r="208">
          <cell r="B208">
            <v>194</v>
          </cell>
          <cell r="C208">
            <v>4</v>
          </cell>
          <cell r="D208">
            <v>1266608.8231623399</v>
          </cell>
          <cell r="E208">
            <v>1266608.8231623399</v>
          </cell>
          <cell r="F208">
            <v>1219030</v>
          </cell>
          <cell r="G208">
            <v>1</v>
          </cell>
          <cell r="H208">
            <v>13100</v>
          </cell>
          <cell r="I208">
            <v>192920</v>
          </cell>
          <cell r="J208">
            <v>96660</v>
          </cell>
          <cell r="K208">
            <v>96660</v>
          </cell>
          <cell r="L208">
            <v>96460</v>
          </cell>
          <cell r="M208">
            <v>96460</v>
          </cell>
          <cell r="N208">
            <v>96460</v>
          </cell>
          <cell r="O208">
            <v>96000</v>
          </cell>
          <cell r="P208">
            <v>96660</v>
          </cell>
          <cell r="Q208">
            <v>144990</v>
          </cell>
          <cell r="R208">
            <v>0</v>
          </cell>
          <cell r="S208">
            <v>96000</v>
          </cell>
          <cell r="T208">
            <v>0</v>
          </cell>
          <cell r="U208">
            <v>96660</v>
          </cell>
          <cell r="V208">
            <v>0</v>
          </cell>
          <cell r="W208">
            <v>47578.823162339861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47578.823162339861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</row>
        <row r="209">
          <cell r="B209">
            <v>195</v>
          </cell>
          <cell r="C209">
            <v>4</v>
          </cell>
          <cell r="D209">
            <v>1561969.5132420959</v>
          </cell>
          <cell r="E209">
            <v>1561969.5132420959</v>
          </cell>
          <cell r="F209">
            <v>1219030</v>
          </cell>
          <cell r="G209">
            <v>1</v>
          </cell>
          <cell r="H209">
            <v>13100</v>
          </cell>
          <cell r="I209">
            <v>192920</v>
          </cell>
          <cell r="J209">
            <v>96660</v>
          </cell>
          <cell r="K209">
            <v>96660</v>
          </cell>
          <cell r="L209">
            <v>96460</v>
          </cell>
          <cell r="M209">
            <v>96460</v>
          </cell>
          <cell r="N209">
            <v>96460</v>
          </cell>
          <cell r="O209">
            <v>96000</v>
          </cell>
          <cell r="P209">
            <v>96660</v>
          </cell>
          <cell r="Q209">
            <v>144990</v>
          </cell>
          <cell r="R209">
            <v>0</v>
          </cell>
          <cell r="S209">
            <v>96000</v>
          </cell>
          <cell r="T209">
            <v>0</v>
          </cell>
          <cell r="U209">
            <v>96660</v>
          </cell>
          <cell r="V209">
            <v>0</v>
          </cell>
          <cell r="W209">
            <v>342939.51324209594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49330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293609.51324209594</v>
          </cell>
          <cell r="AT209">
            <v>293609.51324209594</v>
          </cell>
          <cell r="AU209">
            <v>0</v>
          </cell>
        </row>
        <row r="210">
          <cell r="B210">
            <v>196</v>
          </cell>
          <cell r="C210">
            <v>4</v>
          </cell>
          <cell r="D210">
            <v>2134299.113108316</v>
          </cell>
          <cell r="E210">
            <v>2134299.113108316</v>
          </cell>
          <cell r="F210">
            <v>1219030</v>
          </cell>
          <cell r="G210">
            <v>1</v>
          </cell>
          <cell r="H210">
            <v>13100</v>
          </cell>
          <cell r="I210">
            <v>192920</v>
          </cell>
          <cell r="J210">
            <v>96660</v>
          </cell>
          <cell r="K210">
            <v>96660</v>
          </cell>
          <cell r="L210">
            <v>96460</v>
          </cell>
          <cell r="M210">
            <v>96460</v>
          </cell>
          <cell r="N210">
            <v>96460</v>
          </cell>
          <cell r="O210">
            <v>96000</v>
          </cell>
          <cell r="P210">
            <v>96660</v>
          </cell>
          <cell r="Q210">
            <v>144990</v>
          </cell>
          <cell r="R210">
            <v>0</v>
          </cell>
          <cell r="S210">
            <v>96000</v>
          </cell>
          <cell r="T210">
            <v>0</v>
          </cell>
          <cell r="U210">
            <v>96660</v>
          </cell>
          <cell r="V210">
            <v>0</v>
          </cell>
          <cell r="W210">
            <v>915269.11310831597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49330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865939.11310831597</v>
          </cell>
          <cell r="AT210">
            <v>865939.11310831597</v>
          </cell>
          <cell r="AU210">
            <v>0</v>
          </cell>
        </row>
        <row r="211">
          <cell r="B211">
            <v>197</v>
          </cell>
          <cell r="C211">
            <v>4</v>
          </cell>
          <cell r="D211">
            <v>2308330.1610610778</v>
          </cell>
          <cell r="E211">
            <v>2308330.1610610778</v>
          </cell>
          <cell r="F211">
            <v>1219030</v>
          </cell>
          <cell r="G211">
            <v>1</v>
          </cell>
          <cell r="H211">
            <v>13100</v>
          </cell>
          <cell r="I211">
            <v>192920</v>
          </cell>
          <cell r="J211">
            <v>96660</v>
          </cell>
          <cell r="K211">
            <v>96660</v>
          </cell>
          <cell r="L211">
            <v>96460</v>
          </cell>
          <cell r="M211">
            <v>96460</v>
          </cell>
          <cell r="N211">
            <v>96460</v>
          </cell>
          <cell r="O211">
            <v>96000</v>
          </cell>
          <cell r="P211">
            <v>96660</v>
          </cell>
          <cell r="Q211">
            <v>144990</v>
          </cell>
          <cell r="R211">
            <v>0</v>
          </cell>
          <cell r="S211">
            <v>96000</v>
          </cell>
          <cell r="T211">
            <v>0</v>
          </cell>
          <cell r="U211">
            <v>96660</v>
          </cell>
          <cell r="V211">
            <v>0</v>
          </cell>
          <cell r="W211">
            <v>1089300.1610610778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49330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1039970.1610610778</v>
          </cell>
          <cell r="AT211">
            <v>1039970.1610610778</v>
          </cell>
          <cell r="AU211">
            <v>0</v>
          </cell>
        </row>
        <row r="212">
          <cell r="B212">
            <v>198</v>
          </cell>
          <cell r="C212">
            <v>4</v>
          </cell>
          <cell r="D212">
            <v>1888968.2186021919</v>
          </cell>
          <cell r="E212">
            <v>1888968.2186021919</v>
          </cell>
          <cell r="F212">
            <v>1219030</v>
          </cell>
          <cell r="G212">
            <v>1</v>
          </cell>
          <cell r="H212">
            <v>13100</v>
          </cell>
          <cell r="I212">
            <v>192920</v>
          </cell>
          <cell r="J212">
            <v>96660</v>
          </cell>
          <cell r="K212">
            <v>96660</v>
          </cell>
          <cell r="L212">
            <v>96460</v>
          </cell>
          <cell r="M212">
            <v>96460</v>
          </cell>
          <cell r="N212">
            <v>96460</v>
          </cell>
          <cell r="O212">
            <v>96000</v>
          </cell>
          <cell r="P212">
            <v>96660</v>
          </cell>
          <cell r="Q212">
            <v>144990</v>
          </cell>
          <cell r="R212">
            <v>0</v>
          </cell>
          <cell r="S212">
            <v>96000</v>
          </cell>
          <cell r="T212">
            <v>0</v>
          </cell>
          <cell r="U212">
            <v>96660</v>
          </cell>
          <cell r="V212">
            <v>0</v>
          </cell>
          <cell r="W212">
            <v>669938.21860219189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49330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620608.21860219189</v>
          </cell>
          <cell r="AT212">
            <v>620608.21860219189</v>
          </cell>
          <cell r="AU212">
            <v>0</v>
          </cell>
        </row>
        <row r="213">
          <cell r="B213">
            <v>199</v>
          </cell>
          <cell r="C213">
            <v>4</v>
          </cell>
          <cell r="D213">
            <v>1798793.385715914</v>
          </cell>
          <cell r="E213">
            <v>1798793.385715914</v>
          </cell>
          <cell r="F213">
            <v>1219030</v>
          </cell>
          <cell r="G213">
            <v>1</v>
          </cell>
          <cell r="H213">
            <v>13100</v>
          </cell>
          <cell r="I213">
            <v>192920</v>
          </cell>
          <cell r="J213">
            <v>96660</v>
          </cell>
          <cell r="K213">
            <v>96660</v>
          </cell>
          <cell r="L213">
            <v>96460</v>
          </cell>
          <cell r="M213">
            <v>96460</v>
          </cell>
          <cell r="N213">
            <v>96460</v>
          </cell>
          <cell r="O213">
            <v>96000</v>
          </cell>
          <cell r="P213">
            <v>96660</v>
          </cell>
          <cell r="Q213">
            <v>144990</v>
          </cell>
          <cell r="R213">
            <v>0</v>
          </cell>
          <cell r="S213">
            <v>96000</v>
          </cell>
          <cell r="T213">
            <v>0</v>
          </cell>
          <cell r="U213">
            <v>96660</v>
          </cell>
          <cell r="V213">
            <v>0</v>
          </cell>
          <cell r="W213">
            <v>579763.38571591396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49330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530433.38571591396</v>
          </cell>
          <cell r="AT213">
            <v>530433.38571591396</v>
          </cell>
          <cell r="AU213">
            <v>0</v>
          </cell>
        </row>
        <row r="214">
          <cell r="B214">
            <v>200</v>
          </cell>
          <cell r="C214">
            <v>4</v>
          </cell>
          <cell r="D214">
            <v>2089096.386132994</v>
          </cell>
          <cell r="E214">
            <v>2089096.386132994</v>
          </cell>
          <cell r="F214">
            <v>1219030</v>
          </cell>
          <cell r="G214">
            <v>1</v>
          </cell>
          <cell r="H214">
            <v>13100</v>
          </cell>
          <cell r="I214">
            <v>192920</v>
          </cell>
          <cell r="J214">
            <v>96660</v>
          </cell>
          <cell r="K214">
            <v>96660</v>
          </cell>
          <cell r="L214">
            <v>96460</v>
          </cell>
          <cell r="M214">
            <v>96460</v>
          </cell>
          <cell r="N214">
            <v>96460</v>
          </cell>
          <cell r="O214">
            <v>96000</v>
          </cell>
          <cell r="P214">
            <v>96660</v>
          </cell>
          <cell r="Q214">
            <v>144990</v>
          </cell>
          <cell r="R214">
            <v>0</v>
          </cell>
          <cell r="S214">
            <v>96000</v>
          </cell>
          <cell r="T214">
            <v>0</v>
          </cell>
          <cell r="U214">
            <v>96660</v>
          </cell>
          <cell r="V214">
            <v>0</v>
          </cell>
          <cell r="W214">
            <v>870066.38613299397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49330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820736.38613299397</v>
          </cell>
          <cell r="AT214">
            <v>820736.38613299397</v>
          </cell>
          <cell r="AU214">
            <v>0</v>
          </cell>
        </row>
        <row r="215">
          <cell r="B215">
            <v>201</v>
          </cell>
          <cell r="C215">
            <v>4</v>
          </cell>
          <cell r="D215">
            <v>2331244.51027895</v>
          </cell>
          <cell r="E215">
            <v>2331244.51027895</v>
          </cell>
          <cell r="F215">
            <v>1219030</v>
          </cell>
          <cell r="G215">
            <v>1</v>
          </cell>
          <cell r="H215">
            <v>13100</v>
          </cell>
          <cell r="I215">
            <v>192920</v>
          </cell>
          <cell r="J215">
            <v>96660</v>
          </cell>
          <cell r="K215">
            <v>96660</v>
          </cell>
          <cell r="L215">
            <v>96460</v>
          </cell>
          <cell r="M215">
            <v>96460</v>
          </cell>
          <cell r="N215">
            <v>96460</v>
          </cell>
          <cell r="O215">
            <v>96000</v>
          </cell>
          <cell r="P215">
            <v>96660</v>
          </cell>
          <cell r="Q215">
            <v>144990</v>
          </cell>
          <cell r="R215">
            <v>0</v>
          </cell>
          <cell r="S215">
            <v>96000</v>
          </cell>
          <cell r="T215">
            <v>0</v>
          </cell>
          <cell r="U215">
            <v>96660</v>
          </cell>
          <cell r="V215">
            <v>0</v>
          </cell>
          <cell r="W215">
            <v>1112214.51027895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49330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1062884.51027895</v>
          </cell>
          <cell r="AT215">
            <v>1062884.51027895</v>
          </cell>
          <cell r="AU215">
            <v>0</v>
          </cell>
        </row>
        <row r="216">
          <cell r="B216">
            <v>202</v>
          </cell>
          <cell r="C216">
            <v>4</v>
          </cell>
          <cell r="D216">
            <v>2660459.5739199659</v>
          </cell>
          <cell r="E216">
            <v>2660459.5739199659</v>
          </cell>
          <cell r="F216">
            <v>1219030</v>
          </cell>
          <cell r="G216">
            <v>1</v>
          </cell>
          <cell r="H216">
            <v>13100</v>
          </cell>
          <cell r="I216">
            <v>192920</v>
          </cell>
          <cell r="J216">
            <v>96660</v>
          </cell>
          <cell r="K216">
            <v>96660</v>
          </cell>
          <cell r="L216">
            <v>96460</v>
          </cell>
          <cell r="M216">
            <v>96460</v>
          </cell>
          <cell r="N216">
            <v>96460</v>
          </cell>
          <cell r="O216">
            <v>96000</v>
          </cell>
          <cell r="P216">
            <v>96660</v>
          </cell>
          <cell r="Q216">
            <v>144990</v>
          </cell>
          <cell r="R216">
            <v>0</v>
          </cell>
          <cell r="S216">
            <v>96000</v>
          </cell>
          <cell r="T216">
            <v>0</v>
          </cell>
          <cell r="U216">
            <v>96660</v>
          </cell>
          <cell r="V216">
            <v>0</v>
          </cell>
          <cell r="W216">
            <v>1441429.5739199659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49330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1392099.5739199659</v>
          </cell>
          <cell r="AT216">
            <v>1392099.5739199659</v>
          </cell>
          <cell r="AU216">
            <v>0</v>
          </cell>
        </row>
        <row r="217">
          <cell r="B217">
            <v>203</v>
          </cell>
          <cell r="C217">
            <v>4</v>
          </cell>
          <cell r="D217">
            <v>2114685.3406817601</v>
          </cell>
          <cell r="E217">
            <v>2114685.3406817601</v>
          </cell>
          <cell r="F217">
            <v>1219030</v>
          </cell>
          <cell r="G217">
            <v>1</v>
          </cell>
          <cell r="H217">
            <v>13100</v>
          </cell>
          <cell r="I217">
            <v>192920</v>
          </cell>
          <cell r="J217">
            <v>96660</v>
          </cell>
          <cell r="K217">
            <v>96660</v>
          </cell>
          <cell r="L217">
            <v>96460</v>
          </cell>
          <cell r="M217">
            <v>96460</v>
          </cell>
          <cell r="N217">
            <v>96460</v>
          </cell>
          <cell r="O217">
            <v>96000</v>
          </cell>
          <cell r="P217">
            <v>96660</v>
          </cell>
          <cell r="Q217">
            <v>144990</v>
          </cell>
          <cell r="R217">
            <v>0</v>
          </cell>
          <cell r="S217">
            <v>96000</v>
          </cell>
          <cell r="T217">
            <v>0</v>
          </cell>
          <cell r="U217">
            <v>96660</v>
          </cell>
          <cell r="V217">
            <v>0</v>
          </cell>
          <cell r="W217">
            <v>895655.34068176011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49330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846325.34068176011</v>
          </cell>
          <cell r="AT217">
            <v>846325.34068176011</v>
          </cell>
          <cell r="AU217">
            <v>0</v>
          </cell>
        </row>
        <row r="218">
          <cell r="B218">
            <v>204</v>
          </cell>
          <cell r="C218">
            <v>4</v>
          </cell>
          <cell r="D218">
            <v>1760122.92551179</v>
          </cell>
          <cell r="E218">
            <v>1760122.92551179</v>
          </cell>
          <cell r="F218">
            <v>1219030</v>
          </cell>
          <cell r="G218">
            <v>1</v>
          </cell>
          <cell r="H218">
            <v>13100</v>
          </cell>
          <cell r="I218">
            <v>192920</v>
          </cell>
          <cell r="J218">
            <v>96660</v>
          </cell>
          <cell r="K218">
            <v>96660</v>
          </cell>
          <cell r="L218">
            <v>96460</v>
          </cell>
          <cell r="M218">
            <v>96460</v>
          </cell>
          <cell r="N218">
            <v>96460</v>
          </cell>
          <cell r="O218">
            <v>96000</v>
          </cell>
          <cell r="P218">
            <v>96660</v>
          </cell>
          <cell r="Q218">
            <v>144990</v>
          </cell>
          <cell r="R218">
            <v>0</v>
          </cell>
          <cell r="S218">
            <v>96000</v>
          </cell>
          <cell r="T218">
            <v>0</v>
          </cell>
          <cell r="U218">
            <v>96660</v>
          </cell>
          <cell r="V218">
            <v>0</v>
          </cell>
          <cell r="W218">
            <v>541092.92551178997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49330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491762.92551178997</v>
          </cell>
          <cell r="AT218">
            <v>491762.92551178997</v>
          </cell>
          <cell r="AU218">
            <v>0</v>
          </cell>
        </row>
        <row r="219">
          <cell r="B219">
            <v>205</v>
          </cell>
          <cell r="C219">
            <v>4</v>
          </cell>
          <cell r="D219">
            <v>2012923.546440366</v>
          </cell>
          <cell r="E219">
            <v>2012923.546440366</v>
          </cell>
          <cell r="F219">
            <v>1219030</v>
          </cell>
          <cell r="G219">
            <v>1</v>
          </cell>
          <cell r="H219">
            <v>13100</v>
          </cell>
          <cell r="I219">
            <v>192920</v>
          </cell>
          <cell r="J219">
            <v>96660</v>
          </cell>
          <cell r="K219">
            <v>96660</v>
          </cell>
          <cell r="L219">
            <v>96460</v>
          </cell>
          <cell r="M219">
            <v>96460</v>
          </cell>
          <cell r="N219">
            <v>96460</v>
          </cell>
          <cell r="O219">
            <v>96000</v>
          </cell>
          <cell r="P219">
            <v>96660</v>
          </cell>
          <cell r="Q219">
            <v>144990</v>
          </cell>
          <cell r="R219">
            <v>0</v>
          </cell>
          <cell r="S219">
            <v>96000</v>
          </cell>
          <cell r="T219">
            <v>0</v>
          </cell>
          <cell r="U219">
            <v>96660</v>
          </cell>
          <cell r="V219">
            <v>0</v>
          </cell>
          <cell r="W219">
            <v>793893.54644036596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49330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744563.54644036596</v>
          </cell>
          <cell r="AT219">
            <v>744563.54644036596</v>
          </cell>
          <cell r="AU219">
            <v>0</v>
          </cell>
        </row>
        <row r="220">
          <cell r="B220">
            <v>206</v>
          </cell>
          <cell r="C220">
            <v>4</v>
          </cell>
          <cell r="D220">
            <v>1722521.708424272</v>
          </cell>
          <cell r="E220">
            <v>1722521.708424272</v>
          </cell>
          <cell r="F220">
            <v>1219030</v>
          </cell>
          <cell r="G220">
            <v>1</v>
          </cell>
          <cell r="H220">
            <v>13100</v>
          </cell>
          <cell r="I220">
            <v>192920</v>
          </cell>
          <cell r="J220">
            <v>96660</v>
          </cell>
          <cell r="K220">
            <v>96660</v>
          </cell>
          <cell r="L220">
            <v>96460</v>
          </cell>
          <cell r="M220">
            <v>96460</v>
          </cell>
          <cell r="N220">
            <v>96460</v>
          </cell>
          <cell r="O220">
            <v>96000</v>
          </cell>
          <cell r="P220">
            <v>96660</v>
          </cell>
          <cell r="Q220">
            <v>144990</v>
          </cell>
          <cell r="R220">
            <v>0</v>
          </cell>
          <cell r="S220">
            <v>96000</v>
          </cell>
          <cell r="T220">
            <v>0</v>
          </cell>
          <cell r="U220">
            <v>96660</v>
          </cell>
          <cell r="V220">
            <v>0</v>
          </cell>
          <cell r="W220">
            <v>503491.70842427202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49330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454161.70842427202</v>
          </cell>
          <cell r="AT220">
            <v>454161.70842427202</v>
          </cell>
          <cell r="AU220">
            <v>0</v>
          </cell>
        </row>
        <row r="221">
          <cell r="B221">
            <v>207</v>
          </cell>
          <cell r="C221">
            <v>4</v>
          </cell>
          <cell r="D221">
            <v>1225397.537811846</v>
          </cell>
          <cell r="E221">
            <v>1225397.537811846</v>
          </cell>
          <cell r="F221">
            <v>1219030</v>
          </cell>
          <cell r="G221">
            <v>1</v>
          </cell>
          <cell r="H221">
            <v>13100</v>
          </cell>
          <cell r="I221">
            <v>192920</v>
          </cell>
          <cell r="J221">
            <v>96660</v>
          </cell>
          <cell r="K221">
            <v>96660</v>
          </cell>
          <cell r="L221">
            <v>96460</v>
          </cell>
          <cell r="M221">
            <v>96460</v>
          </cell>
          <cell r="N221">
            <v>96460</v>
          </cell>
          <cell r="O221">
            <v>96000</v>
          </cell>
          <cell r="P221">
            <v>96660</v>
          </cell>
          <cell r="Q221">
            <v>144990</v>
          </cell>
          <cell r="R221">
            <v>0</v>
          </cell>
          <cell r="S221">
            <v>96000</v>
          </cell>
          <cell r="T221">
            <v>0</v>
          </cell>
          <cell r="U221">
            <v>96660</v>
          </cell>
          <cell r="V221">
            <v>0</v>
          </cell>
          <cell r="W221">
            <v>6367.5378118460067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6367.5378118460067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</row>
        <row r="222">
          <cell r="B222">
            <v>208</v>
          </cell>
          <cell r="C222">
            <v>4</v>
          </cell>
          <cell r="D222">
            <v>1107159.8153226939</v>
          </cell>
          <cell r="E222">
            <v>1107159.8153226939</v>
          </cell>
          <cell r="F222">
            <v>1219030</v>
          </cell>
          <cell r="G222">
            <v>0.90823016277096869</v>
          </cell>
          <cell r="H222">
            <v>11897.815132299689</v>
          </cell>
          <cell r="I222">
            <v>175215.76300177528</v>
          </cell>
          <cell r="J222">
            <v>87789.52753344184</v>
          </cell>
          <cell r="K222">
            <v>87789.52753344184</v>
          </cell>
          <cell r="L222">
            <v>87607.881500887641</v>
          </cell>
          <cell r="M222">
            <v>87607.881500887641</v>
          </cell>
          <cell r="N222">
            <v>87607.881500887641</v>
          </cell>
          <cell r="O222">
            <v>87190.09562601299</v>
          </cell>
          <cell r="P222">
            <v>87789.52753344184</v>
          </cell>
          <cell r="Q222">
            <v>131684.29130016276</v>
          </cell>
          <cell r="R222">
            <v>0</v>
          </cell>
          <cell r="S222">
            <v>87190.09562601299</v>
          </cell>
          <cell r="T222">
            <v>0</v>
          </cell>
          <cell r="U222">
            <v>79733.096881284058</v>
          </cell>
          <cell r="V222">
            <v>0</v>
          </cell>
          <cell r="W222">
            <v>8056.4306521574035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7317.0933225619401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739.33732959546342</v>
          </cell>
          <cell r="AT222">
            <v>739.33732959546342</v>
          </cell>
          <cell r="AU222">
            <v>0</v>
          </cell>
        </row>
        <row r="223">
          <cell r="B223">
            <v>209</v>
          </cell>
          <cell r="C223">
            <v>4</v>
          </cell>
          <cell r="D223">
            <v>1298614.234770328</v>
          </cell>
          <cell r="E223">
            <v>1298614.234770328</v>
          </cell>
          <cell r="F223">
            <v>1219030</v>
          </cell>
          <cell r="G223">
            <v>1</v>
          </cell>
          <cell r="H223">
            <v>13100</v>
          </cell>
          <cell r="I223">
            <v>192920</v>
          </cell>
          <cell r="J223">
            <v>96660</v>
          </cell>
          <cell r="K223">
            <v>96660</v>
          </cell>
          <cell r="L223">
            <v>96460</v>
          </cell>
          <cell r="M223">
            <v>96460</v>
          </cell>
          <cell r="N223">
            <v>96460</v>
          </cell>
          <cell r="O223">
            <v>96000</v>
          </cell>
          <cell r="P223">
            <v>96660</v>
          </cell>
          <cell r="Q223">
            <v>144990</v>
          </cell>
          <cell r="R223">
            <v>0</v>
          </cell>
          <cell r="S223">
            <v>96000</v>
          </cell>
          <cell r="T223">
            <v>0</v>
          </cell>
          <cell r="U223">
            <v>96660</v>
          </cell>
          <cell r="V223">
            <v>0</v>
          </cell>
          <cell r="W223">
            <v>79584.234770328039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49330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30254.234770328039</v>
          </cell>
          <cell r="AT223">
            <v>30254.234770328039</v>
          </cell>
          <cell r="AU223">
            <v>0</v>
          </cell>
        </row>
        <row r="224">
          <cell r="B224">
            <v>210</v>
          </cell>
          <cell r="C224">
            <v>4</v>
          </cell>
          <cell r="D224">
            <v>1444775.076520314</v>
          </cell>
          <cell r="E224">
            <v>1444775.076520314</v>
          </cell>
          <cell r="F224">
            <v>1219030</v>
          </cell>
          <cell r="G224">
            <v>1</v>
          </cell>
          <cell r="H224">
            <v>13100</v>
          </cell>
          <cell r="I224">
            <v>192920</v>
          </cell>
          <cell r="J224">
            <v>96660</v>
          </cell>
          <cell r="K224">
            <v>96660</v>
          </cell>
          <cell r="L224">
            <v>96460</v>
          </cell>
          <cell r="M224">
            <v>96460</v>
          </cell>
          <cell r="N224">
            <v>96460</v>
          </cell>
          <cell r="O224">
            <v>96000</v>
          </cell>
          <cell r="P224">
            <v>96660</v>
          </cell>
          <cell r="Q224">
            <v>144990</v>
          </cell>
          <cell r="R224">
            <v>0</v>
          </cell>
          <cell r="S224">
            <v>96000</v>
          </cell>
          <cell r="T224">
            <v>0</v>
          </cell>
          <cell r="U224">
            <v>96660</v>
          </cell>
          <cell r="V224">
            <v>0</v>
          </cell>
          <cell r="W224">
            <v>225745.07652031397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49330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176415.07652031397</v>
          </cell>
          <cell r="AT224">
            <v>176415.07652031397</v>
          </cell>
          <cell r="AU224">
            <v>0</v>
          </cell>
        </row>
        <row r="225">
          <cell r="B225">
            <v>211</v>
          </cell>
          <cell r="C225">
            <v>4</v>
          </cell>
          <cell r="D225">
            <v>1258969.375610268</v>
          </cell>
          <cell r="E225">
            <v>1258969.375610268</v>
          </cell>
          <cell r="F225">
            <v>1219030</v>
          </cell>
          <cell r="G225">
            <v>1</v>
          </cell>
          <cell r="H225">
            <v>13100</v>
          </cell>
          <cell r="I225">
            <v>192920</v>
          </cell>
          <cell r="J225">
            <v>96660</v>
          </cell>
          <cell r="K225">
            <v>96660</v>
          </cell>
          <cell r="L225">
            <v>96460</v>
          </cell>
          <cell r="M225">
            <v>96460</v>
          </cell>
          <cell r="N225">
            <v>96460</v>
          </cell>
          <cell r="O225">
            <v>96000</v>
          </cell>
          <cell r="P225">
            <v>96660</v>
          </cell>
          <cell r="Q225">
            <v>144990</v>
          </cell>
          <cell r="R225">
            <v>0</v>
          </cell>
          <cell r="S225">
            <v>96000</v>
          </cell>
          <cell r="T225">
            <v>0</v>
          </cell>
          <cell r="U225">
            <v>96660</v>
          </cell>
          <cell r="V225">
            <v>0</v>
          </cell>
          <cell r="W225">
            <v>39939.375610267976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39939.375610267976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</row>
        <row r="226">
          <cell r="B226">
            <v>212</v>
          </cell>
          <cell r="C226">
            <v>4</v>
          </cell>
          <cell r="D226">
            <v>1032330.7676328219</v>
          </cell>
          <cell r="E226">
            <v>1032330.7676328219</v>
          </cell>
          <cell r="F226">
            <v>1219030</v>
          </cell>
          <cell r="G226">
            <v>0.84684607239593934</v>
          </cell>
          <cell r="H226">
            <v>11093.683548386805</v>
          </cell>
          <cell r="I226">
            <v>163373.54428662462</v>
          </cell>
          <cell r="J226">
            <v>81856.141357791494</v>
          </cell>
          <cell r="K226">
            <v>81856.141357791494</v>
          </cell>
          <cell r="L226">
            <v>81686.772143312308</v>
          </cell>
          <cell r="M226">
            <v>81686.772143312308</v>
          </cell>
          <cell r="N226">
            <v>81686.772143312308</v>
          </cell>
          <cell r="O226">
            <v>81297.222950010182</v>
          </cell>
          <cell r="P226">
            <v>81856.141357791494</v>
          </cell>
          <cell r="Q226">
            <v>122784.21203668724</v>
          </cell>
          <cell r="R226">
            <v>0</v>
          </cell>
          <cell r="S226">
            <v>81297.222950010182</v>
          </cell>
          <cell r="T226">
            <v>0</v>
          </cell>
          <cell r="U226">
            <v>69319.551810332443</v>
          </cell>
          <cell r="V226">
            <v>0</v>
          </cell>
          <cell r="W226">
            <v>12536.58954745892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10616.561619505574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1920.0279279533461</v>
          </cell>
          <cell r="AT226">
            <v>1920.0279279533461</v>
          </cell>
          <cell r="AU226">
            <v>0</v>
          </cell>
        </row>
        <row r="227">
          <cell r="B227">
            <v>213</v>
          </cell>
          <cell r="C227">
            <v>5</v>
          </cell>
          <cell r="D227">
            <v>916096.75283277198</v>
          </cell>
          <cell r="E227">
            <v>916096.75283277198</v>
          </cell>
          <cell r="F227">
            <v>1219030</v>
          </cell>
          <cell r="G227">
            <v>0.75149647903068173</v>
          </cell>
          <cell r="H227">
            <v>9844.6038753019311</v>
          </cell>
          <cell r="I227">
            <v>144978.70073459912</v>
          </cell>
          <cell r="J227">
            <v>72639.649663105694</v>
          </cell>
          <cell r="K227">
            <v>72639.649663105694</v>
          </cell>
          <cell r="L227">
            <v>72489.350367299558</v>
          </cell>
          <cell r="M227">
            <v>72489.350367299558</v>
          </cell>
          <cell r="N227">
            <v>72489.350367299558</v>
          </cell>
          <cell r="O227">
            <v>72143.661986945444</v>
          </cell>
          <cell r="P227">
            <v>72639.649663105694</v>
          </cell>
          <cell r="Q227">
            <v>108959.47449465854</v>
          </cell>
          <cell r="R227">
            <v>0</v>
          </cell>
          <cell r="S227">
            <v>72143.661986945444</v>
          </cell>
          <cell r="T227">
            <v>0</v>
          </cell>
          <cell r="U227">
            <v>54588.440959846201</v>
          </cell>
          <cell r="V227">
            <v>0</v>
          </cell>
          <cell r="W227">
            <v>18051.208703259472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13565.419782747491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4485.7889205119809</v>
          </cell>
          <cell r="AT227">
            <v>4485.7889205119809</v>
          </cell>
          <cell r="AU227">
            <v>0</v>
          </cell>
        </row>
        <row r="228">
          <cell r="B228">
            <v>214</v>
          </cell>
          <cell r="C228">
            <v>5</v>
          </cell>
          <cell r="D228">
            <v>928222.82836432802</v>
          </cell>
          <cell r="E228">
            <v>928222.82836432802</v>
          </cell>
          <cell r="F228">
            <v>1219030</v>
          </cell>
          <cell r="G228">
            <v>0.76144379413494989</v>
          </cell>
          <cell r="H228">
            <v>9974.9137031678438</v>
          </cell>
          <cell r="I228">
            <v>146897.73676451453</v>
          </cell>
          <cell r="J228">
            <v>73601.157141084259</v>
          </cell>
          <cell r="K228">
            <v>73601.157141084259</v>
          </cell>
          <cell r="L228">
            <v>73448.868382257264</v>
          </cell>
          <cell r="M228">
            <v>73448.868382257264</v>
          </cell>
          <cell r="N228">
            <v>73448.868382257264</v>
          </cell>
          <cell r="O228">
            <v>73098.604236955187</v>
          </cell>
          <cell r="P228">
            <v>73601.157141084259</v>
          </cell>
          <cell r="Q228">
            <v>110401.73571162639</v>
          </cell>
          <cell r="R228">
            <v>0</v>
          </cell>
          <cell r="S228">
            <v>73098.604236955187</v>
          </cell>
          <cell r="T228">
            <v>0</v>
          </cell>
          <cell r="U228">
            <v>56043.144346229907</v>
          </cell>
          <cell r="V228">
            <v>0</v>
          </cell>
          <cell r="W228">
            <v>17558.012794854352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13369.439879983893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4188.5729148704595</v>
          </cell>
          <cell r="AT228">
            <v>4188.5729148704595</v>
          </cell>
          <cell r="AU228">
            <v>0</v>
          </cell>
        </row>
        <row r="229">
          <cell r="B229">
            <v>215</v>
          </cell>
          <cell r="C229">
            <v>5</v>
          </cell>
          <cell r="D229">
            <v>1029184.9365773359</v>
          </cell>
          <cell r="E229">
            <v>1029184.9365773359</v>
          </cell>
          <cell r="F229">
            <v>1219030</v>
          </cell>
          <cell r="G229">
            <v>0.84426547056047507</v>
          </cell>
          <cell r="H229">
            <v>11059.877664342224</v>
          </cell>
          <cell r="I229">
            <v>162875.69458052685</v>
          </cell>
          <cell r="J229">
            <v>81606.700384375523</v>
          </cell>
          <cell r="K229">
            <v>81606.700384375523</v>
          </cell>
          <cell r="L229">
            <v>81437.847290263424</v>
          </cell>
          <cell r="M229">
            <v>81437.847290263424</v>
          </cell>
          <cell r="N229">
            <v>81437.847290263424</v>
          </cell>
          <cell r="O229">
            <v>81049.485173805602</v>
          </cell>
          <cell r="P229">
            <v>81606.700384375523</v>
          </cell>
          <cell r="Q229">
            <v>122410.05057656328</v>
          </cell>
          <cell r="R229">
            <v>0</v>
          </cell>
          <cell r="S229">
            <v>81049.485173805602</v>
          </cell>
          <cell r="T229">
            <v>0</v>
          </cell>
          <cell r="U229">
            <v>68897.719300902594</v>
          </cell>
          <cell r="V229">
            <v>0</v>
          </cell>
          <cell r="W229">
            <v>12708.981083473074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10729.753894782571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1979.2271886905037</v>
          </cell>
          <cell r="AT229">
            <v>1979.2271886905037</v>
          </cell>
          <cell r="AU229">
            <v>0</v>
          </cell>
        </row>
        <row r="230">
          <cell r="B230">
            <v>216</v>
          </cell>
          <cell r="C230">
            <v>5</v>
          </cell>
          <cell r="D230">
            <v>1171336.366229946</v>
          </cell>
          <cell r="E230">
            <v>1171336.366229946</v>
          </cell>
          <cell r="F230">
            <v>1219030</v>
          </cell>
          <cell r="G230">
            <v>0.96087575058033525</v>
          </cell>
          <cell r="H230">
            <v>12587.472332602392</v>
          </cell>
          <cell r="I230">
            <v>185372.14980195827</v>
          </cell>
          <cell r="J230">
            <v>92878.250051095209</v>
          </cell>
          <cell r="K230">
            <v>92878.250051095209</v>
          </cell>
          <cell r="L230">
            <v>92686.074900979133</v>
          </cell>
          <cell r="M230">
            <v>92686.074900979133</v>
          </cell>
          <cell r="N230">
            <v>92686.074900979133</v>
          </cell>
          <cell r="O230">
            <v>92244.072055712182</v>
          </cell>
          <cell r="P230">
            <v>92878.250051095209</v>
          </cell>
          <cell r="Q230">
            <v>139317.37507664281</v>
          </cell>
          <cell r="R230">
            <v>0</v>
          </cell>
          <cell r="S230">
            <v>92244.072055712182</v>
          </cell>
          <cell r="T230">
            <v>0</v>
          </cell>
          <cell r="U230">
            <v>89244.458230433884</v>
          </cell>
          <cell r="V230">
            <v>0</v>
          </cell>
          <cell r="W230">
            <v>3633.791820660932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3491.6224431302562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142.16937753067577</v>
          </cell>
          <cell r="AT230">
            <v>142.16937753067577</v>
          </cell>
          <cell r="AU230">
            <v>0</v>
          </cell>
        </row>
        <row r="231">
          <cell r="B231">
            <v>217</v>
          </cell>
          <cell r="C231">
            <v>5</v>
          </cell>
          <cell r="D231">
            <v>1352643.4588454759</v>
          </cell>
          <cell r="E231">
            <v>1352643.4588454759</v>
          </cell>
          <cell r="F231">
            <v>1219030</v>
          </cell>
          <cell r="G231">
            <v>1</v>
          </cell>
          <cell r="H231">
            <v>13100</v>
          </cell>
          <cell r="I231">
            <v>192920</v>
          </cell>
          <cell r="J231">
            <v>96660</v>
          </cell>
          <cell r="K231">
            <v>96660</v>
          </cell>
          <cell r="L231">
            <v>96460</v>
          </cell>
          <cell r="M231">
            <v>96460</v>
          </cell>
          <cell r="N231">
            <v>96460</v>
          </cell>
          <cell r="O231">
            <v>96000</v>
          </cell>
          <cell r="P231">
            <v>96660</v>
          </cell>
          <cell r="Q231">
            <v>144990</v>
          </cell>
          <cell r="R231">
            <v>0</v>
          </cell>
          <cell r="S231">
            <v>96000</v>
          </cell>
          <cell r="T231">
            <v>0</v>
          </cell>
          <cell r="U231">
            <v>96660</v>
          </cell>
          <cell r="V231">
            <v>0</v>
          </cell>
          <cell r="W231">
            <v>133613.45884547592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49330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84283.458845475921</v>
          </cell>
          <cell r="AT231">
            <v>84283.458845475921</v>
          </cell>
          <cell r="AU231">
            <v>0</v>
          </cell>
        </row>
        <row r="232">
          <cell r="B232">
            <v>218</v>
          </cell>
          <cell r="C232">
            <v>5</v>
          </cell>
          <cell r="D232">
            <v>1209221.117439888</v>
          </cell>
          <cell r="E232">
            <v>1209221.117439888</v>
          </cell>
          <cell r="F232">
            <v>1219030</v>
          </cell>
          <cell r="G232">
            <v>0.99195353472833969</v>
          </cell>
          <cell r="H232">
            <v>12994.59130494125</v>
          </cell>
          <cell r="I232">
            <v>191367.67591979131</v>
          </cell>
          <cell r="J232">
            <v>95882.228666841314</v>
          </cell>
          <cell r="K232">
            <v>95882.228666841314</v>
          </cell>
          <cell r="L232">
            <v>95683.837959895653</v>
          </cell>
          <cell r="M232">
            <v>95683.837959895653</v>
          </cell>
          <cell r="N232">
            <v>95683.837959895653</v>
          </cell>
          <cell r="O232">
            <v>95227.539333920606</v>
          </cell>
          <cell r="P232">
            <v>95882.228666841314</v>
          </cell>
          <cell r="Q232">
            <v>143823.34300026199</v>
          </cell>
          <cell r="R232">
            <v>0</v>
          </cell>
          <cell r="S232">
            <v>95227.539333920606</v>
          </cell>
          <cell r="T232">
            <v>0</v>
          </cell>
          <cell r="U232">
            <v>95110.715643704156</v>
          </cell>
          <cell r="V232">
            <v>0</v>
          </cell>
          <cell r="W232">
            <v>771.51302313711494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765.30507038980852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6.2079527473064218</v>
          </cell>
          <cell r="AT232">
            <v>6.2079527473064218</v>
          </cell>
          <cell r="AU232">
            <v>0</v>
          </cell>
        </row>
        <row r="233">
          <cell r="B233">
            <v>219</v>
          </cell>
          <cell r="C233">
            <v>5</v>
          </cell>
          <cell r="D233">
            <v>1165712.6066820079</v>
          </cell>
          <cell r="E233">
            <v>1165712.6066820079</v>
          </cell>
          <cell r="F233">
            <v>1219030</v>
          </cell>
          <cell r="G233">
            <v>0.95626244364946544</v>
          </cell>
          <cell r="H233">
            <v>12527.038011807997</v>
          </cell>
          <cell r="I233">
            <v>184482.15062885487</v>
          </cell>
          <cell r="J233">
            <v>92432.327803157328</v>
          </cell>
          <cell r="K233">
            <v>92432.327803157328</v>
          </cell>
          <cell r="L233">
            <v>92241.075314427435</v>
          </cell>
          <cell r="M233">
            <v>92241.075314427435</v>
          </cell>
          <cell r="N233">
            <v>92241.075314427435</v>
          </cell>
          <cell r="O233">
            <v>91801.194590348678</v>
          </cell>
          <cell r="P233">
            <v>92432.327803157328</v>
          </cell>
          <cell r="Q233">
            <v>138648.49170473599</v>
          </cell>
          <cell r="R233">
            <v>0</v>
          </cell>
          <cell r="S233">
            <v>91801.194590348678</v>
          </cell>
          <cell r="T233">
            <v>0</v>
          </cell>
          <cell r="U233">
            <v>88389.563657255596</v>
          </cell>
          <cell r="V233">
            <v>0</v>
          </cell>
          <cell r="W233">
            <v>4042.7641459016595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3865.9435212583649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176.82062464329465</v>
          </cell>
          <cell r="AT233">
            <v>176.82062464329465</v>
          </cell>
          <cell r="AU233">
            <v>0</v>
          </cell>
        </row>
        <row r="234">
          <cell r="B234">
            <v>220</v>
          </cell>
          <cell r="C234">
            <v>5</v>
          </cell>
          <cell r="D234">
            <v>1225908.6979198779</v>
          </cell>
          <cell r="E234">
            <v>1225908.6979198779</v>
          </cell>
          <cell r="F234">
            <v>1219030</v>
          </cell>
          <cell r="G234">
            <v>1</v>
          </cell>
          <cell r="H234">
            <v>13100</v>
          </cell>
          <cell r="I234">
            <v>192920</v>
          </cell>
          <cell r="J234">
            <v>96660</v>
          </cell>
          <cell r="K234">
            <v>96660</v>
          </cell>
          <cell r="L234">
            <v>96460</v>
          </cell>
          <cell r="M234">
            <v>96460</v>
          </cell>
          <cell r="N234">
            <v>96460</v>
          </cell>
          <cell r="O234">
            <v>96000</v>
          </cell>
          <cell r="P234">
            <v>96660</v>
          </cell>
          <cell r="Q234">
            <v>144990</v>
          </cell>
          <cell r="R234">
            <v>0</v>
          </cell>
          <cell r="S234">
            <v>96000</v>
          </cell>
          <cell r="T234">
            <v>0</v>
          </cell>
          <cell r="U234">
            <v>96660</v>
          </cell>
          <cell r="V234">
            <v>0</v>
          </cell>
          <cell r="W234">
            <v>6878.6979198779445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6878.6979198779445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</row>
        <row r="235">
          <cell r="B235">
            <v>221</v>
          </cell>
          <cell r="C235">
            <v>5</v>
          </cell>
          <cell r="D235">
            <v>1240136.3203799638</v>
          </cell>
          <cell r="E235">
            <v>1240136.3203799638</v>
          </cell>
          <cell r="F235">
            <v>1219030</v>
          </cell>
          <cell r="G235">
            <v>1</v>
          </cell>
          <cell r="H235">
            <v>13100</v>
          </cell>
          <cell r="I235">
            <v>192920</v>
          </cell>
          <cell r="J235">
            <v>96660</v>
          </cell>
          <cell r="K235">
            <v>96660</v>
          </cell>
          <cell r="L235">
            <v>96460</v>
          </cell>
          <cell r="M235">
            <v>96460</v>
          </cell>
          <cell r="N235">
            <v>96460</v>
          </cell>
          <cell r="O235">
            <v>96000</v>
          </cell>
          <cell r="P235">
            <v>96660</v>
          </cell>
          <cell r="Q235">
            <v>144990</v>
          </cell>
          <cell r="R235">
            <v>0</v>
          </cell>
          <cell r="S235">
            <v>96000</v>
          </cell>
          <cell r="T235">
            <v>0</v>
          </cell>
          <cell r="U235">
            <v>96660</v>
          </cell>
          <cell r="V235">
            <v>0</v>
          </cell>
          <cell r="W235">
            <v>21106.320379963843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21106.320379963843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</row>
        <row r="236">
          <cell r="B236">
            <v>222</v>
          </cell>
          <cell r="C236">
            <v>5</v>
          </cell>
          <cell r="D236">
            <v>1695961.3499983279</v>
          </cell>
          <cell r="E236">
            <v>1695961.3499983279</v>
          </cell>
          <cell r="F236">
            <v>1219030</v>
          </cell>
          <cell r="G236">
            <v>1</v>
          </cell>
          <cell r="H236">
            <v>13100</v>
          </cell>
          <cell r="I236">
            <v>192920</v>
          </cell>
          <cell r="J236">
            <v>96660</v>
          </cell>
          <cell r="K236">
            <v>96660</v>
          </cell>
          <cell r="L236">
            <v>96460</v>
          </cell>
          <cell r="M236">
            <v>96460</v>
          </cell>
          <cell r="N236">
            <v>96460</v>
          </cell>
          <cell r="O236">
            <v>96000</v>
          </cell>
          <cell r="P236">
            <v>96660</v>
          </cell>
          <cell r="Q236">
            <v>144990</v>
          </cell>
          <cell r="R236">
            <v>0</v>
          </cell>
          <cell r="S236">
            <v>96000</v>
          </cell>
          <cell r="T236">
            <v>0</v>
          </cell>
          <cell r="U236">
            <v>96660</v>
          </cell>
          <cell r="V236">
            <v>0</v>
          </cell>
          <cell r="W236">
            <v>476931.3499983279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49330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427601.3499983279</v>
          </cell>
          <cell r="AT236">
            <v>427601.3499983279</v>
          </cell>
          <cell r="AU236">
            <v>0</v>
          </cell>
        </row>
        <row r="237">
          <cell r="B237">
            <v>223</v>
          </cell>
          <cell r="C237">
            <v>5</v>
          </cell>
          <cell r="D237">
            <v>1562014.4394234659</v>
          </cell>
          <cell r="E237">
            <v>1562014.4394234659</v>
          </cell>
          <cell r="F237">
            <v>1219030</v>
          </cell>
          <cell r="G237">
            <v>1</v>
          </cell>
          <cell r="H237">
            <v>13100</v>
          </cell>
          <cell r="I237">
            <v>192920</v>
          </cell>
          <cell r="J237">
            <v>96660</v>
          </cell>
          <cell r="K237">
            <v>96660</v>
          </cell>
          <cell r="L237">
            <v>96460</v>
          </cell>
          <cell r="M237">
            <v>96460</v>
          </cell>
          <cell r="N237">
            <v>96460</v>
          </cell>
          <cell r="O237">
            <v>96000</v>
          </cell>
          <cell r="P237">
            <v>96660</v>
          </cell>
          <cell r="Q237">
            <v>144990</v>
          </cell>
          <cell r="R237">
            <v>0</v>
          </cell>
          <cell r="S237">
            <v>96000</v>
          </cell>
          <cell r="T237">
            <v>0</v>
          </cell>
          <cell r="U237">
            <v>96660</v>
          </cell>
          <cell r="V237">
            <v>0</v>
          </cell>
          <cell r="W237">
            <v>342984.43942346587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49330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293654.43942346587</v>
          </cell>
          <cell r="AT237">
            <v>293654.43942346587</v>
          </cell>
          <cell r="AU237">
            <v>0</v>
          </cell>
        </row>
        <row r="238">
          <cell r="B238">
            <v>224</v>
          </cell>
          <cell r="C238">
            <v>5</v>
          </cell>
          <cell r="D238">
            <v>1549587.8576565241</v>
          </cell>
          <cell r="E238">
            <v>1549587.8576565241</v>
          </cell>
          <cell r="F238">
            <v>1219030</v>
          </cell>
          <cell r="G238">
            <v>1</v>
          </cell>
          <cell r="H238">
            <v>13100</v>
          </cell>
          <cell r="I238">
            <v>192920</v>
          </cell>
          <cell r="J238">
            <v>96660</v>
          </cell>
          <cell r="K238">
            <v>96660</v>
          </cell>
          <cell r="L238">
            <v>96460</v>
          </cell>
          <cell r="M238">
            <v>96460</v>
          </cell>
          <cell r="N238">
            <v>96460</v>
          </cell>
          <cell r="O238">
            <v>96000</v>
          </cell>
          <cell r="P238">
            <v>96660</v>
          </cell>
          <cell r="Q238">
            <v>144990</v>
          </cell>
          <cell r="R238">
            <v>0</v>
          </cell>
          <cell r="S238">
            <v>96000</v>
          </cell>
          <cell r="T238">
            <v>0</v>
          </cell>
          <cell r="U238">
            <v>96660</v>
          </cell>
          <cell r="V238">
            <v>0</v>
          </cell>
          <cell r="W238">
            <v>330557.85765652405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49330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281227.85765652405</v>
          </cell>
          <cell r="AT238">
            <v>281227.85765652405</v>
          </cell>
          <cell r="AU238">
            <v>0</v>
          </cell>
        </row>
        <row r="239">
          <cell r="B239">
            <v>225</v>
          </cell>
          <cell r="C239">
            <v>5</v>
          </cell>
          <cell r="D239">
            <v>1330076.5387635319</v>
          </cell>
          <cell r="E239">
            <v>1330076.5387635319</v>
          </cell>
          <cell r="F239">
            <v>1219030</v>
          </cell>
          <cell r="G239">
            <v>1</v>
          </cell>
          <cell r="H239">
            <v>13100</v>
          </cell>
          <cell r="I239">
            <v>192920</v>
          </cell>
          <cell r="J239">
            <v>96660</v>
          </cell>
          <cell r="K239">
            <v>96660</v>
          </cell>
          <cell r="L239">
            <v>96460</v>
          </cell>
          <cell r="M239">
            <v>96460</v>
          </cell>
          <cell r="N239">
            <v>96460</v>
          </cell>
          <cell r="O239">
            <v>96000</v>
          </cell>
          <cell r="P239">
            <v>96660</v>
          </cell>
          <cell r="Q239">
            <v>144990</v>
          </cell>
          <cell r="R239">
            <v>0</v>
          </cell>
          <cell r="S239">
            <v>96000</v>
          </cell>
          <cell r="T239">
            <v>0</v>
          </cell>
          <cell r="U239">
            <v>96660</v>
          </cell>
          <cell r="V239">
            <v>0</v>
          </cell>
          <cell r="W239">
            <v>111046.53876353195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49330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61716.538763531949</v>
          </cell>
          <cell r="AT239">
            <v>61716.538763531949</v>
          </cell>
          <cell r="AU239">
            <v>0</v>
          </cell>
        </row>
        <row r="240">
          <cell r="B240">
            <v>226</v>
          </cell>
          <cell r="C240">
            <v>5</v>
          </cell>
          <cell r="D240">
            <v>1201751.391017436</v>
          </cell>
          <cell r="E240">
            <v>1201751.391017436</v>
          </cell>
          <cell r="F240">
            <v>1219030</v>
          </cell>
          <cell r="G240">
            <v>0.98582593620947478</v>
          </cell>
          <cell r="H240">
            <v>12914.31976434412</v>
          </cell>
          <cell r="I240">
            <v>190185.53961353187</v>
          </cell>
          <cell r="J240">
            <v>95289.934994007839</v>
          </cell>
          <cell r="K240">
            <v>95289.934994007839</v>
          </cell>
          <cell r="L240">
            <v>95092.769806765937</v>
          </cell>
          <cell r="M240">
            <v>95092.769806765937</v>
          </cell>
          <cell r="N240">
            <v>95092.769806765937</v>
          </cell>
          <cell r="O240">
            <v>94639.289876109586</v>
          </cell>
          <cell r="P240">
            <v>95289.934994007839</v>
          </cell>
          <cell r="Q240">
            <v>142934.90249101174</v>
          </cell>
          <cell r="R240">
            <v>0</v>
          </cell>
          <cell r="S240">
            <v>94639.289876109586</v>
          </cell>
          <cell r="T240">
            <v>0</v>
          </cell>
          <cell r="U240">
            <v>93939.289376807632</v>
          </cell>
          <cell r="V240">
            <v>0</v>
          </cell>
          <cell r="W240">
            <v>1350.6456172000617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1331.5014800634747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19.144137136587005</v>
          </cell>
          <cell r="AT240">
            <v>19.144137136587005</v>
          </cell>
          <cell r="AU240">
            <v>0</v>
          </cell>
        </row>
        <row r="241">
          <cell r="B241">
            <v>227</v>
          </cell>
          <cell r="C241">
            <v>5</v>
          </cell>
          <cell r="D241">
            <v>1338638.4705730679</v>
          </cell>
          <cell r="E241">
            <v>1338638.4705730679</v>
          </cell>
          <cell r="F241">
            <v>1219030</v>
          </cell>
          <cell r="G241">
            <v>1</v>
          </cell>
          <cell r="H241">
            <v>13100</v>
          </cell>
          <cell r="I241">
            <v>192920</v>
          </cell>
          <cell r="J241">
            <v>96660</v>
          </cell>
          <cell r="K241">
            <v>96660</v>
          </cell>
          <cell r="L241">
            <v>96460</v>
          </cell>
          <cell r="M241">
            <v>96460</v>
          </cell>
          <cell r="N241">
            <v>96460</v>
          </cell>
          <cell r="O241">
            <v>96000</v>
          </cell>
          <cell r="P241">
            <v>96660</v>
          </cell>
          <cell r="Q241">
            <v>144990</v>
          </cell>
          <cell r="R241">
            <v>0</v>
          </cell>
          <cell r="S241">
            <v>96000</v>
          </cell>
          <cell r="T241">
            <v>0</v>
          </cell>
          <cell r="U241">
            <v>96660</v>
          </cell>
          <cell r="V241">
            <v>0</v>
          </cell>
          <cell r="W241">
            <v>119608.4705730679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49330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70278.470573067898</v>
          </cell>
          <cell r="AT241">
            <v>70278.470573067898</v>
          </cell>
          <cell r="AU241">
            <v>0</v>
          </cell>
        </row>
        <row r="242">
          <cell r="B242">
            <v>228</v>
          </cell>
          <cell r="C242">
            <v>5</v>
          </cell>
          <cell r="D242">
            <v>1208166.849717072</v>
          </cell>
          <cell r="E242">
            <v>1208166.849717072</v>
          </cell>
          <cell r="F242">
            <v>1219030</v>
          </cell>
          <cell r="G242">
            <v>0.99108869323730509</v>
          </cell>
          <cell r="H242">
            <v>12983.261881408696</v>
          </cell>
          <cell r="I242">
            <v>191200.83069934091</v>
          </cell>
          <cell r="J242">
            <v>95798.633088317903</v>
          </cell>
          <cell r="K242">
            <v>95798.633088317903</v>
          </cell>
          <cell r="L242">
            <v>95600.415349670453</v>
          </cell>
          <cell r="M242">
            <v>95600.415349670453</v>
          </cell>
          <cell r="N242">
            <v>95600.415349670453</v>
          </cell>
          <cell r="O242">
            <v>95144.514550781285</v>
          </cell>
          <cell r="P242">
            <v>95798.633088317903</v>
          </cell>
          <cell r="Q242">
            <v>143697.94963247687</v>
          </cell>
          <cell r="R242">
            <v>0</v>
          </cell>
          <cell r="S242">
            <v>95144.514550781285</v>
          </cell>
          <cell r="T242">
            <v>0</v>
          </cell>
          <cell r="U242">
            <v>94944.942081421075</v>
          </cell>
          <cell r="V242">
            <v>0</v>
          </cell>
          <cell r="W242">
            <v>853.69100689678453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846.08350445377334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7.6075024430111853</v>
          </cell>
          <cell r="AT242">
            <v>7.6075024430111853</v>
          </cell>
          <cell r="AU242">
            <v>0</v>
          </cell>
        </row>
        <row r="243">
          <cell r="B243">
            <v>229</v>
          </cell>
          <cell r="C243">
            <v>5</v>
          </cell>
          <cell r="D243">
            <v>1175379.722553246</v>
          </cell>
          <cell r="E243">
            <v>1175379.722553246</v>
          </cell>
          <cell r="F243">
            <v>1219030</v>
          </cell>
          <cell r="G243">
            <v>0.96419261425333747</v>
          </cell>
          <cell r="H243">
            <v>12630.923246718721</v>
          </cell>
          <cell r="I243">
            <v>186012.03914175386</v>
          </cell>
          <cell r="J243">
            <v>93198.858093727598</v>
          </cell>
          <cell r="K243">
            <v>93198.858093727598</v>
          </cell>
          <cell r="L243">
            <v>93006.019570876932</v>
          </cell>
          <cell r="M243">
            <v>93006.019570876932</v>
          </cell>
          <cell r="N243">
            <v>93006.019570876932</v>
          </cell>
          <cell r="O243">
            <v>92562.490968320402</v>
          </cell>
          <cell r="P243">
            <v>93198.858093727598</v>
          </cell>
          <cell r="Q243">
            <v>139798.28714059139</v>
          </cell>
          <cell r="R243">
            <v>0</v>
          </cell>
          <cell r="S243">
            <v>92562.490968320402</v>
          </cell>
          <cell r="T243">
            <v>0</v>
          </cell>
          <cell r="U243">
            <v>89861.65063081705</v>
          </cell>
          <cell r="V243">
            <v>0</v>
          </cell>
          <cell r="W243">
            <v>3337.2074629105628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3217.7107879694831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119.49667494107962</v>
          </cell>
          <cell r="AT243">
            <v>119.49667494107962</v>
          </cell>
          <cell r="AU243">
            <v>0</v>
          </cell>
        </row>
        <row r="244">
          <cell r="B244">
            <v>230</v>
          </cell>
          <cell r="C244">
            <v>5</v>
          </cell>
          <cell r="D244">
            <v>1232769.4249948699</v>
          </cell>
          <cell r="E244">
            <v>1232769.4249948699</v>
          </cell>
          <cell r="F244">
            <v>1219030</v>
          </cell>
          <cell r="G244">
            <v>1</v>
          </cell>
          <cell r="H244">
            <v>13100</v>
          </cell>
          <cell r="I244">
            <v>192920</v>
          </cell>
          <cell r="J244">
            <v>96660</v>
          </cell>
          <cell r="K244">
            <v>96660</v>
          </cell>
          <cell r="L244">
            <v>96460</v>
          </cell>
          <cell r="M244">
            <v>96460</v>
          </cell>
          <cell r="N244">
            <v>96460</v>
          </cell>
          <cell r="O244">
            <v>96000</v>
          </cell>
          <cell r="P244">
            <v>96660</v>
          </cell>
          <cell r="Q244">
            <v>144990</v>
          </cell>
          <cell r="R244">
            <v>0</v>
          </cell>
          <cell r="S244">
            <v>96000</v>
          </cell>
          <cell r="T244">
            <v>0</v>
          </cell>
          <cell r="U244">
            <v>96660</v>
          </cell>
          <cell r="V244">
            <v>0</v>
          </cell>
          <cell r="W244">
            <v>13739.424994869856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13739.424994869856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</row>
        <row r="245">
          <cell r="B245">
            <v>231</v>
          </cell>
          <cell r="C245">
            <v>5</v>
          </cell>
          <cell r="D245">
            <v>1348892.621880874</v>
          </cell>
          <cell r="E245">
            <v>1348892.621880874</v>
          </cell>
          <cell r="F245">
            <v>1219030</v>
          </cell>
          <cell r="G245">
            <v>1</v>
          </cell>
          <cell r="H245">
            <v>13100</v>
          </cell>
          <cell r="I245">
            <v>192920</v>
          </cell>
          <cell r="J245">
            <v>96660</v>
          </cell>
          <cell r="K245">
            <v>96660</v>
          </cell>
          <cell r="L245">
            <v>96460</v>
          </cell>
          <cell r="M245">
            <v>96460</v>
          </cell>
          <cell r="N245">
            <v>96460</v>
          </cell>
          <cell r="O245">
            <v>96000</v>
          </cell>
          <cell r="P245">
            <v>96660</v>
          </cell>
          <cell r="Q245">
            <v>144990</v>
          </cell>
          <cell r="R245">
            <v>0</v>
          </cell>
          <cell r="S245">
            <v>96000</v>
          </cell>
          <cell r="T245">
            <v>0</v>
          </cell>
          <cell r="U245">
            <v>96660</v>
          </cell>
          <cell r="V245">
            <v>0</v>
          </cell>
          <cell r="W245">
            <v>129862.62188087404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49330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80532.621880874038</v>
          </cell>
          <cell r="AT245">
            <v>80532.621880874038</v>
          </cell>
          <cell r="AU245">
            <v>0</v>
          </cell>
        </row>
        <row r="246">
          <cell r="B246">
            <v>232</v>
          </cell>
          <cell r="C246">
            <v>5</v>
          </cell>
          <cell r="D246">
            <v>1263917.245718484</v>
          </cell>
          <cell r="E246">
            <v>1263917.245718484</v>
          </cell>
          <cell r="F246">
            <v>1219030</v>
          </cell>
          <cell r="G246">
            <v>1</v>
          </cell>
          <cell r="H246">
            <v>13100</v>
          </cell>
          <cell r="I246">
            <v>192920</v>
          </cell>
          <cell r="J246">
            <v>96660</v>
          </cell>
          <cell r="K246">
            <v>96660</v>
          </cell>
          <cell r="L246">
            <v>96460</v>
          </cell>
          <cell r="M246">
            <v>96460</v>
          </cell>
          <cell r="N246">
            <v>96460</v>
          </cell>
          <cell r="O246">
            <v>96000</v>
          </cell>
          <cell r="P246">
            <v>96660</v>
          </cell>
          <cell r="Q246">
            <v>144990</v>
          </cell>
          <cell r="R246">
            <v>0</v>
          </cell>
          <cell r="S246">
            <v>96000</v>
          </cell>
          <cell r="T246">
            <v>0</v>
          </cell>
          <cell r="U246">
            <v>96660</v>
          </cell>
          <cell r="V246">
            <v>0</v>
          </cell>
          <cell r="W246">
            <v>44887.245718484046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44887.245718484046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</row>
        <row r="247">
          <cell r="B247">
            <v>233</v>
          </cell>
          <cell r="C247">
            <v>5</v>
          </cell>
          <cell r="D247">
            <v>1440199.5945376758</v>
          </cell>
          <cell r="E247">
            <v>1440199.5945376758</v>
          </cell>
          <cell r="F247">
            <v>1219030</v>
          </cell>
          <cell r="G247">
            <v>1</v>
          </cell>
          <cell r="H247">
            <v>13100</v>
          </cell>
          <cell r="I247">
            <v>192920</v>
          </cell>
          <cell r="J247">
            <v>96660</v>
          </cell>
          <cell r="K247">
            <v>96660</v>
          </cell>
          <cell r="L247">
            <v>96460</v>
          </cell>
          <cell r="M247">
            <v>96460</v>
          </cell>
          <cell r="N247">
            <v>96460</v>
          </cell>
          <cell r="O247">
            <v>96000</v>
          </cell>
          <cell r="P247">
            <v>96660</v>
          </cell>
          <cell r="Q247">
            <v>144990</v>
          </cell>
          <cell r="R247">
            <v>0</v>
          </cell>
          <cell r="S247">
            <v>96000</v>
          </cell>
          <cell r="T247">
            <v>0</v>
          </cell>
          <cell r="U247">
            <v>96660</v>
          </cell>
          <cell r="V247">
            <v>0</v>
          </cell>
          <cell r="W247">
            <v>221169.59453767585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49330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171839.59453767585</v>
          </cell>
          <cell r="AT247">
            <v>171839.59453767585</v>
          </cell>
          <cell r="AU247">
            <v>0</v>
          </cell>
        </row>
        <row r="248">
          <cell r="B248">
            <v>234</v>
          </cell>
          <cell r="C248">
            <v>5</v>
          </cell>
          <cell r="D248">
            <v>1415987.3778580041</v>
          </cell>
          <cell r="E248">
            <v>1415987.3778580041</v>
          </cell>
          <cell r="F248">
            <v>1219030</v>
          </cell>
          <cell r="G248">
            <v>1</v>
          </cell>
          <cell r="H248">
            <v>13100</v>
          </cell>
          <cell r="I248">
            <v>192920</v>
          </cell>
          <cell r="J248">
            <v>96660</v>
          </cell>
          <cell r="K248">
            <v>96660</v>
          </cell>
          <cell r="L248">
            <v>96460</v>
          </cell>
          <cell r="M248">
            <v>96460</v>
          </cell>
          <cell r="N248">
            <v>96460</v>
          </cell>
          <cell r="O248">
            <v>96000</v>
          </cell>
          <cell r="P248">
            <v>96660</v>
          </cell>
          <cell r="Q248">
            <v>144990</v>
          </cell>
          <cell r="R248">
            <v>0</v>
          </cell>
          <cell r="S248">
            <v>96000</v>
          </cell>
          <cell r="T248">
            <v>0</v>
          </cell>
          <cell r="U248">
            <v>96660</v>
          </cell>
          <cell r="V248">
            <v>0</v>
          </cell>
          <cell r="W248">
            <v>196957.37785800407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49330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147627.37785800407</v>
          </cell>
          <cell r="AT248">
            <v>147627.37785800407</v>
          </cell>
          <cell r="AU248">
            <v>0</v>
          </cell>
        </row>
        <row r="249">
          <cell r="B249">
            <v>235</v>
          </cell>
          <cell r="C249">
            <v>5</v>
          </cell>
          <cell r="D249">
            <v>1216616.9652529759</v>
          </cell>
          <cell r="E249">
            <v>1216616.9652529759</v>
          </cell>
          <cell r="F249">
            <v>1219030</v>
          </cell>
          <cell r="G249">
            <v>0.99802052882453751</v>
          </cell>
          <cell r="H249">
            <v>13074.068927601442</v>
          </cell>
          <cell r="I249">
            <v>192538.12042082977</v>
          </cell>
          <cell r="J249">
            <v>96468.664316179798</v>
          </cell>
          <cell r="K249">
            <v>96468.664316179798</v>
          </cell>
          <cell r="L249">
            <v>96269.060210414886</v>
          </cell>
          <cell r="M249">
            <v>96269.060210414886</v>
          </cell>
          <cell r="N249">
            <v>96269.060210414886</v>
          </cell>
          <cell r="O249">
            <v>95809.970767155595</v>
          </cell>
          <cell r="P249">
            <v>96468.664316179798</v>
          </cell>
          <cell r="Q249">
            <v>144702.99647426969</v>
          </cell>
          <cell r="R249">
            <v>0</v>
          </cell>
          <cell r="S249">
            <v>95809.970767155595</v>
          </cell>
          <cell r="T249">
            <v>0</v>
          </cell>
          <cell r="U249">
            <v>96277.707375830447</v>
          </cell>
          <cell r="V249">
            <v>0</v>
          </cell>
          <cell r="W249">
            <v>190.95694034919143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190.5789465900157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0.3779937591757232</v>
          </cell>
          <cell r="AT249">
            <v>0.3779937591757232</v>
          </cell>
          <cell r="AU249">
            <v>0</v>
          </cell>
        </row>
        <row r="250">
          <cell r="B250">
            <v>236</v>
          </cell>
          <cell r="C250">
            <v>5</v>
          </cell>
          <cell r="D250">
            <v>1232247.2829313918</v>
          </cell>
          <cell r="E250">
            <v>1232247.2829313918</v>
          </cell>
          <cell r="F250">
            <v>1219030</v>
          </cell>
          <cell r="G250">
            <v>1</v>
          </cell>
          <cell r="H250">
            <v>13100</v>
          </cell>
          <cell r="I250">
            <v>192920</v>
          </cell>
          <cell r="J250">
            <v>96660</v>
          </cell>
          <cell r="K250">
            <v>96660</v>
          </cell>
          <cell r="L250">
            <v>96460</v>
          </cell>
          <cell r="M250">
            <v>96460</v>
          </cell>
          <cell r="N250">
            <v>96460</v>
          </cell>
          <cell r="O250">
            <v>96000</v>
          </cell>
          <cell r="P250">
            <v>96660</v>
          </cell>
          <cell r="Q250">
            <v>144990</v>
          </cell>
          <cell r="R250">
            <v>0</v>
          </cell>
          <cell r="S250">
            <v>96000</v>
          </cell>
          <cell r="T250">
            <v>0</v>
          </cell>
          <cell r="U250">
            <v>96660</v>
          </cell>
          <cell r="V250">
            <v>0</v>
          </cell>
          <cell r="W250">
            <v>13217.282931391848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13217.282931391848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</row>
        <row r="251">
          <cell r="B251">
            <v>237</v>
          </cell>
          <cell r="C251">
            <v>5</v>
          </cell>
          <cell r="D251">
            <v>1041852.123004504</v>
          </cell>
          <cell r="E251">
            <v>1041852.123004504</v>
          </cell>
          <cell r="F251">
            <v>1219030</v>
          </cell>
          <cell r="G251">
            <v>0.85465667211184626</v>
          </cell>
          <cell r="H251">
            <v>11196.002404665185</v>
          </cell>
          <cell r="I251">
            <v>164880.36518381737</v>
          </cell>
          <cell r="J251">
            <v>82611.113926331062</v>
          </cell>
          <cell r="K251">
            <v>82611.113926331062</v>
          </cell>
          <cell r="L251">
            <v>82440.182591908684</v>
          </cell>
          <cell r="M251">
            <v>82440.182591908684</v>
          </cell>
          <cell r="N251">
            <v>82440.182591908684</v>
          </cell>
          <cell r="O251">
            <v>82047.040522737239</v>
          </cell>
          <cell r="P251">
            <v>82611.113926331062</v>
          </cell>
          <cell r="Q251">
            <v>123916.67088949659</v>
          </cell>
          <cell r="R251">
            <v>0</v>
          </cell>
          <cell r="S251">
            <v>82047.040522737239</v>
          </cell>
          <cell r="T251">
            <v>0</v>
          </cell>
          <cell r="U251">
            <v>70604.139707730894</v>
          </cell>
          <cell r="V251">
            <v>0</v>
          </cell>
          <cell r="W251">
            <v>12006.97421860043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10261.840627801779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1745.1335907986504</v>
          </cell>
          <cell r="AT251">
            <v>1745.1335907986504</v>
          </cell>
          <cell r="AU251">
            <v>0</v>
          </cell>
        </row>
        <row r="252">
          <cell r="B252">
            <v>238</v>
          </cell>
          <cell r="C252">
            <v>5</v>
          </cell>
          <cell r="D252">
            <v>1138870.710852812</v>
          </cell>
          <cell r="E252">
            <v>1138870.710852812</v>
          </cell>
          <cell r="F252">
            <v>1219030</v>
          </cell>
          <cell r="G252">
            <v>0.93424338273283847</v>
          </cell>
          <cell r="H252">
            <v>12238.588313800185</v>
          </cell>
          <cell r="I252">
            <v>180234.23339681921</v>
          </cell>
          <cell r="J252">
            <v>90303.965374956169</v>
          </cell>
          <cell r="K252">
            <v>90303.965374956169</v>
          </cell>
          <cell r="L252">
            <v>90117.116698409605</v>
          </cell>
          <cell r="M252">
            <v>90117.116698409605</v>
          </cell>
          <cell r="N252">
            <v>90117.116698409605</v>
          </cell>
          <cell r="O252">
            <v>89687.364742352496</v>
          </cell>
          <cell r="P252">
            <v>90303.965374956169</v>
          </cell>
          <cell r="Q252">
            <v>135455.94806243424</v>
          </cell>
          <cell r="R252">
            <v>0</v>
          </cell>
          <cell r="S252">
            <v>89687.364742352496</v>
          </cell>
          <cell r="T252">
            <v>0</v>
          </cell>
          <cell r="U252">
            <v>84365.882086088037</v>
          </cell>
          <cell r="V252">
            <v>0</v>
          </cell>
          <cell r="W252">
            <v>5938.0832888679579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5547.6150187413396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390.46827012661834</v>
          </cell>
          <cell r="AT252">
            <v>390.46827012661834</v>
          </cell>
          <cell r="AU252">
            <v>0</v>
          </cell>
        </row>
        <row r="253">
          <cell r="B253">
            <v>239</v>
          </cell>
          <cell r="C253">
            <v>5</v>
          </cell>
          <cell r="D253">
            <v>1386701.4977622801</v>
          </cell>
          <cell r="E253">
            <v>1386701.4977622801</v>
          </cell>
          <cell r="F253">
            <v>1219030</v>
          </cell>
          <cell r="G253">
            <v>1</v>
          </cell>
          <cell r="H253">
            <v>13100</v>
          </cell>
          <cell r="I253">
            <v>192920</v>
          </cell>
          <cell r="J253">
            <v>96660</v>
          </cell>
          <cell r="K253">
            <v>96660</v>
          </cell>
          <cell r="L253">
            <v>96460</v>
          </cell>
          <cell r="M253">
            <v>96460</v>
          </cell>
          <cell r="N253">
            <v>96460</v>
          </cell>
          <cell r="O253">
            <v>96000</v>
          </cell>
          <cell r="P253">
            <v>96660</v>
          </cell>
          <cell r="Q253">
            <v>144990</v>
          </cell>
          <cell r="R253">
            <v>0</v>
          </cell>
          <cell r="S253">
            <v>96000</v>
          </cell>
          <cell r="T253">
            <v>0</v>
          </cell>
          <cell r="U253">
            <v>96660</v>
          </cell>
          <cell r="V253">
            <v>0</v>
          </cell>
          <cell r="W253">
            <v>167671.49776228005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49330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118341.49776228005</v>
          </cell>
          <cell r="AT253">
            <v>118341.49776228005</v>
          </cell>
          <cell r="AU253">
            <v>0</v>
          </cell>
        </row>
        <row r="254">
          <cell r="B254">
            <v>240</v>
          </cell>
          <cell r="C254">
            <v>5</v>
          </cell>
          <cell r="D254">
            <v>1388407.694294754</v>
          </cell>
          <cell r="E254">
            <v>1388407.694294754</v>
          </cell>
          <cell r="F254">
            <v>1219030</v>
          </cell>
          <cell r="G254">
            <v>1</v>
          </cell>
          <cell r="H254">
            <v>13100</v>
          </cell>
          <cell r="I254">
            <v>192920</v>
          </cell>
          <cell r="J254">
            <v>96660</v>
          </cell>
          <cell r="K254">
            <v>96660</v>
          </cell>
          <cell r="L254">
            <v>96460</v>
          </cell>
          <cell r="M254">
            <v>96460</v>
          </cell>
          <cell r="N254">
            <v>96460</v>
          </cell>
          <cell r="O254">
            <v>96000</v>
          </cell>
          <cell r="P254">
            <v>96660</v>
          </cell>
          <cell r="Q254">
            <v>144990</v>
          </cell>
          <cell r="R254">
            <v>0</v>
          </cell>
          <cell r="S254">
            <v>96000</v>
          </cell>
          <cell r="T254">
            <v>0</v>
          </cell>
          <cell r="U254">
            <v>96660</v>
          </cell>
          <cell r="V254">
            <v>0</v>
          </cell>
          <cell r="W254">
            <v>169377.69429475395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49330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120047.69429475395</v>
          </cell>
          <cell r="AT254">
            <v>120047.69429475395</v>
          </cell>
          <cell r="AU254">
            <v>0</v>
          </cell>
        </row>
        <row r="255">
          <cell r="B255">
            <v>241</v>
          </cell>
          <cell r="C255">
            <v>5</v>
          </cell>
          <cell r="D255">
            <v>1406018.7573917939</v>
          </cell>
          <cell r="E255">
            <v>1406018.7573917939</v>
          </cell>
          <cell r="F255">
            <v>1219030</v>
          </cell>
          <cell r="G255">
            <v>1</v>
          </cell>
          <cell r="H255">
            <v>13100</v>
          </cell>
          <cell r="I255">
            <v>192920</v>
          </cell>
          <cell r="J255">
            <v>96660</v>
          </cell>
          <cell r="K255">
            <v>96660</v>
          </cell>
          <cell r="L255">
            <v>96460</v>
          </cell>
          <cell r="M255">
            <v>96460</v>
          </cell>
          <cell r="N255">
            <v>96460</v>
          </cell>
          <cell r="O255">
            <v>96000</v>
          </cell>
          <cell r="P255">
            <v>96660</v>
          </cell>
          <cell r="Q255">
            <v>144990</v>
          </cell>
          <cell r="R255">
            <v>0</v>
          </cell>
          <cell r="S255">
            <v>96000</v>
          </cell>
          <cell r="T255">
            <v>0</v>
          </cell>
          <cell r="U255">
            <v>96660</v>
          </cell>
          <cell r="V255">
            <v>0</v>
          </cell>
          <cell r="W255">
            <v>186988.75739179389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49330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137658.75739179389</v>
          </cell>
          <cell r="AT255">
            <v>137658.75739179389</v>
          </cell>
          <cell r="AU255">
            <v>0</v>
          </cell>
        </row>
        <row r="256">
          <cell r="B256">
            <v>242</v>
          </cell>
          <cell r="C256">
            <v>5</v>
          </cell>
          <cell r="D256">
            <v>1139727.3033775999</v>
          </cell>
          <cell r="E256">
            <v>1139727.3033775999</v>
          </cell>
          <cell r="F256">
            <v>1219030</v>
          </cell>
          <cell r="G256">
            <v>0.934946066444304</v>
          </cell>
          <cell r="H256">
            <v>12247.793470420382</v>
          </cell>
          <cell r="I256">
            <v>180369.79513843512</v>
          </cell>
          <cell r="J256">
            <v>90371.886782506423</v>
          </cell>
          <cell r="K256">
            <v>90371.886782506423</v>
          </cell>
          <cell r="L256">
            <v>90184.897569217559</v>
          </cell>
          <cell r="M256">
            <v>90184.897569217559</v>
          </cell>
          <cell r="N256">
            <v>90184.897569217559</v>
          </cell>
          <cell r="O256">
            <v>89754.822378653189</v>
          </cell>
          <cell r="P256">
            <v>90371.886782506423</v>
          </cell>
          <cell r="Q256">
            <v>135557.83017375963</v>
          </cell>
          <cell r="R256">
            <v>0</v>
          </cell>
          <cell r="S256">
            <v>89754.822378653189</v>
          </cell>
          <cell r="T256">
            <v>0</v>
          </cell>
          <cell r="U256">
            <v>84492.840064454416</v>
          </cell>
          <cell r="V256">
            <v>0</v>
          </cell>
          <cell r="W256">
            <v>5879.0467180521227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5496.5916034851271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382.45511456699569</v>
          </cell>
          <cell r="AT256">
            <v>382.45511456699569</v>
          </cell>
          <cell r="AU256">
            <v>0</v>
          </cell>
        </row>
        <row r="257">
          <cell r="B257">
            <v>243</v>
          </cell>
          <cell r="C257">
            <v>5</v>
          </cell>
          <cell r="D257">
            <v>1183433.4893335081</v>
          </cell>
          <cell r="E257">
            <v>1183433.4893335081</v>
          </cell>
          <cell r="F257">
            <v>1219030</v>
          </cell>
          <cell r="G257">
            <v>0.97079931530274732</v>
          </cell>
          <cell r="H257">
            <v>12717.471030465989</v>
          </cell>
          <cell r="I257">
            <v>187286.60390820602</v>
          </cell>
          <cell r="J257">
            <v>93837.461817163552</v>
          </cell>
          <cell r="K257">
            <v>93837.461817163552</v>
          </cell>
          <cell r="L257">
            <v>93643.301954103008</v>
          </cell>
          <cell r="M257">
            <v>93643.301954103008</v>
          </cell>
          <cell r="N257">
            <v>93643.301954103008</v>
          </cell>
          <cell r="O257">
            <v>93196.734269063745</v>
          </cell>
          <cell r="P257">
            <v>93837.461817163552</v>
          </cell>
          <cell r="Q257">
            <v>140756.19272574532</v>
          </cell>
          <cell r="R257">
            <v>0</v>
          </cell>
          <cell r="S257">
            <v>93196.734269063745</v>
          </cell>
          <cell r="T257">
            <v>0</v>
          </cell>
          <cell r="U257">
            <v>91097.343681850252</v>
          </cell>
          <cell r="V257">
            <v>0</v>
          </cell>
          <cell r="W257">
            <v>2740.1181353135034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2660.1048096109898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80.013325702513612</v>
          </cell>
          <cell r="AT257">
            <v>80.013325702513612</v>
          </cell>
          <cell r="AU257">
            <v>0</v>
          </cell>
        </row>
        <row r="258">
          <cell r="B258">
            <v>244</v>
          </cell>
          <cell r="C258">
            <v>6</v>
          </cell>
          <cell r="D258">
            <v>1227074.7819163259</v>
          </cell>
          <cell r="E258">
            <v>1227074.7819163259</v>
          </cell>
          <cell r="F258">
            <v>1219030</v>
          </cell>
          <cell r="G258">
            <v>1</v>
          </cell>
          <cell r="H258">
            <v>13100</v>
          </cell>
          <cell r="I258">
            <v>192920</v>
          </cell>
          <cell r="J258">
            <v>96660</v>
          </cell>
          <cell r="K258">
            <v>96660</v>
          </cell>
          <cell r="L258">
            <v>96460</v>
          </cell>
          <cell r="M258">
            <v>96460</v>
          </cell>
          <cell r="N258">
            <v>96460</v>
          </cell>
          <cell r="O258">
            <v>96000</v>
          </cell>
          <cell r="P258">
            <v>96660</v>
          </cell>
          <cell r="Q258">
            <v>144990</v>
          </cell>
          <cell r="R258">
            <v>0</v>
          </cell>
          <cell r="S258">
            <v>96000</v>
          </cell>
          <cell r="T258">
            <v>0</v>
          </cell>
          <cell r="U258">
            <v>96660</v>
          </cell>
          <cell r="V258">
            <v>0</v>
          </cell>
          <cell r="W258">
            <v>8044.7819163259119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8044.7819163259119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</row>
        <row r="259">
          <cell r="B259">
            <v>245</v>
          </cell>
          <cell r="C259">
            <v>6</v>
          </cell>
          <cell r="D259">
            <v>1169360.6126092519</v>
          </cell>
          <cell r="E259">
            <v>1169360.6126092519</v>
          </cell>
          <cell r="F259">
            <v>1219030</v>
          </cell>
          <cell r="G259">
            <v>0.95925499176332973</v>
          </cell>
          <cell r="H259">
            <v>12566.24039209962</v>
          </cell>
          <cell r="I259">
            <v>185059.47301098157</v>
          </cell>
          <cell r="J259">
            <v>92721.587503843446</v>
          </cell>
          <cell r="K259">
            <v>92721.587503843446</v>
          </cell>
          <cell r="L259">
            <v>92529.736505490786</v>
          </cell>
          <cell r="M259">
            <v>92529.736505490786</v>
          </cell>
          <cell r="N259">
            <v>92529.736505490786</v>
          </cell>
          <cell r="O259">
            <v>92088.479209279656</v>
          </cell>
          <cell r="P259">
            <v>92721.587503843446</v>
          </cell>
          <cell r="Q259">
            <v>139082.38125576518</v>
          </cell>
          <cell r="R259">
            <v>0</v>
          </cell>
          <cell r="S259">
            <v>92088.479209279656</v>
          </cell>
          <cell r="T259">
            <v>0</v>
          </cell>
          <cell r="U259">
            <v>88943.645657282235</v>
          </cell>
          <cell r="V259">
            <v>0</v>
          </cell>
          <cell r="W259">
            <v>3777.9418465611525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3624.0095749053571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153.93227165579538</v>
          </cell>
          <cell r="AT259">
            <v>153.93227165579538</v>
          </cell>
          <cell r="AU259">
            <v>0</v>
          </cell>
        </row>
        <row r="260">
          <cell r="B260">
            <v>246</v>
          </cell>
          <cell r="C260">
            <v>6</v>
          </cell>
          <cell r="D260">
            <v>1107071.959679126</v>
          </cell>
          <cell r="E260">
            <v>1107071.959679126</v>
          </cell>
          <cell r="F260">
            <v>1219030</v>
          </cell>
          <cell r="G260">
            <v>0.90815809264671588</v>
          </cell>
          <cell r="H260">
            <v>11896.871013671978</v>
          </cell>
          <cell r="I260">
            <v>175201.85923340442</v>
          </cell>
          <cell r="J260">
            <v>87782.561235231551</v>
          </cell>
          <cell r="K260">
            <v>87782.561235231551</v>
          </cell>
          <cell r="L260">
            <v>87600.929616702211</v>
          </cell>
          <cell r="M260">
            <v>87600.929616702211</v>
          </cell>
          <cell r="N260">
            <v>87600.929616702211</v>
          </cell>
          <cell r="O260">
            <v>87183.176894084725</v>
          </cell>
          <cell r="P260">
            <v>87782.561235231551</v>
          </cell>
          <cell r="Q260">
            <v>131673.84185284734</v>
          </cell>
          <cell r="R260">
            <v>0</v>
          </cell>
          <cell r="S260">
            <v>87183.176894084725</v>
          </cell>
          <cell r="T260">
            <v>0</v>
          </cell>
          <cell r="U260">
            <v>79720.443379031451</v>
          </cell>
          <cell r="V260">
            <v>0</v>
          </cell>
          <cell r="W260">
            <v>8062.117856200086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7321.6775749796998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740.44028122038617</v>
          </cell>
          <cell r="AT260">
            <v>740.44028122038617</v>
          </cell>
          <cell r="AU260">
            <v>0</v>
          </cell>
        </row>
        <row r="261">
          <cell r="B261">
            <v>247</v>
          </cell>
          <cell r="C261">
            <v>6</v>
          </cell>
          <cell r="D261">
            <v>1039084.6702321119</v>
          </cell>
          <cell r="E261">
            <v>1039084.6702321119</v>
          </cell>
          <cell r="F261">
            <v>1219030</v>
          </cell>
          <cell r="G261">
            <v>0.85238646319788025</v>
          </cell>
          <cell r="H261">
            <v>11166.262667892232</v>
          </cell>
          <cell r="I261">
            <v>164442.39648013507</v>
          </cell>
          <cell r="J261">
            <v>82391.675532707101</v>
          </cell>
          <cell r="K261">
            <v>82391.675532707101</v>
          </cell>
          <cell r="L261">
            <v>82221.198240067533</v>
          </cell>
          <cell r="M261">
            <v>82221.198240067533</v>
          </cell>
          <cell r="N261">
            <v>82221.198240067533</v>
          </cell>
          <cell r="O261">
            <v>81829.100466996504</v>
          </cell>
          <cell r="P261">
            <v>82391.675532707101</v>
          </cell>
          <cell r="Q261">
            <v>123587.51329906065</v>
          </cell>
          <cell r="R261">
            <v>0</v>
          </cell>
          <cell r="S261">
            <v>81829.100466996504</v>
          </cell>
          <cell r="T261">
            <v>0</v>
          </cell>
          <cell r="U261">
            <v>70229.548904271462</v>
          </cell>
          <cell r="V261">
            <v>0</v>
          </cell>
          <cell r="W261">
            <v>12162.126628435566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10366.832101776952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1795.2945266586139</v>
          </cell>
          <cell r="AT261">
            <v>1795.2945266586139</v>
          </cell>
          <cell r="AU261">
            <v>0</v>
          </cell>
        </row>
        <row r="262">
          <cell r="B262">
            <v>248</v>
          </cell>
          <cell r="C262">
            <v>6</v>
          </cell>
          <cell r="D262">
            <v>1055751.285160796</v>
          </cell>
          <cell r="E262">
            <v>1055751.285160796</v>
          </cell>
          <cell r="F262">
            <v>1219030</v>
          </cell>
          <cell r="G262">
            <v>0.8660584933601273</v>
          </cell>
          <cell r="H262">
            <v>11345.366263017668</v>
          </cell>
          <cell r="I262">
            <v>167080.00453903576</v>
          </cell>
          <cell r="J262">
            <v>83713.213968189899</v>
          </cell>
          <cell r="K262">
            <v>83713.213968189899</v>
          </cell>
          <cell r="L262">
            <v>83540.002269517878</v>
          </cell>
          <cell r="M262">
            <v>83540.002269517878</v>
          </cell>
          <cell r="N262">
            <v>83540.002269517878</v>
          </cell>
          <cell r="O262">
            <v>83141.615362572222</v>
          </cell>
          <cell r="P262">
            <v>83713.213968189899</v>
          </cell>
          <cell r="Q262">
            <v>125569.82095228486</v>
          </cell>
          <cell r="R262">
            <v>0</v>
          </cell>
          <cell r="S262">
            <v>83141.615362572222</v>
          </cell>
          <cell r="T262">
            <v>0</v>
          </cell>
          <cell r="U262">
            <v>72500.539963624513</v>
          </cell>
          <cell r="V262">
            <v>0</v>
          </cell>
          <cell r="W262">
            <v>11212.674004565342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9710.8315549321251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1501.8424496332173</v>
          </cell>
          <cell r="AT262">
            <v>1501.8424496332173</v>
          </cell>
          <cell r="AU262">
            <v>0</v>
          </cell>
        </row>
        <row r="263">
          <cell r="B263">
            <v>249</v>
          </cell>
          <cell r="C263">
            <v>6</v>
          </cell>
          <cell r="D263">
            <v>1255933.3641092419</v>
          </cell>
          <cell r="E263">
            <v>1255933.3641092419</v>
          </cell>
          <cell r="F263">
            <v>1219030</v>
          </cell>
          <cell r="G263">
            <v>1</v>
          </cell>
          <cell r="H263">
            <v>13100</v>
          </cell>
          <cell r="I263">
            <v>192920</v>
          </cell>
          <cell r="J263">
            <v>96660</v>
          </cell>
          <cell r="K263">
            <v>96660</v>
          </cell>
          <cell r="L263">
            <v>96460</v>
          </cell>
          <cell r="M263">
            <v>96460</v>
          </cell>
          <cell r="N263">
            <v>96460</v>
          </cell>
          <cell r="O263">
            <v>96000</v>
          </cell>
          <cell r="P263">
            <v>96660</v>
          </cell>
          <cell r="Q263">
            <v>144990</v>
          </cell>
          <cell r="R263">
            <v>0</v>
          </cell>
          <cell r="S263">
            <v>96000</v>
          </cell>
          <cell r="T263">
            <v>0</v>
          </cell>
          <cell r="U263">
            <v>96660</v>
          </cell>
          <cell r="V263">
            <v>0</v>
          </cell>
          <cell r="W263">
            <v>36903.364109241869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36903.364109241869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</row>
        <row r="264">
          <cell r="B264">
            <v>250</v>
          </cell>
          <cell r="C264">
            <v>6</v>
          </cell>
          <cell r="D264">
            <v>1305116.550753946</v>
          </cell>
          <cell r="E264">
            <v>1305116.550753946</v>
          </cell>
          <cell r="F264">
            <v>1219030</v>
          </cell>
          <cell r="G264">
            <v>1</v>
          </cell>
          <cell r="H264">
            <v>13100</v>
          </cell>
          <cell r="I264">
            <v>192920</v>
          </cell>
          <cell r="J264">
            <v>96660</v>
          </cell>
          <cell r="K264">
            <v>96660</v>
          </cell>
          <cell r="L264">
            <v>96460</v>
          </cell>
          <cell r="M264">
            <v>96460</v>
          </cell>
          <cell r="N264">
            <v>96460</v>
          </cell>
          <cell r="O264">
            <v>96000</v>
          </cell>
          <cell r="P264">
            <v>96660</v>
          </cell>
          <cell r="Q264">
            <v>144990</v>
          </cell>
          <cell r="R264">
            <v>0</v>
          </cell>
          <cell r="S264">
            <v>96000</v>
          </cell>
          <cell r="T264">
            <v>0</v>
          </cell>
          <cell r="U264">
            <v>96660</v>
          </cell>
          <cell r="V264">
            <v>0</v>
          </cell>
          <cell r="W264">
            <v>86086.55075394595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49330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36756.55075394595</v>
          </cell>
          <cell r="AT264">
            <v>36756.55075394595</v>
          </cell>
          <cell r="AU264">
            <v>0</v>
          </cell>
        </row>
        <row r="265">
          <cell r="B265">
            <v>251</v>
          </cell>
          <cell r="C265">
            <v>6</v>
          </cell>
          <cell r="D265">
            <v>1287634.2760435001</v>
          </cell>
          <cell r="E265">
            <v>1287634.2760435001</v>
          </cell>
          <cell r="F265">
            <v>1219030</v>
          </cell>
          <cell r="G265">
            <v>1</v>
          </cell>
          <cell r="H265">
            <v>13100</v>
          </cell>
          <cell r="I265">
            <v>192920</v>
          </cell>
          <cell r="J265">
            <v>96660</v>
          </cell>
          <cell r="K265">
            <v>96660</v>
          </cell>
          <cell r="L265">
            <v>96460</v>
          </cell>
          <cell r="M265">
            <v>96460</v>
          </cell>
          <cell r="N265">
            <v>96460</v>
          </cell>
          <cell r="O265">
            <v>96000</v>
          </cell>
          <cell r="P265">
            <v>96660</v>
          </cell>
          <cell r="Q265">
            <v>144990</v>
          </cell>
          <cell r="R265">
            <v>0</v>
          </cell>
          <cell r="S265">
            <v>96000</v>
          </cell>
          <cell r="T265">
            <v>0</v>
          </cell>
          <cell r="U265">
            <v>96660</v>
          </cell>
          <cell r="V265">
            <v>0</v>
          </cell>
          <cell r="W265">
            <v>68604.276043500053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49330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19274.276043500053</v>
          </cell>
          <cell r="AT265">
            <v>19274.276043500053</v>
          </cell>
          <cell r="AU265">
            <v>0</v>
          </cell>
        </row>
        <row r="266">
          <cell r="B266">
            <v>252</v>
          </cell>
          <cell r="C266">
            <v>6</v>
          </cell>
          <cell r="D266">
            <v>1362539.1990619081</v>
          </cell>
          <cell r="E266">
            <v>1362539.1990619081</v>
          </cell>
          <cell r="F266">
            <v>1219030</v>
          </cell>
          <cell r="G266">
            <v>1</v>
          </cell>
          <cell r="H266">
            <v>13100</v>
          </cell>
          <cell r="I266">
            <v>192920</v>
          </cell>
          <cell r="J266">
            <v>96660</v>
          </cell>
          <cell r="K266">
            <v>96660</v>
          </cell>
          <cell r="L266">
            <v>96460</v>
          </cell>
          <cell r="M266">
            <v>96460</v>
          </cell>
          <cell r="N266">
            <v>96460</v>
          </cell>
          <cell r="O266">
            <v>96000</v>
          </cell>
          <cell r="P266">
            <v>96660</v>
          </cell>
          <cell r="Q266">
            <v>144990</v>
          </cell>
          <cell r="R266">
            <v>0</v>
          </cell>
          <cell r="S266">
            <v>96000</v>
          </cell>
          <cell r="T266">
            <v>0</v>
          </cell>
          <cell r="U266">
            <v>96660</v>
          </cell>
          <cell r="V266">
            <v>0</v>
          </cell>
          <cell r="W266">
            <v>143509.19906190806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49330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94179.199061908061</v>
          </cell>
          <cell r="AT266">
            <v>94179.199061908061</v>
          </cell>
          <cell r="AU266">
            <v>0</v>
          </cell>
        </row>
        <row r="267">
          <cell r="B267">
            <v>253</v>
          </cell>
          <cell r="C267">
            <v>6</v>
          </cell>
          <cell r="D267">
            <v>1420061.68332847</v>
          </cell>
          <cell r="E267">
            <v>1420061.68332847</v>
          </cell>
          <cell r="F267">
            <v>1219030</v>
          </cell>
          <cell r="G267">
            <v>1</v>
          </cell>
          <cell r="H267">
            <v>13100</v>
          </cell>
          <cell r="I267">
            <v>192920</v>
          </cell>
          <cell r="J267">
            <v>96660</v>
          </cell>
          <cell r="K267">
            <v>96660</v>
          </cell>
          <cell r="L267">
            <v>96460</v>
          </cell>
          <cell r="M267">
            <v>96460</v>
          </cell>
          <cell r="N267">
            <v>96460</v>
          </cell>
          <cell r="O267">
            <v>96000</v>
          </cell>
          <cell r="P267">
            <v>96660</v>
          </cell>
          <cell r="Q267">
            <v>144990</v>
          </cell>
          <cell r="R267">
            <v>0</v>
          </cell>
          <cell r="S267">
            <v>96000</v>
          </cell>
          <cell r="T267">
            <v>0</v>
          </cell>
          <cell r="U267">
            <v>96660</v>
          </cell>
          <cell r="V267">
            <v>0</v>
          </cell>
          <cell r="W267">
            <v>201031.68332846998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49330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151701.68332846998</v>
          </cell>
          <cell r="AT267">
            <v>151701.68332846998</v>
          </cell>
          <cell r="AU267">
            <v>0</v>
          </cell>
        </row>
        <row r="268">
          <cell r="B268">
            <v>254</v>
          </cell>
          <cell r="C268">
            <v>6</v>
          </cell>
          <cell r="D268">
            <v>1415199.67214465</v>
          </cell>
          <cell r="E268">
            <v>1415199.67214465</v>
          </cell>
          <cell r="F268">
            <v>1219030</v>
          </cell>
          <cell r="G268">
            <v>1</v>
          </cell>
          <cell r="H268">
            <v>13100</v>
          </cell>
          <cell r="I268">
            <v>192920</v>
          </cell>
          <cell r="J268">
            <v>96660</v>
          </cell>
          <cell r="K268">
            <v>96660</v>
          </cell>
          <cell r="L268">
            <v>96460</v>
          </cell>
          <cell r="M268">
            <v>96460</v>
          </cell>
          <cell r="N268">
            <v>96460</v>
          </cell>
          <cell r="O268">
            <v>96000</v>
          </cell>
          <cell r="P268">
            <v>96660</v>
          </cell>
          <cell r="Q268">
            <v>144990</v>
          </cell>
          <cell r="R268">
            <v>0</v>
          </cell>
          <cell r="S268">
            <v>96000</v>
          </cell>
          <cell r="T268">
            <v>0</v>
          </cell>
          <cell r="U268">
            <v>96660</v>
          </cell>
          <cell r="V268">
            <v>0</v>
          </cell>
          <cell r="W268">
            <v>196169.67214465002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49330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146839.67214465002</v>
          </cell>
          <cell r="AT268">
            <v>146839.67214465002</v>
          </cell>
          <cell r="AU268">
            <v>0</v>
          </cell>
        </row>
        <row r="269">
          <cell r="B269">
            <v>255</v>
          </cell>
          <cell r="C269">
            <v>6</v>
          </cell>
          <cell r="D269">
            <v>1157937.3822262399</v>
          </cell>
          <cell r="E269">
            <v>1157937.3822262399</v>
          </cell>
          <cell r="F269">
            <v>1219030</v>
          </cell>
          <cell r="G269">
            <v>0.94988423765308472</v>
          </cell>
          <cell r="H269">
            <v>12443.483513255409</v>
          </cell>
          <cell r="I269">
            <v>183251.66712803309</v>
          </cell>
          <cell r="J269">
            <v>91815.810411547165</v>
          </cell>
          <cell r="K269">
            <v>91815.810411547165</v>
          </cell>
          <cell r="L269">
            <v>91625.833564016546</v>
          </cell>
          <cell r="M269">
            <v>91625.833564016546</v>
          </cell>
          <cell r="N269">
            <v>91625.833564016546</v>
          </cell>
          <cell r="O269">
            <v>91188.886814696132</v>
          </cell>
          <cell r="P269">
            <v>91815.810411547165</v>
          </cell>
          <cell r="Q269">
            <v>137723.71561732076</v>
          </cell>
          <cell r="R269">
            <v>0</v>
          </cell>
          <cell r="S269">
            <v>91188.886814696132</v>
          </cell>
          <cell r="T269">
            <v>0</v>
          </cell>
          <cell r="U269">
            <v>87214.391077272769</v>
          </cell>
          <cell r="V269">
            <v>0</v>
          </cell>
          <cell r="W269">
            <v>4601.4193342744838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4370.8156964594828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230.60363781500109</v>
          </cell>
          <cell r="AT269">
            <v>230.60363781500109</v>
          </cell>
          <cell r="AU269">
            <v>0</v>
          </cell>
        </row>
        <row r="270">
          <cell r="B270">
            <v>256</v>
          </cell>
          <cell r="C270">
            <v>6</v>
          </cell>
          <cell r="D270">
            <v>1140375.2387489139</v>
          </cell>
          <cell r="E270">
            <v>1140375.2387489139</v>
          </cell>
          <cell r="F270">
            <v>1219030</v>
          </cell>
          <cell r="G270">
            <v>0.93547758361066902</v>
          </cell>
          <cell r="H270">
            <v>12254.756345299764</v>
          </cell>
          <cell r="I270">
            <v>180472.33543017026</v>
          </cell>
          <cell r="J270">
            <v>90423.263231807272</v>
          </cell>
          <cell r="K270">
            <v>90423.263231807272</v>
          </cell>
          <cell r="L270">
            <v>90236.167715085132</v>
          </cell>
          <cell r="M270">
            <v>90236.167715085132</v>
          </cell>
          <cell r="N270">
            <v>90236.167715085132</v>
          </cell>
          <cell r="O270">
            <v>89805.848026624226</v>
          </cell>
          <cell r="P270">
            <v>90423.263231807272</v>
          </cell>
          <cell r="Q270">
            <v>135634.89484771091</v>
          </cell>
          <cell r="R270">
            <v>0</v>
          </cell>
          <cell r="S270">
            <v>89805.848026624226</v>
          </cell>
          <cell r="T270">
            <v>0</v>
          </cell>
          <cell r="U270">
            <v>84588.93579028263</v>
          </cell>
          <cell r="V270">
            <v>0</v>
          </cell>
          <cell r="W270">
            <v>5834.3274415247142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5457.8825369909564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376.44490453375784</v>
          </cell>
          <cell r="AT270">
            <v>376.44490453375784</v>
          </cell>
          <cell r="AU270">
            <v>0</v>
          </cell>
        </row>
        <row r="271">
          <cell r="B271">
            <v>257</v>
          </cell>
          <cell r="C271">
            <v>6</v>
          </cell>
          <cell r="D271">
            <v>1284418.559816994</v>
          </cell>
          <cell r="E271">
            <v>1284418.559816994</v>
          </cell>
          <cell r="F271">
            <v>1219030</v>
          </cell>
          <cell r="G271">
            <v>1</v>
          </cell>
          <cell r="H271">
            <v>13100</v>
          </cell>
          <cell r="I271">
            <v>192920</v>
          </cell>
          <cell r="J271">
            <v>96660</v>
          </cell>
          <cell r="K271">
            <v>96660</v>
          </cell>
          <cell r="L271">
            <v>96460</v>
          </cell>
          <cell r="M271">
            <v>96460</v>
          </cell>
          <cell r="N271">
            <v>96460</v>
          </cell>
          <cell r="O271">
            <v>96000</v>
          </cell>
          <cell r="P271">
            <v>96660</v>
          </cell>
          <cell r="Q271">
            <v>144990</v>
          </cell>
          <cell r="R271">
            <v>0</v>
          </cell>
          <cell r="S271">
            <v>96000</v>
          </cell>
          <cell r="T271">
            <v>0</v>
          </cell>
          <cell r="U271">
            <v>96660</v>
          </cell>
          <cell r="V271">
            <v>0</v>
          </cell>
          <cell r="W271">
            <v>65388.559816994006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49330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16058.559816994006</v>
          </cell>
          <cell r="AT271">
            <v>16058.559816994006</v>
          </cell>
          <cell r="AU271">
            <v>0</v>
          </cell>
        </row>
        <row r="272">
          <cell r="B272">
            <v>258</v>
          </cell>
          <cell r="C272">
            <v>6</v>
          </cell>
          <cell r="D272">
            <v>1153631.457331822</v>
          </cell>
          <cell r="E272">
            <v>1153631.457331822</v>
          </cell>
          <cell r="F272">
            <v>1219030</v>
          </cell>
          <cell r="G272">
            <v>0.94635198258600861</v>
          </cell>
          <cell r="H272">
            <v>12397.210971876713</v>
          </cell>
          <cell r="I272">
            <v>182570.22448049279</v>
          </cell>
          <cell r="J272">
            <v>91474.382636763592</v>
          </cell>
          <cell r="K272">
            <v>91474.382636763592</v>
          </cell>
          <cell r="L272">
            <v>91285.112240246395</v>
          </cell>
          <cell r="M272">
            <v>91285.112240246395</v>
          </cell>
          <cell r="N272">
            <v>91285.112240246395</v>
          </cell>
          <cell r="O272">
            <v>90849.79032825683</v>
          </cell>
          <cell r="P272">
            <v>91474.382636763592</v>
          </cell>
          <cell r="Q272">
            <v>137211.5739551454</v>
          </cell>
          <cell r="R272">
            <v>0</v>
          </cell>
          <cell r="S272">
            <v>90849.79032825683</v>
          </cell>
          <cell r="T272">
            <v>0</v>
          </cell>
          <cell r="U272">
            <v>86566.9633641322</v>
          </cell>
          <cell r="V272">
            <v>0</v>
          </cell>
          <cell r="W272">
            <v>4907.419272631174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4644.1459580352994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263.27331459587458</v>
          </cell>
          <cell r="AT272">
            <v>263.27331459587458</v>
          </cell>
          <cell r="AU272">
            <v>0</v>
          </cell>
        </row>
        <row r="273">
          <cell r="B273">
            <v>259</v>
          </cell>
          <cell r="C273">
            <v>6</v>
          </cell>
          <cell r="D273">
            <v>1087975.3375181179</v>
          </cell>
          <cell r="E273">
            <v>1087975.3375181179</v>
          </cell>
          <cell r="F273">
            <v>1219030</v>
          </cell>
          <cell r="G273">
            <v>0.89249266836592855</v>
          </cell>
          <cell r="H273">
            <v>11691.653955593663</v>
          </cell>
          <cell r="I273">
            <v>172179.68558115495</v>
          </cell>
          <cell r="J273">
            <v>86268.34132425065</v>
          </cell>
          <cell r="K273">
            <v>86268.34132425065</v>
          </cell>
          <cell r="L273">
            <v>86089.842790577473</v>
          </cell>
          <cell r="M273">
            <v>86089.842790577473</v>
          </cell>
          <cell r="N273">
            <v>86089.842790577473</v>
          </cell>
          <cell r="O273">
            <v>85679.29616312914</v>
          </cell>
          <cell r="P273">
            <v>86268.34132425065</v>
          </cell>
          <cell r="Q273">
            <v>129402.51198637598</v>
          </cell>
          <cell r="R273">
            <v>0</v>
          </cell>
          <cell r="S273">
            <v>85679.29616312914</v>
          </cell>
          <cell r="T273">
            <v>0</v>
          </cell>
          <cell r="U273">
            <v>76993.862143983089</v>
          </cell>
          <cell r="V273">
            <v>0</v>
          </cell>
          <cell r="W273">
            <v>9274.4791802675463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8277.4046713012322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997.07450896631417</v>
          </cell>
          <cell r="AT273">
            <v>997.07450896631417</v>
          </cell>
          <cell r="AU273">
            <v>0</v>
          </cell>
        </row>
        <row r="274">
          <cell r="B274">
            <v>260</v>
          </cell>
          <cell r="C274">
            <v>6</v>
          </cell>
          <cell r="D274">
            <v>1002226.232676578</v>
          </cell>
          <cell r="E274">
            <v>1002226.232676578</v>
          </cell>
          <cell r="F274">
            <v>1219030</v>
          </cell>
          <cell r="G274">
            <v>0.82215058913773897</v>
          </cell>
          <cell r="H274">
            <v>10770.172717704381</v>
          </cell>
          <cell r="I274">
            <v>158609.29165645261</v>
          </cell>
          <cell r="J274">
            <v>79469.075946053854</v>
          </cell>
          <cell r="K274">
            <v>79469.075946053854</v>
          </cell>
          <cell r="L274">
            <v>79304.645828226305</v>
          </cell>
          <cell r="M274">
            <v>79304.645828226305</v>
          </cell>
          <cell r="N274">
            <v>79304.645828226305</v>
          </cell>
          <cell r="O274">
            <v>78926.456557222948</v>
          </cell>
          <cell r="P274">
            <v>79469.075946053854</v>
          </cell>
          <cell r="Q274">
            <v>119203.61391908077</v>
          </cell>
          <cell r="R274">
            <v>0</v>
          </cell>
          <cell r="S274">
            <v>78926.456557222948</v>
          </cell>
          <cell r="T274">
            <v>0</v>
          </cell>
          <cell r="U274">
            <v>65335.54760727979</v>
          </cell>
          <cell r="V274">
            <v>0</v>
          </cell>
          <cell r="W274">
            <v>14133.528338773875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11619.888650317871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2513.6396884560036</v>
          </cell>
          <cell r="AT274">
            <v>2513.6396884560036</v>
          </cell>
          <cell r="AU274">
            <v>0</v>
          </cell>
        </row>
        <row r="275">
          <cell r="B275">
            <v>261</v>
          </cell>
          <cell r="C275">
            <v>6</v>
          </cell>
          <cell r="D275">
            <v>955689.69729435991</v>
          </cell>
          <cell r="E275">
            <v>955689.69729435991</v>
          </cell>
          <cell r="F275">
            <v>1219030</v>
          </cell>
          <cell r="G275">
            <v>0.78397553570819412</v>
          </cell>
          <cell r="H275">
            <v>10270.079517777343</v>
          </cell>
          <cell r="I275">
            <v>151244.5603488248</v>
          </cell>
          <cell r="J275">
            <v>75779.075281554047</v>
          </cell>
          <cell r="K275">
            <v>75779.075281554047</v>
          </cell>
          <cell r="L275">
            <v>75622.280174412401</v>
          </cell>
          <cell r="M275">
            <v>75622.280174412401</v>
          </cell>
          <cell r="N275">
            <v>75622.280174412401</v>
          </cell>
          <cell r="O275">
            <v>75261.651427986639</v>
          </cell>
          <cell r="P275">
            <v>75779.075281554047</v>
          </cell>
          <cell r="Q275">
            <v>113668.61292233107</v>
          </cell>
          <cell r="R275">
            <v>0</v>
          </cell>
          <cell r="S275">
            <v>75261.651427986639</v>
          </cell>
          <cell r="T275">
            <v>0</v>
          </cell>
          <cell r="U275">
            <v>59408.941139327879</v>
          </cell>
          <cell r="V275">
            <v>0</v>
          </cell>
          <cell r="W275">
            <v>16370.13414222619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12833.784683766777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3536.3494584594137</v>
          </cell>
          <cell r="AT275">
            <v>3536.3494584594137</v>
          </cell>
          <cell r="AU275">
            <v>0</v>
          </cell>
        </row>
        <row r="276">
          <cell r="B276">
            <v>262</v>
          </cell>
          <cell r="C276">
            <v>6</v>
          </cell>
          <cell r="D276">
            <v>891446.25629484595</v>
          </cell>
          <cell r="E276">
            <v>891446.25629484595</v>
          </cell>
          <cell r="F276">
            <v>1219030</v>
          </cell>
          <cell r="G276">
            <v>0.73127507632695332</v>
          </cell>
          <cell r="H276">
            <v>9579.7034998830877</v>
          </cell>
          <cell r="I276">
            <v>141077.58772499583</v>
          </cell>
          <cell r="J276">
            <v>70685.048877763315</v>
          </cell>
          <cell r="K276">
            <v>70685.048877763315</v>
          </cell>
          <cell r="L276">
            <v>70538.793862497914</v>
          </cell>
          <cell r="M276">
            <v>70538.793862497914</v>
          </cell>
          <cell r="N276">
            <v>70538.793862497914</v>
          </cell>
          <cell r="O276">
            <v>70202.407327387526</v>
          </cell>
          <cell r="P276">
            <v>70685.048877763315</v>
          </cell>
          <cell r="Q276">
            <v>106027.57331664496</v>
          </cell>
          <cell r="R276">
            <v>0</v>
          </cell>
          <cell r="S276">
            <v>70202.407327387526</v>
          </cell>
          <cell r="T276">
            <v>0</v>
          </cell>
          <cell r="U276">
            <v>51690.214513260806</v>
          </cell>
          <cell r="V276">
            <v>0</v>
          </cell>
          <cell r="W276">
            <v>18994.834364502574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13890.448949719455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5104.3854147831189</v>
          </cell>
          <cell r="AT276">
            <v>5104.3854147831189</v>
          </cell>
          <cell r="AU276">
            <v>0</v>
          </cell>
        </row>
        <row r="277">
          <cell r="B277">
            <v>263</v>
          </cell>
          <cell r="C277">
            <v>6</v>
          </cell>
          <cell r="D277">
            <v>853970.83251516393</v>
          </cell>
          <cell r="E277">
            <v>853970.83251516393</v>
          </cell>
          <cell r="F277">
            <v>1219030</v>
          </cell>
          <cell r="G277">
            <v>0.70053307343967242</v>
          </cell>
          <cell r="H277">
            <v>9176.9832620597081</v>
          </cell>
          <cell r="I277">
            <v>135146.84052798161</v>
          </cell>
          <cell r="J277">
            <v>67713.526878678735</v>
          </cell>
          <cell r="K277">
            <v>67713.526878678735</v>
          </cell>
          <cell r="L277">
            <v>67573.420263990804</v>
          </cell>
          <cell r="M277">
            <v>67573.420263990804</v>
          </cell>
          <cell r="N277">
            <v>67573.420263990804</v>
          </cell>
          <cell r="O277">
            <v>67251.175050208549</v>
          </cell>
          <cell r="P277">
            <v>67713.526878678735</v>
          </cell>
          <cell r="Q277">
            <v>101570.2903180181</v>
          </cell>
          <cell r="R277">
            <v>0</v>
          </cell>
          <cell r="S277">
            <v>67251.175050208549</v>
          </cell>
          <cell r="T277">
            <v>0</v>
          </cell>
          <cell r="U277">
            <v>47435.565097760744</v>
          </cell>
          <cell r="V277">
            <v>0</v>
          </cell>
          <cell r="W277">
            <v>20277.961780918064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14205.382889478744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6072.5788914393197</v>
          </cell>
          <cell r="AT277">
            <v>6072.5788914393197</v>
          </cell>
          <cell r="AU277">
            <v>0</v>
          </cell>
        </row>
        <row r="278">
          <cell r="B278">
            <v>264</v>
          </cell>
          <cell r="C278">
            <v>6</v>
          </cell>
          <cell r="D278">
            <v>959928.73209651595</v>
          </cell>
          <cell r="E278">
            <v>959928.73209651595</v>
          </cell>
          <cell r="F278">
            <v>1219030</v>
          </cell>
          <cell r="G278">
            <v>0.78745291920339611</v>
          </cell>
          <cell r="H278">
            <v>10315.633241564488</v>
          </cell>
          <cell r="I278">
            <v>151915.41717271917</v>
          </cell>
          <cell r="J278">
            <v>76115.199170200271</v>
          </cell>
          <cell r="K278">
            <v>76115.199170200271</v>
          </cell>
          <cell r="L278">
            <v>75957.708586359586</v>
          </cell>
          <cell r="M278">
            <v>75957.708586359586</v>
          </cell>
          <cell r="N278">
            <v>75957.708586359586</v>
          </cell>
          <cell r="O278">
            <v>75595.480243526021</v>
          </cell>
          <cell r="P278">
            <v>76115.199170200271</v>
          </cell>
          <cell r="Q278">
            <v>114172.79875530041</v>
          </cell>
          <cell r="R278">
            <v>0</v>
          </cell>
          <cell r="S278">
            <v>75595.480243526021</v>
          </cell>
          <cell r="T278">
            <v>0</v>
          </cell>
          <cell r="U278">
            <v>59937.135782322024</v>
          </cell>
          <cell r="V278">
            <v>0</v>
          </cell>
          <cell r="W278">
            <v>16178.063387878123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12739.463241842212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3438.6001460359112</v>
          </cell>
          <cell r="AT278">
            <v>3438.6001460359112</v>
          </cell>
          <cell r="AU278">
            <v>0</v>
          </cell>
        </row>
        <row r="279">
          <cell r="B279">
            <v>265</v>
          </cell>
          <cell r="C279">
            <v>6</v>
          </cell>
          <cell r="D279">
            <v>1004140.0880029399</v>
          </cell>
          <cell r="E279">
            <v>1004140.0880029399</v>
          </cell>
          <cell r="F279">
            <v>1219030</v>
          </cell>
          <cell r="G279">
            <v>0.82372057127629339</v>
          </cell>
          <cell r="H279">
            <v>10790.739483719444</v>
          </cell>
          <cell r="I279">
            <v>158912.17261062251</v>
          </cell>
          <cell r="J279">
            <v>79620.830419566526</v>
          </cell>
          <cell r="K279">
            <v>79620.830419566526</v>
          </cell>
          <cell r="L279">
            <v>79456.086305311255</v>
          </cell>
          <cell r="M279">
            <v>79456.086305311255</v>
          </cell>
          <cell r="N279">
            <v>79456.086305311255</v>
          </cell>
          <cell r="O279">
            <v>79077.174842524168</v>
          </cell>
          <cell r="P279">
            <v>79620.830419566526</v>
          </cell>
          <cell r="Q279">
            <v>119431.24562934978</v>
          </cell>
          <cell r="R279">
            <v>0</v>
          </cell>
          <cell r="S279">
            <v>79077.174842524168</v>
          </cell>
          <cell r="T279">
            <v>0</v>
          </cell>
          <cell r="U279">
            <v>65585.315918698368</v>
          </cell>
          <cell r="V279">
            <v>0</v>
          </cell>
          <cell r="W279">
            <v>14035.51450086839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11561.34202281201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2474.17247805638</v>
          </cell>
          <cell r="AT279">
            <v>2474.17247805638</v>
          </cell>
          <cell r="AU279">
            <v>0</v>
          </cell>
        </row>
        <row r="280">
          <cell r="B280">
            <v>266</v>
          </cell>
          <cell r="C280">
            <v>6</v>
          </cell>
          <cell r="D280">
            <v>1066955.8747944739</v>
          </cell>
          <cell r="E280">
            <v>1066955.8747944739</v>
          </cell>
          <cell r="F280">
            <v>1219030</v>
          </cell>
          <cell r="G280">
            <v>0.87524989113842466</v>
          </cell>
          <cell r="H280">
            <v>11465.773573913362</v>
          </cell>
          <cell r="I280">
            <v>168853.20899842487</v>
          </cell>
          <cell r="J280">
            <v>84601.654477440126</v>
          </cell>
          <cell r="K280">
            <v>84601.654477440126</v>
          </cell>
          <cell r="L280">
            <v>84426.604499212437</v>
          </cell>
          <cell r="M280">
            <v>84426.604499212437</v>
          </cell>
          <cell r="N280">
            <v>84426.604499212437</v>
          </cell>
          <cell r="O280">
            <v>84023.989549288774</v>
          </cell>
          <cell r="P280">
            <v>84601.654477440126</v>
          </cell>
          <cell r="Q280">
            <v>126902.4817161602</v>
          </cell>
          <cell r="R280">
            <v>0</v>
          </cell>
          <cell r="S280">
            <v>84023.989549288774</v>
          </cell>
          <cell r="T280">
            <v>0</v>
          </cell>
          <cell r="U280">
            <v>74047.588871510132</v>
          </cell>
          <cell r="V280">
            <v>0</v>
          </cell>
          <cell r="W280">
            <v>10554.065605930053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9237.4447726580711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1316.6208332719816</v>
          </cell>
          <cell r="AT280">
            <v>1316.6208332719816</v>
          </cell>
          <cell r="AU280">
            <v>0</v>
          </cell>
        </row>
        <row r="281">
          <cell r="B281">
            <v>267</v>
          </cell>
          <cell r="C281">
            <v>6</v>
          </cell>
          <cell r="D281">
            <v>1089058.5576689281</v>
          </cell>
          <cell r="E281">
            <v>1089058.5576689281</v>
          </cell>
          <cell r="F281">
            <v>1219030</v>
          </cell>
          <cell r="G281">
            <v>0.89338126023881947</v>
          </cell>
          <cell r="H281">
            <v>11703.294509128535</v>
          </cell>
          <cell r="I281">
            <v>172351.11272527307</v>
          </cell>
          <cell r="J281">
            <v>86354.232614684297</v>
          </cell>
          <cell r="K281">
            <v>86354.232614684297</v>
          </cell>
          <cell r="L281">
            <v>86175.556362636533</v>
          </cell>
          <cell r="M281">
            <v>86175.556362636533</v>
          </cell>
          <cell r="N281">
            <v>86175.556362636533</v>
          </cell>
          <cell r="O281">
            <v>85764.60098292667</v>
          </cell>
          <cell r="P281">
            <v>86354.232614684297</v>
          </cell>
          <cell r="Q281">
            <v>129531.34892202643</v>
          </cell>
          <cell r="R281">
            <v>0</v>
          </cell>
          <cell r="S281">
            <v>85764.60098292667</v>
          </cell>
          <cell r="T281">
            <v>0</v>
          </cell>
          <cell r="U281">
            <v>77147.253160262801</v>
          </cell>
          <cell r="V281">
            <v>0</v>
          </cell>
          <cell r="W281">
            <v>9206.9794544214383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8225.3429079839425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981.63654643749578</v>
          </cell>
          <cell r="AT281">
            <v>981.63654643749578</v>
          </cell>
          <cell r="AU281">
            <v>0</v>
          </cell>
        </row>
        <row r="282">
          <cell r="B282">
            <v>268</v>
          </cell>
          <cell r="C282">
            <v>6</v>
          </cell>
          <cell r="D282">
            <v>1003590.9902306399</v>
          </cell>
          <cell r="E282">
            <v>1003590.9902306399</v>
          </cell>
          <cell r="F282">
            <v>1219030</v>
          </cell>
          <cell r="G282">
            <v>0.82327013299971286</v>
          </cell>
          <cell r="H282">
            <v>10784.838742296239</v>
          </cell>
          <cell r="I282">
            <v>158825.27405830461</v>
          </cell>
          <cell r="J282">
            <v>79577.291055752241</v>
          </cell>
          <cell r="K282">
            <v>79577.291055752241</v>
          </cell>
          <cell r="L282">
            <v>79412.637029152305</v>
          </cell>
          <cell r="M282">
            <v>79412.637029152305</v>
          </cell>
          <cell r="N282">
            <v>79412.637029152305</v>
          </cell>
          <cell r="O282">
            <v>79033.932767972437</v>
          </cell>
          <cell r="P282">
            <v>79577.291055752241</v>
          </cell>
          <cell r="Q282">
            <v>119365.93658362837</v>
          </cell>
          <cell r="R282">
            <v>0</v>
          </cell>
          <cell r="S282">
            <v>79033.932767972437</v>
          </cell>
          <cell r="T282">
            <v>0</v>
          </cell>
          <cell r="U282">
            <v>65513.60699122597</v>
          </cell>
          <cell r="V282">
            <v>0</v>
          </cell>
          <cell r="W282">
            <v>14063.684064526227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11578.21105026845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2485.4730142577773</v>
          </cell>
          <cell r="AT282">
            <v>2485.4730142577773</v>
          </cell>
          <cell r="AU282">
            <v>0</v>
          </cell>
        </row>
        <row r="283">
          <cell r="B283">
            <v>269</v>
          </cell>
          <cell r="C283">
            <v>6</v>
          </cell>
          <cell r="D283">
            <v>877424.295909476</v>
          </cell>
          <cell r="E283">
            <v>877424.295909476</v>
          </cell>
          <cell r="F283">
            <v>1219030</v>
          </cell>
          <cell r="G283">
            <v>0.71977252070045528</v>
          </cell>
          <cell r="H283">
            <v>9429.0200211759638</v>
          </cell>
          <cell r="I283">
            <v>138858.51469353182</v>
          </cell>
          <cell r="J283">
            <v>69573.211850906009</v>
          </cell>
          <cell r="K283">
            <v>69573.211850906009</v>
          </cell>
          <cell r="L283">
            <v>69429.257346765909</v>
          </cell>
          <cell r="M283">
            <v>69429.257346765909</v>
          </cell>
          <cell r="N283">
            <v>69429.257346765909</v>
          </cell>
          <cell r="O283">
            <v>69098.1619872437</v>
          </cell>
          <cell r="P283">
            <v>69573.211850906009</v>
          </cell>
          <cell r="Q283">
            <v>104359.81777635901</v>
          </cell>
          <cell r="R283">
            <v>0</v>
          </cell>
          <cell r="S283">
            <v>69098.1619872437</v>
          </cell>
          <cell r="T283">
            <v>0</v>
          </cell>
          <cell r="U283">
            <v>50076.886067153413</v>
          </cell>
          <cell r="V283">
            <v>0</v>
          </cell>
          <cell r="W283">
            <v>19496.325783752603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14032.91955376889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5463.4062299837133</v>
          </cell>
          <cell r="AT283">
            <v>5463.4062299837133</v>
          </cell>
          <cell r="AU283">
            <v>0</v>
          </cell>
        </row>
        <row r="284">
          <cell r="B284">
            <v>270</v>
          </cell>
          <cell r="C284">
            <v>6</v>
          </cell>
          <cell r="D284">
            <v>852012.05100743193</v>
          </cell>
          <cell r="E284">
            <v>852012.05100743193</v>
          </cell>
          <cell r="F284">
            <v>1219030</v>
          </cell>
          <cell r="G284">
            <v>0.69892623726030689</v>
          </cell>
          <cell r="H284">
            <v>9155.9337081100202</v>
          </cell>
          <cell r="I284">
            <v>134836.8496922584</v>
          </cell>
          <cell r="J284">
            <v>67558.210093581263</v>
          </cell>
          <cell r="K284">
            <v>67558.210093581263</v>
          </cell>
          <cell r="L284">
            <v>67418.424846129201</v>
          </cell>
          <cell r="M284">
            <v>67418.424846129201</v>
          </cell>
          <cell r="N284">
            <v>67418.424846129201</v>
          </cell>
          <cell r="O284">
            <v>67096.918776989463</v>
          </cell>
          <cell r="P284">
            <v>67558.210093581263</v>
          </cell>
          <cell r="Q284">
            <v>101337.31514037189</v>
          </cell>
          <cell r="R284">
            <v>0</v>
          </cell>
          <cell r="S284">
            <v>67096.918776989463</v>
          </cell>
          <cell r="T284">
            <v>0</v>
          </cell>
          <cell r="U284">
            <v>47218.2055767481</v>
          </cell>
          <cell r="V284">
            <v>0</v>
          </cell>
          <cell r="W284">
            <v>20340.004516833229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14216.162822807895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6123.8416940253337</v>
          </cell>
          <cell r="AT284">
            <v>6123.8416940253337</v>
          </cell>
          <cell r="AU284">
            <v>0</v>
          </cell>
        </row>
        <row r="285">
          <cell r="B285">
            <v>271</v>
          </cell>
          <cell r="C285">
            <v>6</v>
          </cell>
          <cell r="D285">
            <v>964092.88992972195</v>
          </cell>
          <cell r="E285">
            <v>964092.88992972195</v>
          </cell>
          <cell r="F285">
            <v>1219030</v>
          </cell>
          <cell r="G285">
            <v>0.79086887929724614</v>
          </cell>
          <cell r="H285">
            <v>10360.382318793925</v>
          </cell>
          <cell r="I285">
            <v>152574.42419402473</v>
          </cell>
          <cell r="J285">
            <v>76445.385872871819</v>
          </cell>
          <cell r="K285">
            <v>76445.385872871819</v>
          </cell>
          <cell r="L285">
            <v>76287.212097012365</v>
          </cell>
          <cell r="M285">
            <v>76287.212097012365</v>
          </cell>
          <cell r="N285">
            <v>76287.212097012365</v>
          </cell>
          <cell r="O285">
            <v>75923.412412535632</v>
          </cell>
          <cell r="P285">
            <v>76445.385872871819</v>
          </cell>
          <cell r="Q285">
            <v>114668.07880930771</v>
          </cell>
          <cell r="R285">
            <v>0</v>
          </cell>
          <cell r="S285">
            <v>75923.412412535632</v>
          </cell>
          <cell r="T285">
            <v>0</v>
          </cell>
          <cell r="U285">
            <v>60458.276652723602</v>
          </cell>
          <cell r="V285">
            <v>0</v>
          </cell>
          <cell r="W285">
            <v>15987.109220148181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12643.707152141262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3343.4020680069189</v>
          </cell>
          <cell r="AT285">
            <v>3343.4020680069189</v>
          </cell>
          <cell r="AU285">
            <v>0</v>
          </cell>
        </row>
        <row r="286">
          <cell r="B286">
            <v>272</v>
          </cell>
          <cell r="C286">
            <v>6</v>
          </cell>
          <cell r="D286">
            <v>963171.40403184399</v>
          </cell>
          <cell r="E286">
            <v>963171.40403184399</v>
          </cell>
          <cell r="F286">
            <v>1219030</v>
          </cell>
          <cell r="G286">
            <v>0.79011296197127556</v>
          </cell>
          <cell r="H286">
            <v>10350.479801823711</v>
          </cell>
          <cell r="I286">
            <v>152428.59262349849</v>
          </cell>
          <cell r="J286">
            <v>76372.318904143496</v>
          </cell>
          <cell r="K286">
            <v>76372.318904143496</v>
          </cell>
          <cell r="L286">
            <v>76214.296311749247</v>
          </cell>
          <cell r="M286">
            <v>76214.296311749247</v>
          </cell>
          <cell r="N286">
            <v>76214.296311749247</v>
          </cell>
          <cell r="O286">
            <v>75850.844349242456</v>
          </cell>
          <cell r="P286">
            <v>76372.318904143496</v>
          </cell>
          <cell r="Q286">
            <v>114558.47835621524</v>
          </cell>
          <cell r="R286">
            <v>0</v>
          </cell>
          <cell r="S286">
            <v>75850.844349242456</v>
          </cell>
          <cell r="T286">
            <v>0</v>
          </cell>
          <cell r="U286">
            <v>60342.759101967589</v>
          </cell>
          <cell r="V286">
            <v>0</v>
          </cell>
          <cell r="W286">
            <v>16029.559802175849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12665.162974392853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3364.3968277829954</v>
          </cell>
          <cell r="AT286">
            <v>3364.3968277829954</v>
          </cell>
          <cell r="AU286">
            <v>0</v>
          </cell>
        </row>
        <row r="287">
          <cell r="B287">
            <v>273</v>
          </cell>
          <cell r="C287">
            <v>6</v>
          </cell>
          <cell r="D287">
            <v>997283.35436629201</v>
          </cell>
          <cell r="E287">
            <v>997283.35436629201</v>
          </cell>
          <cell r="F287">
            <v>1219030</v>
          </cell>
          <cell r="G287">
            <v>0.8180958256698293</v>
          </cell>
          <cell r="H287">
            <v>10717.055316274764</v>
          </cell>
          <cell r="I287">
            <v>157827.04668822346</v>
          </cell>
          <cell r="J287">
            <v>79077.142509245707</v>
          </cell>
          <cell r="K287">
            <v>79077.142509245707</v>
          </cell>
          <cell r="L287">
            <v>78913.523344111731</v>
          </cell>
          <cell r="M287">
            <v>78913.523344111731</v>
          </cell>
          <cell r="N287">
            <v>78913.523344111731</v>
          </cell>
          <cell r="O287">
            <v>78537.199264303606</v>
          </cell>
          <cell r="P287">
            <v>79077.142509245707</v>
          </cell>
          <cell r="Q287">
            <v>118615.71376386855</v>
          </cell>
          <cell r="R287">
            <v>0</v>
          </cell>
          <cell r="S287">
            <v>78537.199264303606</v>
          </cell>
          <cell r="T287">
            <v>0</v>
          </cell>
          <cell r="U287">
            <v>64692.680192712185</v>
          </cell>
          <cell r="V287">
            <v>0</v>
          </cell>
          <cell r="W287">
            <v>14384.462316533551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11767.868575661061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2616.5937408724894</v>
          </cell>
          <cell r="AT287">
            <v>2616.5937408724894</v>
          </cell>
          <cell r="AU287">
            <v>0</v>
          </cell>
        </row>
        <row r="288">
          <cell r="B288">
            <v>274</v>
          </cell>
          <cell r="C288">
            <v>7</v>
          </cell>
          <cell r="D288">
            <v>841940.59950386395</v>
          </cell>
          <cell r="E288">
            <v>841940.59950386395</v>
          </cell>
          <cell r="F288">
            <v>1219030</v>
          </cell>
          <cell r="G288">
            <v>0.69066438028913479</v>
          </cell>
          <cell r="H288">
            <v>9047.7033817876654</v>
          </cell>
          <cell r="I288">
            <v>133242.97224537987</v>
          </cell>
          <cell r="J288">
            <v>66759.61899874777</v>
          </cell>
          <cell r="K288">
            <v>66759.61899874777</v>
          </cell>
          <cell r="L288">
            <v>66621.486122689937</v>
          </cell>
          <cell r="M288">
            <v>66621.486122689937</v>
          </cell>
          <cell r="N288">
            <v>66621.486122689937</v>
          </cell>
          <cell r="O288">
            <v>66303.780507756936</v>
          </cell>
          <cell r="P288">
            <v>66759.61899874777</v>
          </cell>
          <cell r="Q288">
            <v>100139.42849812165</v>
          </cell>
          <cell r="R288">
            <v>0</v>
          </cell>
          <cell r="S288">
            <v>66303.780507756936</v>
          </cell>
          <cell r="T288">
            <v>0</v>
          </cell>
          <cell r="U288">
            <v>46108.490884108811</v>
          </cell>
          <cell r="V288">
            <v>0</v>
          </cell>
          <cell r="W288">
            <v>20651.12811463885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14262.99860156857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6388.1295130702802</v>
          </cell>
          <cell r="AT288">
            <v>6388.1295130702802</v>
          </cell>
          <cell r="AU288">
            <v>0</v>
          </cell>
        </row>
        <row r="289">
          <cell r="B289">
            <v>275</v>
          </cell>
          <cell r="C289">
            <v>7</v>
          </cell>
          <cell r="D289">
            <v>836572.42000994203</v>
          </cell>
          <cell r="E289">
            <v>836572.42000994203</v>
          </cell>
          <cell r="F289">
            <v>1219030</v>
          </cell>
          <cell r="G289">
            <v>0.68626073190154635</v>
          </cell>
          <cell r="H289">
            <v>8990.0155879102567</v>
          </cell>
          <cell r="I289">
            <v>132393.42039844632</v>
          </cell>
          <cell r="J289">
            <v>66333.962345603475</v>
          </cell>
          <cell r="K289">
            <v>66333.962345603475</v>
          </cell>
          <cell r="L289">
            <v>66196.710199223162</v>
          </cell>
          <cell r="M289">
            <v>66196.710199223162</v>
          </cell>
          <cell r="N289">
            <v>66196.710199223162</v>
          </cell>
          <cell r="O289">
            <v>65881.030262548447</v>
          </cell>
          <cell r="P289">
            <v>66333.962345603475</v>
          </cell>
          <cell r="Q289">
            <v>99500.943518405198</v>
          </cell>
          <cell r="R289">
            <v>0</v>
          </cell>
          <cell r="S289">
            <v>65881.030262548447</v>
          </cell>
          <cell r="T289">
            <v>0</v>
          </cell>
          <cell r="U289">
            <v>45522.393549223394</v>
          </cell>
          <cell r="V289">
            <v>0</v>
          </cell>
          <cell r="W289">
            <v>20811.568796379957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14282.162434223093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6529.4063621568639</v>
          </cell>
          <cell r="AT289">
            <v>6529.4063621568639</v>
          </cell>
          <cell r="AU289">
            <v>0</v>
          </cell>
        </row>
        <row r="290">
          <cell r="B290">
            <v>276</v>
          </cell>
          <cell r="C290">
            <v>7</v>
          </cell>
          <cell r="D290">
            <v>729876.73269453598</v>
          </cell>
          <cell r="E290">
            <v>729876.73269453598</v>
          </cell>
          <cell r="F290">
            <v>1219030</v>
          </cell>
          <cell r="G290">
            <v>0.59873566088983532</v>
          </cell>
          <cell r="H290">
            <v>7843.4371576568428</v>
          </cell>
          <cell r="I290">
            <v>115508.08369886703</v>
          </cell>
          <cell r="J290">
            <v>57873.788981611484</v>
          </cell>
          <cell r="K290">
            <v>57873.788981611484</v>
          </cell>
          <cell r="L290">
            <v>57754.041849433517</v>
          </cell>
          <cell r="M290">
            <v>57754.041849433517</v>
          </cell>
          <cell r="N290">
            <v>57754.041849433517</v>
          </cell>
          <cell r="O290">
            <v>57478.623445424193</v>
          </cell>
          <cell r="P290">
            <v>57873.788981611484</v>
          </cell>
          <cell r="Q290">
            <v>86810.683472417222</v>
          </cell>
          <cell r="R290">
            <v>0</v>
          </cell>
          <cell r="S290">
            <v>57478.623445424193</v>
          </cell>
          <cell r="T290">
            <v>0</v>
          </cell>
          <cell r="U290">
            <v>34651.101294104097</v>
          </cell>
          <cell r="V290">
            <v>0</v>
          </cell>
          <cell r="W290">
            <v>23222.687687507481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13904.251260218034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9318.4364272894472</v>
          </cell>
          <cell r="AT290">
            <v>9318.4364272894472</v>
          </cell>
          <cell r="AU290">
            <v>0</v>
          </cell>
        </row>
        <row r="291">
          <cell r="B291">
            <v>277</v>
          </cell>
          <cell r="C291">
            <v>7</v>
          </cell>
          <cell r="D291">
            <v>538298.51665823802</v>
          </cell>
          <cell r="E291">
            <v>538298.51665823802</v>
          </cell>
          <cell r="F291">
            <v>1219030</v>
          </cell>
          <cell r="G291">
            <v>0.44157938414824738</v>
          </cell>
          <cell r="H291">
            <v>5784.6899323420403</v>
          </cell>
          <cell r="I291">
            <v>85189.494789879886</v>
          </cell>
          <cell r="J291">
            <v>42683.063271769592</v>
          </cell>
          <cell r="K291">
            <v>42683.063271769592</v>
          </cell>
          <cell r="L291">
            <v>42594.747394939943</v>
          </cell>
          <cell r="M291">
            <v>42594.747394939943</v>
          </cell>
          <cell r="N291">
            <v>42594.747394939943</v>
          </cell>
          <cell r="O291">
            <v>42391.620878231748</v>
          </cell>
          <cell r="P291">
            <v>42683.063271769592</v>
          </cell>
          <cell r="Q291">
            <v>64024.594907654384</v>
          </cell>
          <cell r="R291">
            <v>0</v>
          </cell>
          <cell r="S291">
            <v>37567.226633564249</v>
          </cell>
          <cell r="T291">
            <v>0</v>
          </cell>
          <cell r="U291">
            <v>20978.313832557298</v>
          </cell>
          <cell r="V291">
            <v>0</v>
          </cell>
          <cell r="W291">
            <v>26529.143683879753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11714.722929907988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14814.420753971764</v>
          </cell>
          <cell r="AT291">
            <v>14814.420753971764</v>
          </cell>
          <cell r="AU291">
            <v>0</v>
          </cell>
        </row>
        <row r="292">
          <cell r="B292">
            <v>278</v>
          </cell>
          <cell r="C292">
            <v>7</v>
          </cell>
          <cell r="D292">
            <v>578549.38008699997</v>
          </cell>
          <cell r="E292">
            <v>578549.38008699997</v>
          </cell>
          <cell r="F292">
            <v>1219030</v>
          </cell>
          <cell r="G292">
            <v>0.4745981477789718</v>
          </cell>
          <cell r="H292">
            <v>6217.2357359045309</v>
          </cell>
          <cell r="I292">
            <v>91559.474669519244</v>
          </cell>
          <cell r="J292">
            <v>45874.656964315414</v>
          </cell>
          <cell r="K292">
            <v>45874.656964315414</v>
          </cell>
          <cell r="L292">
            <v>45779.737334759622</v>
          </cell>
          <cell r="M292">
            <v>45779.737334759622</v>
          </cell>
          <cell r="N292">
            <v>45779.737334759622</v>
          </cell>
          <cell r="O292">
            <v>45561.422186781296</v>
          </cell>
          <cell r="P292">
            <v>45874.656964315414</v>
          </cell>
          <cell r="Q292">
            <v>68811.985446473118</v>
          </cell>
          <cell r="R292">
            <v>0</v>
          </cell>
          <cell r="S292">
            <v>43395.39380528195</v>
          </cell>
          <cell r="T292">
            <v>0</v>
          </cell>
          <cell r="U292">
            <v>22800.020283156096</v>
          </cell>
          <cell r="V292">
            <v>0</v>
          </cell>
          <cell r="W292">
            <v>25240.665062658722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11979.172887447234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13261.492175211488</v>
          </cell>
          <cell r="AT292">
            <v>13261.492175211488</v>
          </cell>
          <cell r="AU292">
            <v>0</v>
          </cell>
        </row>
        <row r="293">
          <cell r="B293">
            <v>279</v>
          </cell>
          <cell r="C293">
            <v>7</v>
          </cell>
          <cell r="D293">
            <v>714041.75130099</v>
          </cell>
          <cell r="E293">
            <v>714041.75130099</v>
          </cell>
          <cell r="F293">
            <v>1219030</v>
          </cell>
          <cell r="G293">
            <v>0.58574583997193674</v>
          </cell>
          <cell r="H293">
            <v>7673.2705036323714</v>
          </cell>
          <cell r="I293">
            <v>113002.08744738603</v>
          </cell>
          <cell r="J293">
            <v>56618.192891687402</v>
          </cell>
          <cell r="K293">
            <v>56618.192891687402</v>
          </cell>
          <cell r="L293">
            <v>56501.043723693016</v>
          </cell>
          <cell r="M293">
            <v>56501.043723693016</v>
          </cell>
          <cell r="N293">
            <v>56501.043723693016</v>
          </cell>
          <cell r="O293">
            <v>56231.600637305928</v>
          </cell>
          <cell r="P293">
            <v>56618.192891687402</v>
          </cell>
          <cell r="Q293">
            <v>84927.289337531111</v>
          </cell>
          <cell r="R293">
            <v>0</v>
          </cell>
          <cell r="S293">
            <v>56231.600637305928</v>
          </cell>
          <cell r="T293">
            <v>0</v>
          </cell>
          <cell r="U293">
            <v>33163.870953034639</v>
          </cell>
          <cell r="V293">
            <v>0</v>
          </cell>
          <cell r="W293">
            <v>23454.321938652894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13738.271504928463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9716.0504337244311</v>
          </cell>
          <cell r="AT293">
            <v>9716.0504337244311</v>
          </cell>
          <cell r="AU293">
            <v>0</v>
          </cell>
        </row>
        <row r="294">
          <cell r="B294">
            <v>280</v>
          </cell>
          <cell r="C294">
            <v>7</v>
          </cell>
          <cell r="D294">
            <v>832346.36388240394</v>
          </cell>
          <cell r="E294">
            <v>832346.36388240394</v>
          </cell>
          <cell r="F294">
            <v>1219030</v>
          </cell>
          <cell r="G294">
            <v>0.68279399512924532</v>
          </cell>
          <cell r="H294">
            <v>8944.6013361931145</v>
          </cell>
          <cell r="I294">
            <v>131724.617540334</v>
          </cell>
          <cell r="J294">
            <v>65998.867569192851</v>
          </cell>
          <cell r="K294">
            <v>65998.867569192851</v>
          </cell>
          <cell r="L294">
            <v>65862.308770167001</v>
          </cell>
          <cell r="M294">
            <v>65862.308770167001</v>
          </cell>
          <cell r="N294">
            <v>65862.308770167001</v>
          </cell>
          <cell r="O294">
            <v>65548.223532407545</v>
          </cell>
          <cell r="P294">
            <v>65998.867569192851</v>
          </cell>
          <cell r="Q294">
            <v>98998.301353789284</v>
          </cell>
          <cell r="R294">
            <v>0</v>
          </cell>
          <cell r="S294">
            <v>65548.223532407545</v>
          </cell>
          <cell r="T294">
            <v>0</v>
          </cell>
          <cell r="U294">
            <v>45063.630461575201</v>
          </cell>
          <cell r="V294">
            <v>0</v>
          </cell>
          <cell r="W294">
            <v>20935.237107617664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14294.454183688291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6640.7829239293733</v>
          </cell>
          <cell r="AT294">
            <v>6640.7829239293733</v>
          </cell>
          <cell r="AU294">
            <v>0</v>
          </cell>
        </row>
        <row r="295">
          <cell r="B295">
            <v>281</v>
          </cell>
          <cell r="C295">
            <v>7</v>
          </cell>
          <cell r="D295">
            <v>863820.64819063991</v>
          </cell>
          <cell r="E295">
            <v>863820.64819063991</v>
          </cell>
          <cell r="F295">
            <v>1219030</v>
          </cell>
          <cell r="G295">
            <v>0.70861311714284303</v>
          </cell>
          <cell r="H295">
            <v>9282.8318345712432</v>
          </cell>
          <cell r="I295">
            <v>136705.64255919727</v>
          </cell>
          <cell r="J295">
            <v>68494.54390302721</v>
          </cell>
          <cell r="K295">
            <v>68494.54390302721</v>
          </cell>
          <cell r="L295">
            <v>68352.821279598633</v>
          </cell>
          <cell r="M295">
            <v>68352.821279598633</v>
          </cell>
          <cell r="N295">
            <v>68352.821279598633</v>
          </cell>
          <cell r="O295">
            <v>68026.859245712927</v>
          </cell>
          <cell r="P295">
            <v>68494.54390302721</v>
          </cell>
          <cell r="Q295">
            <v>102741.81585454081</v>
          </cell>
          <cell r="R295">
            <v>0</v>
          </cell>
          <cell r="S295">
            <v>68026.859245712927</v>
          </cell>
          <cell r="T295">
            <v>0</v>
          </cell>
          <cell r="U295">
            <v>48536.132262401414</v>
          </cell>
          <cell r="V295">
            <v>0</v>
          </cell>
          <cell r="W295">
            <v>19958.411640625796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14142.79228588385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5815.6193547419462</v>
          </cell>
          <cell r="AT295">
            <v>5815.6193547419462</v>
          </cell>
          <cell r="AU295">
            <v>0</v>
          </cell>
        </row>
        <row r="296">
          <cell r="B296">
            <v>282</v>
          </cell>
          <cell r="C296">
            <v>7</v>
          </cell>
          <cell r="D296">
            <v>756523.94840446196</v>
          </cell>
          <cell r="E296">
            <v>756523.94840446196</v>
          </cell>
          <cell r="F296">
            <v>1219030</v>
          </cell>
          <cell r="G296">
            <v>0.62059502096294761</v>
          </cell>
          <cell r="H296">
            <v>8129.7947746146137</v>
          </cell>
          <cell r="I296">
            <v>119725.19144417185</v>
          </cell>
          <cell r="J296">
            <v>59986.714726278515</v>
          </cell>
          <cell r="K296">
            <v>59986.714726278515</v>
          </cell>
          <cell r="L296">
            <v>59862.595722085927</v>
          </cell>
          <cell r="M296">
            <v>59862.595722085927</v>
          </cell>
          <cell r="N296">
            <v>59862.595722085927</v>
          </cell>
          <cell r="O296">
            <v>59577.122012442967</v>
          </cell>
          <cell r="P296">
            <v>59986.714726278515</v>
          </cell>
          <cell r="Q296">
            <v>89980.072089417779</v>
          </cell>
          <cell r="R296">
            <v>0</v>
          </cell>
          <cell r="S296">
            <v>59577.122012442967</v>
          </cell>
          <cell r="T296">
            <v>0</v>
          </cell>
          <cell r="U296">
            <v>37227.456483053131</v>
          </cell>
          <cell r="V296">
            <v>0</v>
          </cell>
          <cell r="W296">
            <v>22759.258243225282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14124.282346555532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8634.97589666975</v>
          </cell>
          <cell r="AT296">
            <v>8634.97589666975</v>
          </cell>
          <cell r="AU296">
            <v>0</v>
          </cell>
        </row>
        <row r="297">
          <cell r="B297">
            <v>283</v>
          </cell>
          <cell r="C297">
            <v>7</v>
          </cell>
          <cell r="D297">
            <v>805420.60584798397</v>
          </cell>
          <cell r="E297">
            <v>805420.60584798397</v>
          </cell>
          <cell r="F297">
            <v>1219030</v>
          </cell>
          <cell r="G297">
            <v>0.66070614000310413</v>
          </cell>
          <cell r="H297">
            <v>8655.2504340406649</v>
          </cell>
          <cell r="I297">
            <v>127463.42852939885</v>
          </cell>
          <cell r="J297">
            <v>63863.855492700044</v>
          </cell>
          <cell r="K297">
            <v>63863.855492700044</v>
          </cell>
          <cell r="L297">
            <v>63731.714264699425</v>
          </cell>
          <cell r="M297">
            <v>63731.714264699425</v>
          </cell>
          <cell r="N297">
            <v>63731.714264699425</v>
          </cell>
          <cell r="O297">
            <v>63427.789440297995</v>
          </cell>
          <cell r="P297">
            <v>63863.855492700044</v>
          </cell>
          <cell r="Q297">
            <v>95795.78323905007</v>
          </cell>
          <cell r="R297">
            <v>0</v>
          </cell>
          <cell r="S297">
            <v>63427.789440297995</v>
          </cell>
          <cell r="T297">
            <v>0</v>
          </cell>
          <cell r="U297">
            <v>42195.241448297864</v>
          </cell>
          <cell r="V297">
            <v>0</v>
          </cell>
          <cell r="W297">
            <v>21668.614044402144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14316.586344493991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7352.0276999081525</v>
          </cell>
          <cell r="AT297">
            <v>7352.0276999081525</v>
          </cell>
          <cell r="AU297">
            <v>0</v>
          </cell>
        </row>
        <row r="298">
          <cell r="B298">
            <v>284</v>
          </cell>
          <cell r="C298">
            <v>7</v>
          </cell>
          <cell r="D298">
            <v>794061.27047847596</v>
          </cell>
          <cell r="E298">
            <v>794061.27047847596</v>
          </cell>
          <cell r="F298">
            <v>1219030</v>
          </cell>
          <cell r="G298">
            <v>0.65138780052867928</v>
          </cell>
          <cell r="H298">
            <v>8533.1801869256979</v>
          </cell>
          <cell r="I298">
            <v>125665.73447799281</v>
          </cell>
          <cell r="J298">
            <v>62963.144799102141</v>
          </cell>
          <cell r="K298">
            <v>62963.144799102141</v>
          </cell>
          <cell r="L298">
            <v>62832.867238996405</v>
          </cell>
          <cell r="M298">
            <v>62832.867238996405</v>
          </cell>
          <cell r="N298">
            <v>62832.867238996405</v>
          </cell>
          <cell r="O298">
            <v>62533.228850753214</v>
          </cell>
          <cell r="P298">
            <v>62963.144799102141</v>
          </cell>
          <cell r="Q298">
            <v>94444.717198653205</v>
          </cell>
          <cell r="R298">
            <v>0</v>
          </cell>
          <cell r="S298">
            <v>62533.228850753214</v>
          </cell>
          <cell r="T298">
            <v>0</v>
          </cell>
          <cell r="U298">
            <v>41013.42440505587</v>
          </cell>
          <cell r="V298">
            <v>0</v>
          </cell>
          <cell r="W298">
            <v>21949.720394046279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14297.7800896973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7651.9403043489783</v>
          </cell>
          <cell r="AT298">
            <v>7651.9403043489783</v>
          </cell>
          <cell r="AU298">
            <v>0</v>
          </cell>
        </row>
        <row r="299">
          <cell r="B299">
            <v>285</v>
          </cell>
          <cell r="C299">
            <v>7</v>
          </cell>
          <cell r="D299">
            <v>777661.21755925403</v>
          </cell>
          <cell r="E299">
            <v>777661.21755925403</v>
          </cell>
          <cell r="F299">
            <v>1219030</v>
          </cell>
          <cell r="G299">
            <v>0.63793443767524505</v>
          </cell>
          <cell r="H299">
            <v>8356.9411335457098</v>
          </cell>
          <cell r="I299">
            <v>123070.31171630828</v>
          </cell>
          <cell r="J299">
            <v>61662.742745689189</v>
          </cell>
          <cell r="K299">
            <v>61662.742745689189</v>
          </cell>
          <cell r="L299">
            <v>61535.155858154139</v>
          </cell>
          <cell r="M299">
            <v>61535.155858154139</v>
          </cell>
          <cell r="N299">
            <v>61535.155858154139</v>
          </cell>
          <cell r="O299">
            <v>61241.706016823526</v>
          </cell>
          <cell r="P299">
            <v>61662.742745689189</v>
          </cell>
          <cell r="Q299">
            <v>92494.114118533776</v>
          </cell>
          <cell r="R299">
            <v>0</v>
          </cell>
          <cell r="S299">
            <v>61241.706016823526</v>
          </cell>
          <cell r="T299">
            <v>0</v>
          </cell>
          <cell r="U299">
            <v>39336.787118984554</v>
          </cell>
          <cell r="V299">
            <v>0</v>
          </cell>
          <cell r="W299">
            <v>22325.95562670473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14242.495948284355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8083.459678420375</v>
          </cell>
          <cell r="AT299">
            <v>8083.459678420375</v>
          </cell>
          <cell r="AU299">
            <v>0</v>
          </cell>
        </row>
        <row r="300">
          <cell r="B300">
            <v>286</v>
          </cell>
          <cell r="C300">
            <v>7</v>
          </cell>
          <cell r="D300">
            <v>800776.23705391202</v>
          </cell>
          <cell r="E300">
            <v>800776.23705391202</v>
          </cell>
          <cell r="F300">
            <v>1219030</v>
          </cell>
          <cell r="G300">
            <v>0.6568962511619173</v>
          </cell>
          <cell r="H300">
            <v>8605.3408902211158</v>
          </cell>
          <cell r="I300">
            <v>126728.42477415709</v>
          </cell>
          <cell r="J300">
            <v>63495.591637310928</v>
          </cell>
          <cell r="K300">
            <v>63495.591637310928</v>
          </cell>
          <cell r="L300">
            <v>63364.212387078544</v>
          </cell>
          <cell r="M300">
            <v>63364.212387078544</v>
          </cell>
          <cell r="N300">
            <v>63364.212387078544</v>
          </cell>
          <cell r="O300">
            <v>63062.040111544062</v>
          </cell>
          <cell r="P300">
            <v>63495.591637310928</v>
          </cell>
          <cell r="Q300">
            <v>95243.387455966396</v>
          </cell>
          <cell r="R300">
            <v>0</v>
          </cell>
          <cell r="S300">
            <v>63062.040111544062</v>
          </cell>
          <cell r="T300">
            <v>0</v>
          </cell>
          <cell r="U300">
            <v>41710.016111857374</v>
          </cell>
          <cell r="V300">
            <v>0</v>
          </cell>
          <cell r="W300">
            <v>21785.575525453314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14310.862892075098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7474.7126333782162</v>
          </cell>
          <cell r="AT300">
            <v>7474.7126333782162</v>
          </cell>
          <cell r="AU300">
            <v>0</v>
          </cell>
        </row>
        <row r="301">
          <cell r="B301">
            <v>287</v>
          </cell>
          <cell r="C301">
            <v>7</v>
          </cell>
          <cell r="D301">
            <v>774905.74510189402</v>
          </cell>
          <cell r="E301">
            <v>774905.74510189402</v>
          </cell>
          <cell r="F301">
            <v>1219030</v>
          </cell>
          <cell r="G301">
            <v>0.63567405650549536</v>
          </cell>
          <cell r="H301">
            <v>8327.3301402219895</v>
          </cell>
          <cell r="I301">
            <v>122634.23898104017</v>
          </cell>
          <cell r="J301">
            <v>61444.25430182118</v>
          </cell>
          <cell r="K301">
            <v>61444.25430182118</v>
          </cell>
          <cell r="L301">
            <v>61317.119490520083</v>
          </cell>
          <cell r="M301">
            <v>61317.119490520083</v>
          </cell>
          <cell r="N301">
            <v>61317.119490520083</v>
          </cell>
          <cell r="O301">
            <v>61024.709424527551</v>
          </cell>
          <cell r="P301">
            <v>61444.25430182118</v>
          </cell>
          <cell r="Q301">
            <v>92166.381452731774</v>
          </cell>
          <cell r="R301">
            <v>0</v>
          </cell>
          <cell r="S301">
            <v>61024.709424527551</v>
          </cell>
          <cell r="T301">
            <v>0</v>
          </cell>
          <cell r="U301">
            <v>39058.518380993861</v>
          </cell>
          <cell r="V301">
            <v>0</v>
          </cell>
          <cell r="W301">
            <v>22385.735920827254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14230.03156065304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8155.7043601742134</v>
          </cell>
          <cell r="AT301">
            <v>8155.7043601742134</v>
          </cell>
          <cell r="AU301">
            <v>0</v>
          </cell>
        </row>
        <row r="302">
          <cell r="B302">
            <v>288</v>
          </cell>
          <cell r="C302">
            <v>7</v>
          </cell>
          <cell r="D302">
            <v>770650.73654636194</v>
          </cell>
          <cell r="E302">
            <v>770650.73654636194</v>
          </cell>
          <cell r="F302">
            <v>1219030</v>
          </cell>
          <cell r="G302">
            <v>0.63218356935133835</v>
          </cell>
          <cell r="H302">
            <v>8281.6047585025317</v>
          </cell>
          <cell r="I302">
            <v>121960.8541992602</v>
          </cell>
          <cell r="J302">
            <v>61106.863813500364</v>
          </cell>
          <cell r="K302">
            <v>61106.863813500364</v>
          </cell>
          <cell r="L302">
            <v>60980.427099630098</v>
          </cell>
          <cell r="M302">
            <v>60980.427099630098</v>
          </cell>
          <cell r="N302">
            <v>60980.427099630098</v>
          </cell>
          <cell r="O302">
            <v>60689.622657728483</v>
          </cell>
          <cell r="P302">
            <v>61106.863813500364</v>
          </cell>
          <cell r="Q302">
            <v>91660.295720250549</v>
          </cell>
          <cell r="R302">
            <v>0</v>
          </cell>
          <cell r="S302">
            <v>60689.622657728483</v>
          </cell>
          <cell r="T302">
            <v>0</v>
          </cell>
          <cell r="U302">
            <v>38630.755277484663</v>
          </cell>
          <cell r="V302">
            <v>0</v>
          </cell>
          <cell r="W302">
            <v>22476.108536015498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14209.026519426361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8267.0820165891364</v>
          </cell>
          <cell r="AT302">
            <v>8267.0820165891364</v>
          </cell>
          <cell r="AU302">
            <v>0</v>
          </cell>
        </row>
        <row r="303">
          <cell r="B303">
            <v>289</v>
          </cell>
          <cell r="C303">
            <v>7</v>
          </cell>
          <cell r="D303">
            <v>727361.864897402</v>
          </cell>
          <cell r="E303">
            <v>727361.864897402</v>
          </cell>
          <cell r="F303">
            <v>1219030</v>
          </cell>
          <cell r="G303">
            <v>0.5966726535830964</v>
          </cell>
          <cell r="H303">
            <v>7816.4117619385624</v>
          </cell>
          <cell r="I303">
            <v>115110.08832925095</v>
          </cell>
          <cell r="J303">
            <v>57674.3786953421</v>
          </cell>
          <cell r="K303">
            <v>57674.3786953421</v>
          </cell>
          <cell r="L303">
            <v>57555.044164625477</v>
          </cell>
          <cell r="M303">
            <v>57555.044164625477</v>
          </cell>
          <cell r="N303">
            <v>57555.044164625477</v>
          </cell>
          <cell r="O303">
            <v>57280.574743977253</v>
          </cell>
          <cell r="P303">
            <v>57674.3786953421</v>
          </cell>
          <cell r="Q303">
            <v>86511.568043013147</v>
          </cell>
          <cell r="R303">
            <v>0</v>
          </cell>
          <cell r="S303">
            <v>57280.574743977253</v>
          </cell>
          <cell r="T303">
            <v>0</v>
          </cell>
          <cell r="U303">
            <v>34412.724579906178</v>
          </cell>
          <cell r="V303">
            <v>0</v>
          </cell>
          <cell r="W303">
            <v>23261.6541154359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13879.592887789293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9382.0612276466072</v>
          </cell>
          <cell r="AT303">
            <v>9382.0612276466072</v>
          </cell>
          <cell r="AU303">
            <v>0</v>
          </cell>
        </row>
        <row r="304">
          <cell r="B304">
            <v>290</v>
          </cell>
          <cell r="C304">
            <v>7</v>
          </cell>
          <cell r="D304">
            <v>795908.23571257596</v>
          </cell>
          <cell r="E304">
            <v>795908.23571257596</v>
          </cell>
          <cell r="F304">
            <v>1219030</v>
          </cell>
          <cell r="G304">
            <v>0.65290291109535936</v>
          </cell>
          <cell r="H304">
            <v>8553.0281353492082</v>
          </cell>
          <cell r="I304">
            <v>125958.02960851672</v>
          </cell>
          <cell r="J304">
            <v>63109.595386477435</v>
          </cell>
          <cell r="K304">
            <v>63109.595386477435</v>
          </cell>
          <cell r="L304">
            <v>62979.014804258361</v>
          </cell>
          <cell r="M304">
            <v>62979.014804258361</v>
          </cell>
          <cell r="N304">
            <v>62979.014804258361</v>
          </cell>
          <cell r="O304">
            <v>62678.679465154499</v>
          </cell>
          <cell r="P304">
            <v>63109.595386477435</v>
          </cell>
          <cell r="Q304">
            <v>94664.393079716159</v>
          </cell>
          <cell r="R304">
            <v>0</v>
          </cell>
          <cell r="S304">
            <v>62678.679465154499</v>
          </cell>
          <cell r="T304">
            <v>0</v>
          </cell>
          <cell r="U304">
            <v>41204.438545881443</v>
          </cell>
          <cell r="V304">
            <v>0</v>
          </cell>
          <cell r="W304">
            <v>21905.156840596115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14301.940669225629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7603.2161713704863</v>
          </cell>
          <cell r="AT304">
            <v>7603.2161713704863</v>
          </cell>
          <cell r="AU304">
            <v>0</v>
          </cell>
        </row>
        <row r="305">
          <cell r="B305">
            <v>291</v>
          </cell>
          <cell r="C305">
            <v>7</v>
          </cell>
          <cell r="D305">
            <v>729215.81864860398</v>
          </cell>
          <cell r="E305">
            <v>729215.81864860398</v>
          </cell>
          <cell r="F305">
            <v>1219030</v>
          </cell>
          <cell r="G305">
            <v>0.59819349700056934</v>
          </cell>
          <cell r="H305">
            <v>7836.334810707458</v>
          </cell>
          <cell r="I305">
            <v>115403.48944134984</v>
          </cell>
          <cell r="J305">
            <v>57821.383420075035</v>
          </cell>
          <cell r="K305">
            <v>57821.383420075035</v>
          </cell>
          <cell r="L305">
            <v>57701.74472067492</v>
          </cell>
          <cell r="M305">
            <v>57701.74472067492</v>
          </cell>
          <cell r="N305">
            <v>57701.74472067492</v>
          </cell>
          <cell r="O305">
            <v>57426.575712054655</v>
          </cell>
          <cell r="P305">
            <v>57821.383420075035</v>
          </cell>
          <cell r="Q305">
            <v>86732.075130112542</v>
          </cell>
          <cell r="R305">
            <v>0</v>
          </cell>
          <cell r="S305">
            <v>57426.575712054655</v>
          </cell>
          <cell r="T305">
            <v>0</v>
          </cell>
          <cell r="U305">
            <v>34588.375549465367</v>
          </cell>
          <cell r="V305">
            <v>0</v>
          </cell>
          <cell r="W305">
            <v>23233.007870609523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13897.834223961661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9335.1736466478615</v>
          </cell>
          <cell r="AT305">
            <v>9335.1736466478615</v>
          </cell>
          <cell r="AU305">
            <v>0</v>
          </cell>
        </row>
        <row r="306">
          <cell r="B306">
            <v>292</v>
          </cell>
          <cell r="C306">
            <v>7</v>
          </cell>
          <cell r="D306">
            <v>606801.95801121392</v>
          </cell>
          <cell r="E306">
            <v>606801.95801121392</v>
          </cell>
          <cell r="F306">
            <v>1219030</v>
          </cell>
          <cell r="G306">
            <v>0.49777442557706858</v>
          </cell>
          <cell r="H306">
            <v>6520.8449750595983</v>
          </cell>
          <cell r="I306">
            <v>96030.642182328069</v>
          </cell>
          <cell r="J306">
            <v>48114.875976279451</v>
          </cell>
          <cell r="K306">
            <v>48114.875976279451</v>
          </cell>
          <cell r="L306">
            <v>48015.321091164034</v>
          </cell>
          <cell r="M306">
            <v>48015.321091164034</v>
          </cell>
          <cell r="N306">
            <v>48015.321091164034</v>
          </cell>
          <cell r="O306">
            <v>47786.344855398587</v>
          </cell>
          <cell r="P306">
            <v>48114.875976279451</v>
          </cell>
          <cell r="Q306">
            <v>72172.313964419169</v>
          </cell>
          <cell r="R306">
            <v>0</v>
          </cell>
          <cell r="S306">
            <v>47737.175111628159</v>
          </cell>
          <cell r="T306">
            <v>0</v>
          </cell>
          <cell r="U306">
            <v>23974.830191765497</v>
          </cell>
          <cell r="V306">
            <v>0</v>
          </cell>
          <cell r="W306">
            <v>24189.215528284432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12040.772864751691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12148.442663532742</v>
          </cell>
          <cell r="AT306">
            <v>12148.442663532742</v>
          </cell>
          <cell r="AU306">
            <v>0</v>
          </cell>
        </row>
        <row r="307">
          <cell r="B307">
            <v>293</v>
          </cell>
          <cell r="C307">
            <v>7</v>
          </cell>
          <cell r="D307">
            <v>599211.43007885595</v>
          </cell>
          <cell r="E307">
            <v>599211.43007885595</v>
          </cell>
          <cell r="F307">
            <v>1219030</v>
          </cell>
          <cell r="G307">
            <v>0.49154773063735591</v>
          </cell>
          <cell r="H307">
            <v>6439.2752713493628</v>
          </cell>
          <cell r="I307">
            <v>94829.388194558705</v>
          </cell>
          <cell r="J307">
            <v>47513.003643406824</v>
          </cell>
          <cell r="K307">
            <v>47513.003643406824</v>
          </cell>
          <cell r="L307">
            <v>47414.694097279353</v>
          </cell>
          <cell r="M307">
            <v>47414.694097279353</v>
          </cell>
          <cell r="N307">
            <v>47414.694097279353</v>
          </cell>
          <cell r="O307">
            <v>47188.582141186169</v>
          </cell>
          <cell r="P307">
            <v>47513.003643406824</v>
          </cell>
          <cell r="Q307">
            <v>71269.50546511024</v>
          </cell>
          <cell r="R307">
            <v>0</v>
          </cell>
          <cell r="S307">
            <v>46550.349580175549</v>
          </cell>
          <cell r="T307">
            <v>0</v>
          </cell>
          <cell r="U307">
            <v>23668.630883664675</v>
          </cell>
          <cell r="V307">
            <v>0</v>
          </cell>
          <cell r="W307">
            <v>24482.605320752715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12034.369085506052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12448.236235246663</v>
          </cell>
          <cell r="AT307">
            <v>12448.236235246663</v>
          </cell>
          <cell r="AU307">
            <v>0</v>
          </cell>
        </row>
        <row r="308">
          <cell r="B308">
            <v>294</v>
          </cell>
          <cell r="C308">
            <v>7</v>
          </cell>
          <cell r="D308">
            <v>623440.61887149001</v>
          </cell>
          <cell r="E308">
            <v>623440.61887149001</v>
          </cell>
          <cell r="F308">
            <v>1219030</v>
          </cell>
          <cell r="G308">
            <v>0.51142352433614435</v>
          </cell>
          <cell r="H308">
            <v>6699.648168803491</v>
          </cell>
          <cell r="I308">
            <v>98663.826314928971</v>
          </cell>
          <cell r="J308">
            <v>49434.197862331712</v>
          </cell>
          <cell r="K308">
            <v>49434.197862331712</v>
          </cell>
          <cell r="L308">
            <v>49331.913157464485</v>
          </cell>
          <cell r="M308">
            <v>49331.913157464485</v>
          </cell>
          <cell r="N308">
            <v>49331.913157464485</v>
          </cell>
          <cell r="O308">
            <v>49096.658336269858</v>
          </cell>
          <cell r="P308">
            <v>49434.197862331712</v>
          </cell>
          <cell r="Q308">
            <v>74151.296793497575</v>
          </cell>
          <cell r="R308">
            <v>0</v>
          </cell>
          <cell r="S308">
            <v>49096.658336269858</v>
          </cell>
          <cell r="T308">
            <v>0</v>
          </cell>
          <cell r="U308">
            <v>25281.811693484</v>
          </cell>
          <cell r="V308">
            <v>0</v>
          </cell>
          <cell r="W308">
            <v>24152.386168847792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12352.098455599686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11800.287713248106</v>
          </cell>
          <cell r="AT308">
            <v>11800.287713248106</v>
          </cell>
          <cell r="AU308">
            <v>0</v>
          </cell>
        </row>
        <row r="309">
          <cell r="B309">
            <v>295</v>
          </cell>
          <cell r="C309">
            <v>7</v>
          </cell>
          <cell r="D309">
            <v>459815.47288360598</v>
          </cell>
          <cell r="E309">
            <v>459815.47288360598</v>
          </cell>
          <cell r="F309">
            <v>1219030</v>
          </cell>
          <cell r="G309">
            <v>0.37719783178724559</v>
          </cell>
          <cell r="H309">
            <v>4941.291596412917</v>
          </cell>
          <cell r="I309">
            <v>72769.005708395416</v>
          </cell>
          <cell r="J309">
            <v>36459.942420555155</v>
          </cell>
          <cell r="K309">
            <v>36459.942420555155</v>
          </cell>
          <cell r="L309">
            <v>36384.502854197708</v>
          </cell>
          <cell r="M309">
            <v>36384.502854197708</v>
          </cell>
          <cell r="N309">
            <v>36384.502854197708</v>
          </cell>
          <cell r="O309">
            <v>36210.991851575578</v>
          </cell>
          <cell r="P309">
            <v>36459.942420555155</v>
          </cell>
          <cell r="Q309">
            <v>48040.235683583007</v>
          </cell>
          <cell r="R309">
            <v>0</v>
          </cell>
          <cell r="S309">
            <v>29919.562945187226</v>
          </cell>
          <cell r="T309">
            <v>0</v>
          </cell>
          <cell r="U309">
            <v>18633.968674240594</v>
          </cell>
          <cell r="V309">
            <v>0</v>
          </cell>
          <cell r="W309">
            <v>30767.080599952722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11605.276092725593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19161.804507227127</v>
          </cell>
          <cell r="AT309">
            <v>19161.804507227127</v>
          </cell>
          <cell r="AU309">
            <v>0</v>
          </cell>
        </row>
        <row r="310">
          <cell r="B310">
            <v>296</v>
          </cell>
          <cell r="C310">
            <v>7</v>
          </cell>
          <cell r="D310">
            <v>733435.88461862598</v>
          </cell>
          <cell r="E310">
            <v>733435.88461862598</v>
          </cell>
          <cell r="F310">
            <v>1219030</v>
          </cell>
          <cell r="G310">
            <v>0.60165531990076204</v>
          </cell>
          <cell r="H310">
            <v>7881.6846906999826</v>
          </cell>
          <cell r="I310">
            <v>116071.34431525502</v>
          </cell>
          <cell r="J310">
            <v>58156.003221607658</v>
          </cell>
          <cell r="K310">
            <v>58156.003221607658</v>
          </cell>
          <cell r="L310">
            <v>58035.672157627509</v>
          </cell>
          <cell r="M310">
            <v>58035.672157627509</v>
          </cell>
          <cell r="N310">
            <v>58035.672157627509</v>
          </cell>
          <cell r="O310">
            <v>57758.910710473159</v>
          </cell>
          <cell r="P310">
            <v>58156.003221607658</v>
          </cell>
          <cell r="Q310">
            <v>87234.00483241149</v>
          </cell>
          <cell r="R310">
            <v>0</v>
          </cell>
          <cell r="S310">
            <v>57758.910710473159</v>
          </cell>
          <cell r="T310">
            <v>0</v>
          </cell>
          <cell r="U310">
            <v>34989.86872244603</v>
          </cell>
          <cell r="V310">
            <v>0</v>
          </cell>
          <cell r="W310">
            <v>23166.134499161504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13938.028062957095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9228.106436204409</v>
          </cell>
          <cell r="AT310">
            <v>9228.106436204409</v>
          </cell>
          <cell r="AU310">
            <v>0</v>
          </cell>
        </row>
        <row r="311">
          <cell r="B311">
            <v>297</v>
          </cell>
          <cell r="C311">
            <v>7</v>
          </cell>
          <cell r="D311">
            <v>756677.69578070601</v>
          </cell>
          <cell r="E311">
            <v>756677.69578070601</v>
          </cell>
          <cell r="F311">
            <v>1219030</v>
          </cell>
          <cell r="G311">
            <v>0.62072114368039011</v>
          </cell>
          <cell r="H311">
            <v>8131.4469822131105</v>
          </cell>
          <cell r="I311">
            <v>119749.52303882086</v>
          </cell>
          <cell r="J311">
            <v>59998.905748146506</v>
          </cell>
          <cell r="K311">
            <v>59998.905748146506</v>
          </cell>
          <cell r="L311">
            <v>59874.761519410429</v>
          </cell>
          <cell r="M311">
            <v>59874.761519410429</v>
          </cell>
          <cell r="N311">
            <v>59874.761519410429</v>
          </cell>
          <cell r="O311">
            <v>59589.229793317449</v>
          </cell>
          <cell r="P311">
            <v>59998.905748146506</v>
          </cell>
          <cell r="Q311">
            <v>89998.358622219763</v>
          </cell>
          <cell r="R311">
            <v>0</v>
          </cell>
          <cell r="S311">
            <v>59589.229793317449</v>
          </cell>
          <cell r="T311">
            <v>0</v>
          </cell>
          <cell r="U311">
            <v>37242.589395561481</v>
          </cell>
          <cell r="V311">
            <v>0</v>
          </cell>
          <cell r="W311">
            <v>22756.316352585098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14125.326712329386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8630.9896402557115</v>
          </cell>
          <cell r="AT311">
            <v>8630.9896402557115</v>
          </cell>
          <cell r="AU311">
            <v>0</v>
          </cell>
        </row>
        <row r="312">
          <cell r="B312">
            <v>298</v>
          </cell>
          <cell r="C312">
            <v>7</v>
          </cell>
          <cell r="D312">
            <v>745947.32695037802</v>
          </cell>
          <cell r="E312">
            <v>745947.32695037802</v>
          </cell>
          <cell r="F312">
            <v>1219030</v>
          </cell>
          <cell r="G312">
            <v>0.61191876077732132</v>
          </cell>
          <cell r="H312">
            <v>8016.1357661829097</v>
          </cell>
          <cell r="I312">
            <v>118051.36732916083</v>
          </cell>
          <cell r="J312">
            <v>59148.067416735881</v>
          </cell>
          <cell r="K312">
            <v>59148.067416735881</v>
          </cell>
          <cell r="L312">
            <v>59025.683664580414</v>
          </cell>
          <cell r="M312">
            <v>59025.683664580414</v>
          </cell>
          <cell r="N312">
            <v>59025.683664580414</v>
          </cell>
          <cell r="O312">
            <v>58744.201034622849</v>
          </cell>
          <cell r="P312">
            <v>59148.067416735881</v>
          </cell>
          <cell r="Q312">
            <v>88722.101125103814</v>
          </cell>
          <cell r="R312">
            <v>0</v>
          </cell>
          <cell r="S312">
            <v>58744.201034622849</v>
          </cell>
          <cell r="T312">
            <v>0</v>
          </cell>
          <cell r="U312">
            <v>36193.812116022506</v>
          </cell>
          <cell r="V312">
            <v>0</v>
          </cell>
          <cell r="W312">
            <v>22954.25530071347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14046.139458178846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8908.1158425346239</v>
          </cell>
          <cell r="AT312">
            <v>8908.1158425346239</v>
          </cell>
          <cell r="AU312">
            <v>0</v>
          </cell>
        </row>
        <row r="313">
          <cell r="B313">
            <v>299</v>
          </cell>
          <cell r="C313">
            <v>7</v>
          </cell>
          <cell r="D313">
            <v>635402.96343094204</v>
          </cell>
          <cell r="E313">
            <v>635402.96343094204</v>
          </cell>
          <cell r="F313">
            <v>1219030</v>
          </cell>
          <cell r="G313">
            <v>0.52123652693612299</v>
          </cell>
          <cell r="H313">
            <v>6828.1985028632116</v>
          </cell>
          <cell r="I313">
            <v>100556.95077651685</v>
          </cell>
          <cell r="J313">
            <v>50382.72269364565</v>
          </cell>
          <cell r="K313">
            <v>50382.72269364565</v>
          </cell>
          <cell r="L313">
            <v>50278.475388258426</v>
          </cell>
          <cell r="M313">
            <v>50278.475388258426</v>
          </cell>
          <cell r="N313">
            <v>50278.475388258426</v>
          </cell>
          <cell r="O313">
            <v>50038.706585867811</v>
          </cell>
          <cell r="P313">
            <v>50382.72269364565</v>
          </cell>
          <cell r="Q313">
            <v>75574.084040468471</v>
          </cell>
          <cell r="R313">
            <v>0</v>
          </cell>
          <cell r="S313">
            <v>50038.706585867811</v>
          </cell>
          <cell r="T313">
            <v>0</v>
          </cell>
          <cell r="U313">
            <v>26261.315394421694</v>
          </cell>
          <cell r="V313">
            <v>0</v>
          </cell>
          <cell r="W313">
            <v>24121.407299224054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12572.958565459192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11548.448733764862</v>
          </cell>
          <cell r="AT313">
            <v>11548.448733764862</v>
          </cell>
          <cell r="AU313">
            <v>0</v>
          </cell>
        </row>
        <row r="314">
          <cell r="B314">
            <v>300</v>
          </cell>
          <cell r="C314">
            <v>7</v>
          </cell>
          <cell r="D314">
            <v>612297.92753214401</v>
          </cell>
          <cell r="E314">
            <v>612297.92753214401</v>
          </cell>
          <cell r="F314">
            <v>1219030</v>
          </cell>
          <cell r="G314">
            <v>0.50228290323629776</v>
          </cell>
          <cell r="H314">
            <v>6579.9060323955009</v>
          </cell>
          <cell r="I314">
            <v>96900.417692346571</v>
          </cell>
          <cell r="J314">
            <v>48550.665426820538</v>
          </cell>
          <cell r="K314">
            <v>48550.665426820538</v>
          </cell>
          <cell r="L314">
            <v>48450.208846173286</v>
          </cell>
          <cell r="M314">
            <v>48450.208846173286</v>
          </cell>
          <cell r="N314">
            <v>48450.208846173286</v>
          </cell>
          <cell r="O314">
            <v>48219.158710684584</v>
          </cell>
          <cell r="P314">
            <v>48550.665426820538</v>
          </cell>
          <cell r="Q314">
            <v>72825.998140230819</v>
          </cell>
          <cell r="R314">
            <v>0</v>
          </cell>
          <cell r="S314">
            <v>48219.158710684584</v>
          </cell>
          <cell r="T314">
            <v>0</v>
          </cell>
          <cell r="U314">
            <v>24386.1691846375</v>
          </cell>
          <cell r="V314">
            <v>0</v>
          </cell>
          <cell r="W314">
            <v>24164.496242182911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12137.41332776624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12027.082914416671</v>
          </cell>
          <cell r="AT314">
            <v>12027.082914416671</v>
          </cell>
          <cell r="AU314">
            <v>0</v>
          </cell>
        </row>
        <row r="315">
          <cell r="B315">
            <v>301</v>
          </cell>
          <cell r="C315">
            <v>7</v>
          </cell>
          <cell r="D315">
            <v>584926.90112236794</v>
          </cell>
          <cell r="E315">
            <v>584926.90112236794</v>
          </cell>
          <cell r="F315">
            <v>1219030</v>
          </cell>
          <cell r="G315">
            <v>0.4798297836167838</v>
          </cell>
          <cell r="H315">
            <v>6285.7701653798676</v>
          </cell>
          <cell r="I315">
            <v>92568.761855349934</v>
          </cell>
          <cell r="J315">
            <v>46380.346884398321</v>
          </cell>
          <cell r="K315">
            <v>46380.346884398321</v>
          </cell>
          <cell r="L315">
            <v>46284.380927674967</v>
          </cell>
          <cell r="M315">
            <v>46284.380927674967</v>
          </cell>
          <cell r="N315">
            <v>46284.380927674967</v>
          </cell>
          <cell r="O315">
            <v>46063.659227211247</v>
          </cell>
          <cell r="P315">
            <v>46380.346884398321</v>
          </cell>
          <cell r="Q315">
            <v>69570.520326597485</v>
          </cell>
          <cell r="R315">
            <v>0</v>
          </cell>
          <cell r="S315">
            <v>44357.387449202259</v>
          </cell>
          <cell r="T315">
            <v>0</v>
          </cell>
          <cell r="U315">
            <v>23073.391827645679</v>
          </cell>
          <cell r="V315">
            <v>0</v>
          </cell>
          <cell r="W315">
            <v>25013.226834761561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12002.09121968117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13011.135615080391</v>
          </cell>
          <cell r="AT315">
            <v>13011.135615080391</v>
          </cell>
          <cell r="AU315">
            <v>0</v>
          </cell>
        </row>
        <row r="316">
          <cell r="B316">
            <v>302</v>
          </cell>
          <cell r="C316">
            <v>7</v>
          </cell>
          <cell r="D316">
            <v>652975.09050412802</v>
          </cell>
          <cell r="E316">
            <v>652975.09050412802</v>
          </cell>
          <cell r="F316">
            <v>1219030</v>
          </cell>
          <cell r="G316">
            <v>0.5356513707653856</v>
          </cell>
          <cell r="H316">
            <v>7017.0329570265512</v>
          </cell>
          <cell r="I316">
            <v>103337.86244805819</v>
          </cell>
          <cell r="J316">
            <v>51776.061498182171</v>
          </cell>
          <cell r="K316">
            <v>51776.061498182171</v>
          </cell>
          <cell r="L316">
            <v>51668.931224029096</v>
          </cell>
          <cell r="M316">
            <v>51668.931224029096</v>
          </cell>
          <cell r="N316">
            <v>51668.931224029096</v>
          </cell>
          <cell r="O316">
            <v>51422.531593477019</v>
          </cell>
          <cell r="P316">
            <v>51776.061498182171</v>
          </cell>
          <cell r="Q316">
            <v>77664.092247273264</v>
          </cell>
          <cell r="R316">
            <v>0</v>
          </cell>
          <cell r="S316">
            <v>51422.531593477019</v>
          </cell>
          <cell r="T316">
            <v>0</v>
          </cell>
          <cell r="U316">
            <v>27733.918314334162</v>
          </cell>
          <cell r="V316">
            <v>0</v>
          </cell>
          <cell r="W316">
            <v>24042.143183848006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12878.206952565857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11163.936231282149</v>
          </cell>
          <cell r="AT316">
            <v>11163.936231282149</v>
          </cell>
          <cell r="AU316">
            <v>0</v>
          </cell>
        </row>
        <row r="317">
          <cell r="B317">
            <v>303</v>
          </cell>
          <cell r="C317">
            <v>7</v>
          </cell>
          <cell r="D317">
            <v>664585.01412972203</v>
          </cell>
          <cell r="E317">
            <v>664585.01412972203</v>
          </cell>
          <cell r="F317">
            <v>1219030</v>
          </cell>
          <cell r="G317">
            <v>0.54517527388966802</v>
          </cell>
          <cell r="H317">
            <v>7141.7960879546508</v>
          </cell>
          <cell r="I317">
            <v>105175.21383879475</v>
          </cell>
          <cell r="J317">
            <v>52696.641974175312</v>
          </cell>
          <cell r="K317">
            <v>52696.641974175312</v>
          </cell>
          <cell r="L317">
            <v>52587.606919397374</v>
          </cell>
          <cell r="M317">
            <v>52587.606919397374</v>
          </cell>
          <cell r="N317">
            <v>52587.606919397374</v>
          </cell>
          <cell r="O317">
            <v>52336.826293408129</v>
          </cell>
          <cell r="P317">
            <v>52696.641974175312</v>
          </cell>
          <cell r="Q317">
            <v>79044.962961262965</v>
          </cell>
          <cell r="R317">
            <v>0</v>
          </cell>
          <cell r="S317">
            <v>52336.826293408129</v>
          </cell>
          <cell r="T317">
            <v>0</v>
          </cell>
          <cell r="U317">
            <v>28728.906221336823</v>
          </cell>
          <cell r="V317">
            <v>0</v>
          </cell>
          <cell r="W317">
            <v>23967.735752838547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13066.616903568944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10901.118849269604</v>
          </cell>
          <cell r="AT317">
            <v>10901.118849269604</v>
          </cell>
          <cell r="AU317">
            <v>0</v>
          </cell>
        </row>
        <row r="318">
          <cell r="B318">
            <v>304</v>
          </cell>
          <cell r="C318">
            <v>7</v>
          </cell>
          <cell r="D318">
            <v>730186.22416619596</v>
          </cell>
          <cell r="E318">
            <v>730186.22416619596</v>
          </cell>
          <cell r="F318">
            <v>1219030</v>
          </cell>
          <cell r="G318">
            <v>0.59898954428208984</v>
          </cell>
          <cell r="H318">
            <v>7846.763030095377</v>
          </cell>
          <cell r="I318">
            <v>115557.06288290078</v>
          </cell>
          <cell r="J318">
            <v>57898.329350306805</v>
          </cell>
          <cell r="K318">
            <v>57898.329350306805</v>
          </cell>
          <cell r="L318">
            <v>57778.531441450388</v>
          </cell>
          <cell r="M318">
            <v>57778.531441450388</v>
          </cell>
          <cell r="N318">
            <v>57778.531441450388</v>
          </cell>
          <cell r="O318">
            <v>57502.996251080622</v>
          </cell>
          <cell r="P318">
            <v>57898.329350306805</v>
          </cell>
          <cell r="Q318">
            <v>86847.494025460212</v>
          </cell>
          <cell r="R318">
            <v>0</v>
          </cell>
          <cell r="S318">
            <v>57502.996251080622</v>
          </cell>
          <cell r="T318">
            <v>0</v>
          </cell>
          <cell r="U318">
            <v>34680.493912234597</v>
          </cell>
          <cell r="V318">
            <v>0</v>
          </cell>
          <cell r="W318">
            <v>23217.835438072216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13907.240668267432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9310.5947698047839</v>
          </cell>
          <cell r="AT318">
            <v>9310.5947698047839</v>
          </cell>
          <cell r="AU318">
            <v>0</v>
          </cell>
        </row>
        <row r="319">
          <cell r="B319">
            <v>305</v>
          </cell>
          <cell r="C319">
            <v>8</v>
          </cell>
          <cell r="D319">
            <v>721178.02562171803</v>
          </cell>
          <cell r="E319">
            <v>721178.02562171803</v>
          </cell>
          <cell r="F319">
            <v>1219030</v>
          </cell>
          <cell r="G319">
            <v>0.59159989961011461</v>
          </cell>
          <cell r="H319">
            <v>7749.958684892501</v>
          </cell>
          <cell r="I319">
            <v>114131.45263278332</v>
          </cell>
          <cell r="J319">
            <v>57184.046296313682</v>
          </cell>
          <cell r="K319">
            <v>57184.046296313682</v>
          </cell>
          <cell r="L319">
            <v>57065.726316391658</v>
          </cell>
          <cell r="M319">
            <v>57065.726316391658</v>
          </cell>
          <cell r="N319">
            <v>57065.726316391658</v>
          </cell>
          <cell r="O319">
            <v>56793.590362571005</v>
          </cell>
          <cell r="P319">
            <v>57184.046296313682</v>
          </cell>
          <cell r="Q319">
            <v>85776.069444470515</v>
          </cell>
          <cell r="R319">
            <v>0</v>
          </cell>
          <cell r="S319">
            <v>56793.590362571005</v>
          </cell>
          <cell r="T319">
            <v>0</v>
          </cell>
          <cell r="U319">
            <v>33830.076048199291</v>
          </cell>
          <cell r="V319">
            <v>0</v>
          </cell>
          <cell r="W319">
            <v>23353.970248114318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13816.206454282034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9537.7637938322841</v>
          </cell>
          <cell r="AT319">
            <v>9537.7637938322841</v>
          </cell>
          <cell r="AU319">
            <v>0</v>
          </cell>
        </row>
        <row r="320">
          <cell r="B320">
            <v>306</v>
          </cell>
          <cell r="C320">
            <v>8</v>
          </cell>
          <cell r="D320">
            <v>618361.96365750802</v>
          </cell>
          <cell r="E320">
            <v>618361.96365750802</v>
          </cell>
          <cell r="F320">
            <v>1219030</v>
          </cell>
          <cell r="G320">
            <v>0.50725737976711649</v>
          </cell>
          <cell r="H320">
            <v>6645.0716749492258</v>
          </cell>
          <cell r="I320">
            <v>97860.093704672108</v>
          </cell>
          <cell r="J320">
            <v>49031.498328289483</v>
          </cell>
          <cell r="K320">
            <v>49031.498328289483</v>
          </cell>
          <cell r="L320">
            <v>48930.046852336054</v>
          </cell>
          <cell r="M320">
            <v>48930.046852336054</v>
          </cell>
          <cell r="N320">
            <v>48930.046852336054</v>
          </cell>
          <cell r="O320">
            <v>48696.708457643181</v>
          </cell>
          <cell r="P320">
            <v>49031.498328289483</v>
          </cell>
          <cell r="Q320">
            <v>73547.247492434224</v>
          </cell>
          <cell r="R320">
            <v>0</v>
          </cell>
          <cell r="S320">
            <v>48696.708457643181</v>
          </cell>
          <cell r="T320">
            <v>0</v>
          </cell>
          <cell r="U320">
            <v>24871.589368063876</v>
          </cell>
          <cell r="V320">
            <v>0</v>
          </cell>
          <cell r="W320">
            <v>24159.908960225643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12255.292114576139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11904.616845649503</v>
          </cell>
          <cell r="AT320">
            <v>11904.616845649503</v>
          </cell>
          <cell r="AU320">
            <v>0</v>
          </cell>
        </row>
        <row r="321">
          <cell r="B321">
            <v>307</v>
          </cell>
          <cell r="C321">
            <v>8</v>
          </cell>
          <cell r="D321">
            <v>588134.63047218602</v>
          </cell>
          <cell r="E321">
            <v>588134.63047218602</v>
          </cell>
          <cell r="F321">
            <v>1219030</v>
          </cell>
          <cell r="G321">
            <v>0.48246116213069901</v>
          </cell>
          <cell r="H321">
            <v>6320.2412239121568</v>
          </cell>
          <cell r="I321">
            <v>93076.407398254451</v>
          </cell>
          <cell r="J321">
            <v>46634.695931553368</v>
          </cell>
          <cell r="K321">
            <v>46634.695931553368</v>
          </cell>
          <cell r="L321">
            <v>46538.203699127225</v>
          </cell>
          <cell r="M321">
            <v>46538.203699127225</v>
          </cell>
          <cell r="N321">
            <v>46538.203699127225</v>
          </cell>
          <cell r="O321">
            <v>46316.271564547103</v>
          </cell>
          <cell r="P321">
            <v>46634.695931553368</v>
          </cell>
          <cell r="Q321">
            <v>69952.043897330048</v>
          </cell>
          <cell r="R321">
            <v>0</v>
          </cell>
          <cell r="S321">
            <v>44845.231799341462</v>
          </cell>
          <cell r="T321">
            <v>0</v>
          </cell>
          <cell r="U321">
            <v>23209.149149410579</v>
          </cell>
          <cell r="V321">
            <v>0</v>
          </cell>
          <cell r="W321">
            <v>24896.586547348415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12011.636078721243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12884.950468627172</v>
          </cell>
          <cell r="AT321">
            <v>12884.950468627172</v>
          </cell>
          <cell r="AU321">
            <v>0</v>
          </cell>
        </row>
        <row r="322">
          <cell r="B322">
            <v>308</v>
          </cell>
          <cell r="C322">
            <v>8</v>
          </cell>
          <cell r="D322">
            <v>716151.28510620794</v>
          </cell>
          <cell r="E322">
            <v>716151.28510620794</v>
          </cell>
          <cell r="F322">
            <v>1219030</v>
          </cell>
          <cell r="G322">
            <v>0.58747634193269072</v>
          </cell>
          <cell r="H322">
            <v>7695.9400793182485</v>
          </cell>
          <cell r="I322">
            <v>113335.93588565469</v>
          </cell>
          <cell r="J322">
            <v>56785.463211213886</v>
          </cell>
          <cell r="K322">
            <v>56785.463211213886</v>
          </cell>
          <cell r="L322">
            <v>56667.967942827345</v>
          </cell>
          <cell r="M322">
            <v>56667.967942827345</v>
          </cell>
          <cell r="N322">
            <v>56667.967942827345</v>
          </cell>
          <cell r="O322">
            <v>56397.72882553831</v>
          </cell>
          <cell r="P322">
            <v>56785.463211213886</v>
          </cell>
          <cell r="Q322">
            <v>85178.194816820833</v>
          </cell>
          <cell r="R322">
            <v>0</v>
          </cell>
          <cell r="S322">
            <v>56397.72882553831</v>
          </cell>
          <cell r="T322">
            <v>0</v>
          </cell>
          <cell r="U322">
            <v>33360.11620227735</v>
          </cell>
          <cell r="V322">
            <v>0</v>
          </cell>
          <cell r="W322">
            <v>23425.347008936573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13761.837169313956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9663.5098396226167</v>
          </cell>
          <cell r="AT322">
            <v>9663.5098396226167</v>
          </cell>
          <cell r="AU322">
            <v>0</v>
          </cell>
        </row>
        <row r="323">
          <cell r="B323">
            <v>309</v>
          </cell>
          <cell r="C323">
            <v>8</v>
          </cell>
          <cell r="D323">
            <v>736312.15858589194</v>
          </cell>
          <cell r="E323">
            <v>736312.15858589194</v>
          </cell>
          <cell r="F323">
            <v>1219030</v>
          </cell>
          <cell r="G323">
            <v>0.60401479749135945</v>
          </cell>
          <cell r="H323">
            <v>7912.593847136809</v>
          </cell>
          <cell r="I323">
            <v>116526.53473203306</v>
          </cell>
          <cell r="J323">
            <v>58384.070325514804</v>
          </cell>
          <cell r="K323">
            <v>58384.070325514804</v>
          </cell>
          <cell r="L323">
            <v>58263.267366016531</v>
          </cell>
          <cell r="M323">
            <v>58263.267366016531</v>
          </cell>
          <cell r="N323">
            <v>58263.267366016531</v>
          </cell>
          <cell r="O323">
            <v>57985.42055917051</v>
          </cell>
          <cell r="P323">
            <v>58384.070325514804</v>
          </cell>
          <cell r="Q323">
            <v>87576.105488272209</v>
          </cell>
          <cell r="R323">
            <v>0</v>
          </cell>
          <cell r="S323">
            <v>57985.42055917051</v>
          </cell>
          <cell r="T323">
            <v>0</v>
          </cell>
          <cell r="U323">
            <v>35264.842414387087</v>
          </cell>
          <cell r="V323">
            <v>0</v>
          </cell>
          <cell r="W323">
            <v>23119.227911127731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13964.355764896402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9154.8721462313297</v>
          </cell>
          <cell r="AT323">
            <v>9154.8721462313297</v>
          </cell>
          <cell r="AU323">
            <v>0</v>
          </cell>
        </row>
        <row r="324">
          <cell r="B324">
            <v>310</v>
          </cell>
          <cell r="C324">
            <v>8</v>
          </cell>
          <cell r="D324">
            <v>710972.79393362603</v>
          </cell>
          <cell r="E324">
            <v>710972.79393362603</v>
          </cell>
          <cell r="F324">
            <v>1219030</v>
          </cell>
          <cell r="G324">
            <v>0.58322829949519372</v>
          </cell>
          <cell r="H324">
            <v>7640.2907233870374</v>
          </cell>
          <cell r="I324">
            <v>112516.40353861278</v>
          </cell>
          <cell r="J324">
            <v>56374.847429205423</v>
          </cell>
          <cell r="K324">
            <v>56374.847429205423</v>
          </cell>
          <cell r="L324">
            <v>56258.20176930639</v>
          </cell>
          <cell r="M324">
            <v>56258.20176930639</v>
          </cell>
          <cell r="N324">
            <v>56258.20176930639</v>
          </cell>
          <cell r="O324">
            <v>55989.9167515386</v>
          </cell>
          <cell r="P324">
            <v>56374.847429205423</v>
          </cell>
          <cell r="Q324">
            <v>84562.271143808131</v>
          </cell>
          <cell r="R324">
            <v>0</v>
          </cell>
          <cell r="S324">
            <v>55989.9167515386</v>
          </cell>
          <cell r="T324">
            <v>0</v>
          </cell>
          <cell r="U324">
            <v>32879.406400436477</v>
          </cell>
          <cell r="V324">
            <v>0</v>
          </cell>
          <cell r="W324">
            <v>23495.441028768895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13703.206117098487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9792.2349116704081</v>
          </cell>
          <cell r="AT324">
            <v>9792.2349116704081</v>
          </cell>
          <cell r="AU324">
            <v>0</v>
          </cell>
        </row>
        <row r="325">
          <cell r="B325">
            <v>311</v>
          </cell>
          <cell r="C325">
            <v>8</v>
          </cell>
          <cell r="D325">
            <v>778237.27104037593</v>
          </cell>
          <cell r="E325">
            <v>778237.27104037593</v>
          </cell>
          <cell r="F325">
            <v>1219030</v>
          </cell>
          <cell r="G325">
            <v>0.63840698837631227</v>
          </cell>
          <cell r="H325">
            <v>8363.1315477296903</v>
          </cell>
          <cell r="I325">
            <v>123161.47619755816</v>
          </cell>
          <cell r="J325">
            <v>61708.419496454342</v>
          </cell>
          <cell r="K325">
            <v>61708.419496454342</v>
          </cell>
          <cell r="L325">
            <v>61580.738098779082</v>
          </cell>
          <cell r="M325">
            <v>61580.738098779082</v>
          </cell>
          <cell r="N325">
            <v>61580.738098779082</v>
          </cell>
          <cell r="O325">
            <v>61287.070884125977</v>
          </cell>
          <cell r="P325">
            <v>61708.419496454342</v>
          </cell>
          <cell r="Q325">
            <v>92562.629244681521</v>
          </cell>
          <cell r="R325">
            <v>0</v>
          </cell>
          <cell r="S325">
            <v>61287.070884125977</v>
          </cell>
          <cell r="T325">
            <v>0</v>
          </cell>
          <cell r="U325">
            <v>39395.086248193424</v>
          </cell>
          <cell r="V325">
            <v>0</v>
          </cell>
          <cell r="W325">
            <v>22313.33324826078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14244.987879659202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8068.3453686015782</v>
          </cell>
          <cell r="AT325">
            <v>8068.3453686015782</v>
          </cell>
          <cell r="AU325">
            <v>0</v>
          </cell>
        </row>
        <row r="326">
          <cell r="B326">
            <v>312</v>
          </cell>
          <cell r="C326">
            <v>8</v>
          </cell>
          <cell r="D326">
            <v>765291.54228871397</v>
          </cell>
          <cell r="E326">
            <v>765291.54228871397</v>
          </cell>
          <cell r="F326">
            <v>1219030</v>
          </cell>
          <cell r="G326">
            <v>0.62778729177191206</v>
          </cell>
          <cell r="H326">
            <v>8224.013522212048</v>
          </cell>
          <cell r="I326">
            <v>121112.72432863727</v>
          </cell>
          <cell r="J326">
            <v>60681.91962267302</v>
          </cell>
          <cell r="K326">
            <v>60681.91962267302</v>
          </cell>
          <cell r="L326">
            <v>60556.362164318634</v>
          </cell>
          <cell r="M326">
            <v>60556.362164318634</v>
          </cell>
          <cell r="N326">
            <v>60556.362164318634</v>
          </cell>
          <cell r="O326">
            <v>60267.580010103557</v>
          </cell>
          <cell r="P326">
            <v>60681.91962267302</v>
          </cell>
          <cell r="Q326">
            <v>91022.879434009534</v>
          </cell>
          <cell r="R326">
            <v>0</v>
          </cell>
          <cell r="S326">
            <v>60267.580010103557</v>
          </cell>
          <cell r="T326">
            <v>0</v>
          </cell>
          <cell r="U326">
            <v>38095.337979438773</v>
          </cell>
          <cell r="V326">
            <v>0</v>
          </cell>
          <cell r="W326">
            <v>22586.581643234356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14179.568920191279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8407.0127230430771</v>
          </cell>
          <cell r="AT326">
            <v>8407.0127230430771</v>
          </cell>
          <cell r="AU326">
            <v>0</v>
          </cell>
        </row>
        <row r="327">
          <cell r="B327">
            <v>313</v>
          </cell>
          <cell r="C327">
            <v>8</v>
          </cell>
          <cell r="D327">
            <v>636144.74460333993</v>
          </cell>
          <cell r="E327">
            <v>636144.74460333993</v>
          </cell>
          <cell r="F327">
            <v>1219030</v>
          </cell>
          <cell r="G327">
            <v>0.52184502809884903</v>
          </cell>
          <cell r="H327">
            <v>6836.1698680949221</v>
          </cell>
          <cell r="I327">
            <v>100674.34282082996</v>
          </cell>
          <cell r="J327">
            <v>50441.540416034746</v>
          </cell>
          <cell r="K327">
            <v>50441.540416034746</v>
          </cell>
          <cell r="L327">
            <v>50337.17141041498</v>
          </cell>
          <cell r="M327">
            <v>50337.17141041498</v>
          </cell>
          <cell r="N327">
            <v>50337.17141041498</v>
          </cell>
          <cell r="O327">
            <v>50097.122697489503</v>
          </cell>
          <cell r="P327">
            <v>50441.540416034746</v>
          </cell>
          <cell r="Q327">
            <v>75662.310624052116</v>
          </cell>
          <cell r="R327">
            <v>0</v>
          </cell>
          <cell r="S327">
            <v>50097.122697489503</v>
          </cell>
          <cell r="T327">
            <v>0</v>
          </cell>
          <cell r="U327">
            <v>26322.667075754885</v>
          </cell>
          <cell r="V327">
            <v>0</v>
          </cell>
          <cell r="W327">
            <v>24118.873340279912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12586.314135970952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11532.55920430896</v>
          </cell>
          <cell r="AT327">
            <v>11532.55920430896</v>
          </cell>
          <cell r="AU327">
            <v>0</v>
          </cell>
        </row>
        <row r="328">
          <cell r="B328">
            <v>314</v>
          </cell>
          <cell r="C328">
            <v>8</v>
          </cell>
          <cell r="D328">
            <v>613922.25857856602</v>
          </cell>
          <cell r="E328">
            <v>613922.25857856602</v>
          </cell>
          <cell r="F328">
            <v>1219030</v>
          </cell>
          <cell r="G328">
            <v>0.50361538155629149</v>
          </cell>
          <cell r="H328">
            <v>6597.3614983874186</v>
          </cell>
          <cell r="I328">
            <v>97157.479409839754</v>
          </cell>
          <cell r="J328">
            <v>48679.462781231137</v>
          </cell>
          <cell r="K328">
            <v>48679.462781231137</v>
          </cell>
          <cell r="L328">
            <v>48578.739704919877</v>
          </cell>
          <cell r="M328">
            <v>48578.739704919877</v>
          </cell>
          <cell r="N328">
            <v>48578.739704919877</v>
          </cell>
          <cell r="O328">
            <v>48347.076629403986</v>
          </cell>
          <cell r="P328">
            <v>48679.462781231137</v>
          </cell>
          <cell r="Q328">
            <v>73019.194171846699</v>
          </cell>
          <cell r="R328">
            <v>0</v>
          </cell>
          <cell r="S328">
            <v>48347.076629403986</v>
          </cell>
          <cell r="T328">
            <v>0</v>
          </cell>
          <cell r="U328">
            <v>24515.726222525016</v>
          </cell>
          <cell r="V328">
            <v>0</v>
          </cell>
          <cell r="W328">
            <v>24163.73655870615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12169.229406838507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11994.507151867643</v>
          </cell>
          <cell r="AT328">
            <v>11994.507151867643</v>
          </cell>
          <cell r="AU328">
            <v>0</v>
          </cell>
        </row>
        <row r="329">
          <cell r="B329">
            <v>315</v>
          </cell>
          <cell r="C329">
            <v>8</v>
          </cell>
          <cell r="D329">
            <v>765631.98290753993</v>
          </cell>
          <cell r="E329">
            <v>765631.98290753993</v>
          </cell>
          <cell r="F329">
            <v>1219030</v>
          </cell>
          <cell r="G329">
            <v>0.62806656350339196</v>
          </cell>
          <cell r="H329">
            <v>8227.6719818944348</v>
          </cell>
          <cell r="I329">
            <v>121166.60143107438</v>
          </cell>
          <cell r="J329">
            <v>60708.914028237865</v>
          </cell>
          <cell r="K329">
            <v>60708.914028237865</v>
          </cell>
          <cell r="L329">
            <v>60583.300715537189</v>
          </cell>
          <cell r="M329">
            <v>60583.300715537189</v>
          </cell>
          <cell r="N329">
            <v>60583.300715537189</v>
          </cell>
          <cell r="O329">
            <v>60294.390096325631</v>
          </cell>
          <cell r="P329">
            <v>60708.914028237865</v>
          </cell>
          <cell r="Q329">
            <v>91063.371042356797</v>
          </cell>
          <cell r="R329">
            <v>0</v>
          </cell>
          <cell r="S329">
            <v>60294.390096325631</v>
          </cell>
          <cell r="T329">
            <v>0</v>
          </cell>
          <cell r="U329">
            <v>38129.239007738186</v>
          </cell>
          <cell r="V329">
            <v>0</v>
          </cell>
          <cell r="W329">
            <v>22579.675020499621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14181.538895148578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8398.1361253510422</v>
          </cell>
          <cell r="AT329">
            <v>8398.1361253510422</v>
          </cell>
          <cell r="AU329">
            <v>0</v>
          </cell>
        </row>
        <row r="330">
          <cell r="B330">
            <v>316</v>
          </cell>
          <cell r="C330">
            <v>8</v>
          </cell>
          <cell r="D330">
            <v>780793.07158053597</v>
          </cell>
          <cell r="E330">
            <v>780793.07158053597</v>
          </cell>
          <cell r="F330">
            <v>1219030</v>
          </cell>
          <cell r="G330">
            <v>0.64050357380912359</v>
          </cell>
          <cell r="H330">
            <v>8390.5968168995187</v>
          </cell>
          <cell r="I330">
            <v>123565.94945925612</v>
          </cell>
          <cell r="J330">
            <v>61911.075444389884</v>
          </cell>
          <cell r="K330">
            <v>61911.075444389884</v>
          </cell>
          <cell r="L330">
            <v>61782.974729628062</v>
          </cell>
          <cell r="M330">
            <v>61782.974729628062</v>
          </cell>
          <cell r="N330">
            <v>61782.974729628062</v>
          </cell>
          <cell r="O330">
            <v>61488.343085675864</v>
          </cell>
          <cell r="P330">
            <v>61911.075444389884</v>
          </cell>
          <cell r="Q330">
            <v>92866.613166584837</v>
          </cell>
          <cell r="R330">
            <v>0</v>
          </cell>
          <cell r="S330">
            <v>61488.343085675864</v>
          </cell>
          <cell r="T330">
            <v>0</v>
          </cell>
          <cell r="U330">
            <v>39654.265080498037</v>
          </cell>
          <cell r="V330">
            <v>0</v>
          </cell>
          <cell r="W330">
            <v>22256.810363891884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14255.566579664692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8001.243784227192</v>
          </cell>
          <cell r="AT330">
            <v>8001.243784227192</v>
          </cell>
          <cell r="AU330">
            <v>0</v>
          </cell>
        </row>
        <row r="331">
          <cell r="B331">
            <v>317</v>
          </cell>
          <cell r="C331">
            <v>8</v>
          </cell>
          <cell r="D331">
            <v>781990.10472414992</v>
          </cell>
          <cell r="E331">
            <v>781990.10472414992</v>
          </cell>
          <cell r="F331">
            <v>1219030</v>
          </cell>
          <cell r="G331">
            <v>0.64148552925206925</v>
          </cell>
          <cell r="H331">
            <v>8403.4604332021081</v>
          </cell>
          <cell r="I331">
            <v>123755.3883033092</v>
          </cell>
          <cell r="J331">
            <v>62005.991257505011</v>
          </cell>
          <cell r="K331">
            <v>62005.991257505011</v>
          </cell>
          <cell r="L331">
            <v>61877.694151654599</v>
          </cell>
          <cell r="M331">
            <v>61877.694151654599</v>
          </cell>
          <cell r="N331">
            <v>61877.694151654599</v>
          </cell>
          <cell r="O331">
            <v>61582.610808198646</v>
          </cell>
          <cell r="P331">
            <v>62005.991257505011</v>
          </cell>
          <cell r="Q331">
            <v>93008.986886257524</v>
          </cell>
          <cell r="R331">
            <v>0</v>
          </cell>
          <cell r="S331">
            <v>61582.610808198646</v>
          </cell>
          <cell r="T331">
            <v>0</v>
          </cell>
          <cell r="U331">
            <v>39775.946118619715</v>
          </cell>
          <cell r="V331">
            <v>0</v>
          </cell>
          <cell r="W331">
            <v>22230.045138885151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14260.252271215129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7969.7928676700212</v>
          </cell>
          <cell r="AT331">
            <v>7969.7928676700212</v>
          </cell>
          <cell r="AU331">
            <v>0</v>
          </cell>
        </row>
        <row r="332">
          <cell r="B332">
            <v>318</v>
          </cell>
          <cell r="C332">
            <v>8</v>
          </cell>
          <cell r="D332">
            <v>705844.22074034403</v>
          </cell>
          <cell r="E332">
            <v>705844.22074034403</v>
          </cell>
          <cell r="F332">
            <v>1219030</v>
          </cell>
          <cell r="G332">
            <v>0.5790212059919313</v>
          </cell>
          <cell r="H332">
            <v>7585.1777984943001</v>
          </cell>
          <cell r="I332">
            <v>111704.77105996339</v>
          </cell>
          <cell r="J332">
            <v>55968.189771180078</v>
          </cell>
          <cell r="K332">
            <v>55968.189771180078</v>
          </cell>
          <cell r="L332">
            <v>55852.385529981693</v>
          </cell>
          <cell r="M332">
            <v>55852.385529981693</v>
          </cell>
          <cell r="N332">
            <v>55852.385529981693</v>
          </cell>
          <cell r="O332">
            <v>55586.035775225406</v>
          </cell>
          <cell r="P332">
            <v>55968.189771180078</v>
          </cell>
          <cell r="Q332">
            <v>83952.28465677012</v>
          </cell>
          <cell r="R332">
            <v>0</v>
          </cell>
          <cell r="S332">
            <v>55586.035775225406</v>
          </cell>
          <cell r="T332">
            <v>0</v>
          </cell>
          <cell r="U332">
            <v>32406.768738494007</v>
          </cell>
          <cell r="V332">
            <v>0</v>
          </cell>
          <cell r="W332">
            <v>23561.421032686136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13642.562421229582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9918.8586114565533</v>
          </cell>
          <cell r="AT332">
            <v>9918.8586114565533</v>
          </cell>
          <cell r="AU332">
            <v>0</v>
          </cell>
        </row>
        <row r="333">
          <cell r="B333">
            <v>319</v>
          </cell>
          <cell r="C333">
            <v>8</v>
          </cell>
          <cell r="D333">
            <v>745234.498205974</v>
          </cell>
          <cell r="E333">
            <v>745234.498205974</v>
          </cell>
          <cell r="F333">
            <v>1219030</v>
          </cell>
          <cell r="G333">
            <v>0.61133400999645127</v>
          </cell>
          <cell r="H333">
            <v>8008.4755309535112</v>
          </cell>
          <cell r="I333">
            <v>117938.55720851538</v>
          </cell>
          <cell r="J333">
            <v>59091.545406256977</v>
          </cell>
          <cell r="K333">
            <v>59091.545406256977</v>
          </cell>
          <cell r="L333">
            <v>58969.278604257692</v>
          </cell>
          <cell r="M333">
            <v>58969.278604257692</v>
          </cell>
          <cell r="N333">
            <v>58969.278604257692</v>
          </cell>
          <cell r="O333">
            <v>58688.064959659321</v>
          </cell>
          <cell r="P333">
            <v>59091.545406256977</v>
          </cell>
          <cell r="Q333">
            <v>88637.318109385466</v>
          </cell>
          <cell r="R333">
            <v>0</v>
          </cell>
          <cell r="S333">
            <v>58688.064959659321</v>
          </cell>
          <cell r="T333">
            <v>0</v>
          </cell>
          <cell r="U333">
            <v>36124.671410094496</v>
          </cell>
          <cell r="V333">
            <v>0</v>
          </cell>
          <cell r="W333">
            <v>22966.873996162554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14040.431177157276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8926.4428190052786</v>
          </cell>
          <cell r="AT333">
            <v>8926.4428190052786</v>
          </cell>
          <cell r="AU333">
            <v>0</v>
          </cell>
        </row>
        <row r="334">
          <cell r="B334">
            <v>320</v>
          </cell>
          <cell r="C334">
            <v>8</v>
          </cell>
          <cell r="D334">
            <v>574892.38892348204</v>
          </cell>
          <cell r="E334">
            <v>574892.38892348204</v>
          </cell>
          <cell r="F334">
            <v>1219030</v>
          </cell>
          <cell r="G334">
            <v>0.4715982288569453</v>
          </cell>
          <cell r="H334">
            <v>6177.9367980259831</v>
          </cell>
          <cell r="I334">
            <v>90980.73031108189</v>
          </cell>
          <cell r="J334">
            <v>45584.684801312331</v>
          </cell>
          <cell r="K334">
            <v>45584.684801312331</v>
          </cell>
          <cell r="L334">
            <v>45490.365155540945</v>
          </cell>
          <cell r="M334">
            <v>45490.365155540945</v>
          </cell>
          <cell r="N334">
            <v>45490.365155540945</v>
          </cell>
          <cell r="O334">
            <v>45273.429970266749</v>
          </cell>
          <cell r="P334">
            <v>45584.684801312331</v>
          </cell>
          <cell r="Q334">
            <v>68377.027201968493</v>
          </cell>
          <cell r="R334">
            <v>0</v>
          </cell>
          <cell r="S334">
            <v>42848.526003557767</v>
          </cell>
          <cell r="T334">
            <v>0</v>
          </cell>
          <cell r="U334">
            <v>22641.23703114915</v>
          </cell>
          <cell r="V334">
            <v>0</v>
          </cell>
          <cell r="W334">
            <v>25368.351736872224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11963.669748128954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13404.68198874327</v>
          </cell>
          <cell r="AT334">
            <v>13404.68198874327</v>
          </cell>
          <cell r="AU334">
            <v>0</v>
          </cell>
        </row>
        <row r="335">
          <cell r="B335">
            <v>321</v>
          </cell>
          <cell r="C335">
            <v>8</v>
          </cell>
          <cell r="D335">
            <v>583297.57827801595</v>
          </cell>
          <cell r="E335">
            <v>583297.57827801595</v>
          </cell>
          <cell r="F335">
            <v>1219030</v>
          </cell>
          <cell r="G335">
            <v>0.47849321040336656</v>
          </cell>
          <cell r="H335">
            <v>6268.2610562841019</v>
          </cell>
          <cell r="I335">
            <v>92310.910151017481</v>
          </cell>
          <cell r="J335">
            <v>46251.153717589412</v>
          </cell>
          <cell r="K335">
            <v>46251.153717589412</v>
          </cell>
          <cell r="L335">
            <v>46155.45507550874</v>
          </cell>
          <cell r="M335">
            <v>46155.45507550874</v>
          </cell>
          <cell r="N335">
            <v>46155.45507550874</v>
          </cell>
          <cell r="O335">
            <v>45935.348198723193</v>
          </cell>
          <cell r="P335">
            <v>46251.153717589412</v>
          </cell>
          <cell r="Q335">
            <v>69376.730576384114</v>
          </cell>
          <cell r="R335">
            <v>0</v>
          </cell>
          <cell r="S335">
            <v>44110.615257792495</v>
          </cell>
          <cell r="T335">
            <v>0</v>
          </cell>
          <cell r="U335">
            <v>23003.985350223655</v>
          </cell>
          <cell r="V335">
            <v>0</v>
          </cell>
          <cell r="W335">
            <v>25071.901308296481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11996.73454792315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13075.166760373331</v>
          </cell>
          <cell r="AT335">
            <v>13075.166760373331</v>
          </cell>
          <cell r="AU335">
            <v>0</v>
          </cell>
        </row>
        <row r="336">
          <cell r="B336">
            <v>322</v>
          </cell>
          <cell r="C336">
            <v>8</v>
          </cell>
          <cell r="D336">
            <v>736194.35215474397</v>
          </cell>
          <cell r="E336">
            <v>736194.35215474397</v>
          </cell>
          <cell r="F336">
            <v>1219030</v>
          </cell>
          <cell r="G336">
            <v>0.6039181580065659</v>
          </cell>
          <cell r="H336">
            <v>7911.3278698860131</v>
          </cell>
          <cell r="I336">
            <v>116507.8910426267</v>
          </cell>
          <cell r="J336">
            <v>58374.729152914661</v>
          </cell>
          <cell r="K336">
            <v>58374.729152914661</v>
          </cell>
          <cell r="L336">
            <v>58253.945521313348</v>
          </cell>
          <cell r="M336">
            <v>58253.945521313348</v>
          </cell>
          <cell r="N336">
            <v>58253.945521313348</v>
          </cell>
          <cell r="O336">
            <v>57976.143168630326</v>
          </cell>
          <cell r="P336">
            <v>58374.729152914661</v>
          </cell>
          <cell r="Q336">
            <v>87562.093729371991</v>
          </cell>
          <cell r="R336">
            <v>0</v>
          </cell>
          <cell r="S336">
            <v>57976.143168630326</v>
          </cell>
          <cell r="T336">
            <v>0</v>
          </cell>
          <cell r="U336">
            <v>35253.558904160367</v>
          </cell>
          <cell r="V336">
            <v>0</v>
          </cell>
          <cell r="W336">
            <v>23121.170248754206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13963.294547583853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9157.8757011703528</v>
          </cell>
          <cell r="AT336">
            <v>9157.8757011703528</v>
          </cell>
          <cell r="AU336">
            <v>0</v>
          </cell>
        </row>
        <row r="337">
          <cell r="B337">
            <v>323</v>
          </cell>
          <cell r="C337">
            <v>8</v>
          </cell>
          <cell r="D337">
            <v>730230.15198798</v>
          </cell>
          <cell r="E337">
            <v>730230.15198798</v>
          </cell>
          <cell r="F337">
            <v>1219030</v>
          </cell>
          <cell r="G337">
            <v>0.5990255793442163</v>
          </cell>
          <cell r="H337">
            <v>7847.2350894092333</v>
          </cell>
          <cell r="I337">
            <v>115564.01476708621</v>
          </cell>
          <cell r="J337">
            <v>57901.81249941195</v>
          </cell>
          <cell r="K337">
            <v>57901.81249941195</v>
          </cell>
          <cell r="L337">
            <v>57782.007383543103</v>
          </cell>
          <cell r="M337">
            <v>57782.007383543103</v>
          </cell>
          <cell r="N337">
            <v>57782.007383543103</v>
          </cell>
          <cell r="O337">
            <v>57506.455617044761</v>
          </cell>
          <cell r="P337">
            <v>57901.81249941195</v>
          </cell>
          <cell r="Q337">
            <v>86852.718749117921</v>
          </cell>
          <cell r="R337">
            <v>0</v>
          </cell>
          <cell r="S337">
            <v>57506.455617044761</v>
          </cell>
          <cell r="T337">
            <v>0</v>
          </cell>
          <cell r="U337">
            <v>34684.666777540449</v>
          </cell>
          <cell r="V337">
            <v>0</v>
          </cell>
          <cell r="W337">
            <v>23217.145721871522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13907.664166763181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9309.4815551083411</v>
          </cell>
          <cell r="AT337">
            <v>9309.4815551083411</v>
          </cell>
          <cell r="AU337">
            <v>0</v>
          </cell>
        </row>
        <row r="338">
          <cell r="B338">
            <v>324</v>
          </cell>
          <cell r="C338">
            <v>8</v>
          </cell>
          <cell r="D338">
            <v>782108.909514884</v>
          </cell>
          <cell r="E338">
            <v>782108.909514884</v>
          </cell>
          <cell r="F338">
            <v>1219030</v>
          </cell>
          <cell r="G338">
            <v>0.64158298771554756</v>
          </cell>
          <cell r="H338">
            <v>8404.7371390736735</v>
          </cell>
          <cell r="I338">
            <v>123774.18999008344</v>
          </cell>
          <cell r="J338">
            <v>62015.411592584824</v>
          </cell>
          <cell r="K338">
            <v>62015.411592584824</v>
          </cell>
          <cell r="L338">
            <v>61887.09499504172</v>
          </cell>
          <cell r="M338">
            <v>61887.09499504172</v>
          </cell>
          <cell r="N338">
            <v>61887.09499504172</v>
          </cell>
          <cell r="O338">
            <v>61591.966820692563</v>
          </cell>
          <cell r="P338">
            <v>62015.411592584824</v>
          </cell>
          <cell r="Q338">
            <v>93023.117388877246</v>
          </cell>
          <cell r="R338">
            <v>0</v>
          </cell>
          <cell r="S338">
            <v>61591.966820692563</v>
          </cell>
          <cell r="T338">
            <v>0</v>
          </cell>
          <cell r="U338">
            <v>39788.033053980034</v>
          </cell>
          <cell r="V338">
            <v>0</v>
          </cell>
          <cell r="W338">
            <v>22227.378538604826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14260.707931882525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7966.6706067223004</v>
          </cell>
          <cell r="AT338">
            <v>7966.6706067223004</v>
          </cell>
          <cell r="AU338">
            <v>0</v>
          </cell>
        </row>
        <row r="339">
          <cell r="B339">
            <v>325</v>
          </cell>
          <cell r="C339">
            <v>8</v>
          </cell>
          <cell r="D339">
            <v>747942.04940320598</v>
          </cell>
          <cell r="E339">
            <v>747942.04940320598</v>
          </cell>
          <cell r="F339">
            <v>1219030</v>
          </cell>
          <cell r="G339">
            <v>0.6135550801893358</v>
          </cell>
          <cell r="H339">
            <v>8037.5715504802993</v>
          </cell>
          <cell r="I339">
            <v>118367.04607012666</v>
          </cell>
          <cell r="J339">
            <v>59306.234051101201</v>
          </cell>
          <cell r="K339">
            <v>59306.234051101201</v>
          </cell>
          <cell r="L339">
            <v>59183.523035063328</v>
          </cell>
          <cell r="M339">
            <v>59183.523035063328</v>
          </cell>
          <cell r="N339">
            <v>59183.523035063328</v>
          </cell>
          <cell r="O339">
            <v>58901.287698176238</v>
          </cell>
          <cell r="P339">
            <v>59306.234051101201</v>
          </cell>
          <cell r="Q339">
            <v>88959.351076651801</v>
          </cell>
          <cell r="R339">
            <v>0</v>
          </cell>
          <cell r="S339">
            <v>58901.287698176238</v>
          </cell>
          <cell r="T339">
            <v>0</v>
          </cell>
          <cell r="U339">
            <v>36387.641188950882</v>
          </cell>
          <cell r="V339">
            <v>0</v>
          </cell>
          <cell r="W339">
            <v>22918.592862150283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14061.819081363356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8856.7737807869271</v>
          </cell>
          <cell r="AT339">
            <v>8856.7737807869271</v>
          </cell>
          <cell r="AU339">
            <v>0</v>
          </cell>
        </row>
        <row r="340">
          <cell r="B340">
            <v>326</v>
          </cell>
          <cell r="C340">
            <v>8</v>
          </cell>
          <cell r="D340">
            <v>768136.86710881395</v>
          </cell>
          <cell r="E340">
            <v>768136.86710881395</v>
          </cell>
          <cell r="F340">
            <v>1219030</v>
          </cell>
          <cell r="G340">
            <v>0.63012138102328408</v>
          </cell>
          <cell r="H340">
            <v>8254.5900914050217</v>
          </cell>
          <cell r="I340">
            <v>121563.01682701196</v>
          </cell>
          <cell r="J340">
            <v>60907.532689710642</v>
          </cell>
          <cell r="K340">
            <v>60907.532689710642</v>
          </cell>
          <cell r="L340">
            <v>60781.508413505981</v>
          </cell>
          <cell r="M340">
            <v>60781.508413505981</v>
          </cell>
          <cell r="N340">
            <v>60781.508413505981</v>
          </cell>
          <cell r="O340">
            <v>60491.652578235269</v>
          </cell>
          <cell r="P340">
            <v>60907.532689710642</v>
          </cell>
          <cell r="Q340">
            <v>91361.299034565964</v>
          </cell>
          <cell r="R340">
            <v>0</v>
          </cell>
          <cell r="S340">
            <v>60491.652578235269</v>
          </cell>
          <cell r="T340">
            <v>0</v>
          </cell>
          <cell r="U340">
            <v>38379.138613161347</v>
          </cell>
          <cell r="V340">
            <v>0</v>
          </cell>
          <cell r="W340">
            <v>22528.394076549332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14195.622787752038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8332.7712887972939</v>
          </cell>
          <cell r="AT340">
            <v>8332.7712887972939</v>
          </cell>
          <cell r="AU340">
            <v>0</v>
          </cell>
        </row>
        <row r="341">
          <cell r="B341">
            <v>327</v>
          </cell>
          <cell r="C341">
            <v>8</v>
          </cell>
          <cell r="D341">
            <v>654959.82936109602</v>
          </cell>
          <cell r="E341">
            <v>654959.82936109602</v>
          </cell>
          <cell r="F341">
            <v>1219030</v>
          </cell>
          <cell r="G341">
            <v>0.53727950039055317</v>
          </cell>
          <cell r="H341">
            <v>7038.3614551162464</v>
          </cell>
          <cell r="I341">
            <v>103651.96121534552</v>
          </cell>
          <cell r="J341">
            <v>51933.43650775087</v>
          </cell>
          <cell r="K341">
            <v>51933.43650775087</v>
          </cell>
          <cell r="L341">
            <v>51825.980607672762</v>
          </cell>
          <cell r="M341">
            <v>51825.980607672762</v>
          </cell>
          <cell r="N341">
            <v>51825.980607672762</v>
          </cell>
          <cell r="O341">
            <v>51578.832037493106</v>
          </cell>
          <cell r="P341">
            <v>51933.43650775087</v>
          </cell>
          <cell r="Q341">
            <v>77900.154761626298</v>
          </cell>
          <cell r="R341">
            <v>0</v>
          </cell>
          <cell r="S341">
            <v>51578.832037493106</v>
          </cell>
          <cell r="T341">
            <v>0</v>
          </cell>
          <cell r="U341">
            <v>27902.770820448848</v>
          </cell>
          <cell r="V341">
            <v>0</v>
          </cell>
          <cell r="W341">
            <v>24030.665687301895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12911.184054525971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11119.481632775924</v>
          </cell>
          <cell r="AT341">
            <v>11119.481632775924</v>
          </cell>
          <cell r="AU341">
            <v>0</v>
          </cell>
        </row>
        <row r="342">
          <cell r="B342">
            <v>328</v>
          </cell>
          <cell r="C342">
            <v>8</v>
          </cell>
          <cell r="D342">
            <v>583127.85714839597</v>
          </cell>
          <cell r="E342">
            <v>583127.85714839597</v>
          </cell>
          <cell r="F342">
            <v>1219030</v>
          </cell>
          <cell r="G342">
            <v>0.47835398402696894</v>
          </cell>
          <cell r="H342">
            <v>6266.4371907532932</v>
          </cell>
          <cell r="I342">
            <v>92284.050598482849</v>
          </cell>
          <cell r="J342">
            <v>46237.69609604682</v>
          </cell>
          <cell r="K342">
            <v>46237.69609604682</v>
          </cell>
          <cell r="L342">
            <v>46142.025299241424</v>
          </cell>
          <cell r="M342">
            <v>46142.025299241424</v>
          </cell>
          <cell r="N342">
            <v>46142.025299241424</v>
          </cell>
          <cell r="O342">
            <v>45921.982466589019</v>
          </cell>
          <cell r="P342">
            <v>46237.69609604682</v>
          </cell>
          <cell r="Q342">
            <v>69356.544144070227</v>
          </cell>
          <cell r="R342">
            <v>0</v>
          </cell>
          <cell r="S342">
            <v>44084.949407081702</v>
          </cell>
          <cell r="T342">
            <v>0</v>
          </cell>
          <cell r="U342">
            <v>22996.738222576776</v>
          </cell>
          <cell r="V342">
            <v>0</v>
          </cell>
          <cell r="W342">
            <v>25077.990932977293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11996.156874181892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13081.834058795401</v>
          </cell>
          <cell r="AT342">
            <v>13081.834058795401</v>
          </cell>
          <cell r="AU342">
            <v>0</v>
          </cell>
        </row>
        <row r="343">
          <cell r="B343">
            <v>329</v>
          </cell>
          <cell r="C343">
            <v>8</v>
          </cell>
          <cell r="D343">
            <v>799172.87155879592</v>
          </cell>
          <cell r="E343">
            <v>799172.87155879592</v>
          </cell>
          <cell r="F343">
            <v>1219030</v>
          </cell>
          <cell r="G343">
            <v>0.65558097139430194</v>
          </cell>
          <cell r="H343">
            <v>8588.1107252653546</v>
          </cell>
          <cell r="I343">
            <v>126474.68100138873</v>
          </cell>
          <cell r="J343">
            <v>63368.456694973225</v>
          </cell>
          <cell r="K343">
            <v>63368.456694973225</v>
          </cell>
          <cell r="L343">
            <v>63237.340500694365</v>
          </cell>
          <cell r="M343">
            <v>63237.340500694365</v>
          </cell>
          <cell r="N343">
            <v>63237.340500694365</v>
          </cell>
          <cell r="O343">
            <v>62935.773253852989</v>
          </cell>
          <cell r="P343">
            <v>63368.456694973225</v>
          </cell>
          <cell r="Q343">
            <v>95052.685042459838</v>
          </cell>
          <cell r="R343">
            <v>0</v>
          </cell>
          <cell r="S343">
            <v>62935.773253852989</v>
          </cell>
          <cell r="T343">
            <v>0</v>
          </cell>
          <cell r="U343">
            <v>41543.154395848338</v>
          </cell>
          <cell r="V343">
            <v>0</v>
          </cell>
          <cell r="W343">
            <v>21825.302299124887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14308.252882234585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7517.0494168903024</v>
          </cell>
          <cell r="AT343">
            <v>7517.0494168903024</v>
          </cell>
          <cell r="AU343">
            <v>0</v>
          </cell>
        </row>
        <row r="344">
          <cell r="B344">
            <v>330</v>
          </cell>
          <cell r="C344">
            <v>8</v>
          </cell>
          <cell r="D344">
            <v>868273.33194419998</v>
          </cell>
          <cell r="E344">
            <v>868273.33194419998</v>
          </cell>
          <cell r="F344">
            <v>1219030</v>
          </cell>
          <cell r="G344">
            <v>0.71226576207656911</v>
          </cell>
          <cell r="H344">
            <v>9330.6814832030559</v>
          </cell>
          <cell r="I344">
            <v>137410.31081981171</v>
          </cell>
          <cell r="J344">
            <v>68847.608562321169</v>
          </cell>
          <cell r="K344">
            <v>68847.608562321169</v>
          </cell>
          <cell r="L344">
            <v>68705.155409905856</v>
          </cell>
          <cell r="M344">
            <v>68705.155409905856</v>
          </cell>
          <cell r="N344">
            <v>68705.155409905856</v>
          </cell>
          <cell r="O344">
            <v>68377.513159350638</v>
          </cell>
          <cell r="P344">
            <v>68847.608562321169</v>
          </cell>
          <cell r="Q344">
            <v>103271.41284348175</v>
          </cell>
          <cell r="R344">
            <v>0</v>
          </cell>
          <cell r="S344">
            <v>68377.513159350638</v>
          </cell>
          <cell r="T344">
            <v>0</v>
          </cell>
          <cell r="U344">
            <v>49037.794379791092</v>
          </cell>
          <cell r="V344">
            <v>0</v>
          </cell>
          <cell r="W344">
            <v>19809.814182530157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14109.852395315069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5699.9617872150884</v>
          </cell>
          <cell r="AT344">
            <v>5699.9617872150884</v>
          </cell>
          <cell r="AU344">
            <v>0</v>
          </cell>
        </row>
        <row r="345">
          <cell r="B345">
            <v>331</v>
          </cell>
          <cell r="C345">
            <v>8</v>
          </cell>
          <cell r="D345">
            <v>847888.82591725199</v>
          </cell>
          <cell r="E345">
            <v>847888.82591725199</v>
          </cell>
          <cell r="F345">
            <v>1219030</v>
          </cell>
          <cell r="G345">
            <v>0.69554385529252927</v>
          </cell>
          <cell r="H345">
            <v>9111.6245043321342</v>
          </cell>
          <cell r="I345">
            <v>134184.32056303474</v>
          </cell>
          <cell r="J345">
            <v>67231.269052575881</v>
          </cell>
          <cell r="K345">
            <v>67231.269052575881</v>
          </cell>
          <cell r="L345">
            <v>67092.160281517368</v>
          </cell>
          <cell r="M345">
            <v>67092.160281517368</v>
          </cell>
          <cell r="N345">
            <v>67092.160281517368</v>
          </cell>
          <cell r="O345">
            <v>66772.210108082814</v>
          </cell>
          <cell r="P345">
            <v>67231.269052575881</v>
          </cell>
          <cell r="Q345">
            <v>100846.90357886381</v>
          </cell>
          <cell r="R345">
            <v>0</v>
          </cell>
          <cell r="S345">
            <v>66772.210108082814</v>
          </cell>
          <cell r="T345">
            <v>0</v>
          </cell>
          <cell r="U345">
            <v>46762.296073037891</v>
          </cell>
          <cell r="V345">
            <v>0</v>
          </cell>
          <cell r="W345">
            <v>20468.97297953791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14237.068380066408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6231.9045994715016</v>
          </cell>
          <cell r="AT345">
            <v>6231.9045994715016</v>
          </cell>
          <cell r="AU345">
            <v>0</v>
          </cell>
        </row>
        <row r="346">
          <cell r="B346">
            <v>332</v>
          </cell>
          <cell r="C346">
            <v>8</v>
          </cell>
          <cell r="D346">
            <v>833363.69230053795</v>
          </cell>
          <cell r="E346">
            <v>833363.69230053795</v>
          </cell>
          <cell r="F346">
            <v>1219030</v>
          </cell>
          <cell r="G346">
            <v>0.68362853440894644</v>
          </cell>
          <cell r="H346">
            <v>8955.5338007571991</v>
          </cell>
          <cell r="I346">
            <v>131885.61685817395</v>
          </cell>
          <cell r="J346">
            <v>66079.534135968759</v>
          </cell>
          <cell r="K346">
            <v>66079.534135968759</v>
          </cell>
          <cell r="L346">
            <v>65942.808429086974</v>
          </cell>
          <cell r="M346">
            <v>65942.808429086974</v>
          </cell>
          <cell r="N346">
            <v>65942.808429086974</v>
          </cell>
          <cell r="O346">
            <v>65628.339303258865</v>
          </cell>
          <cell r="P346">
            <v>66079.534135968759</v>
          </cell>
          <cell r="Q346">
            <v>99119.301203953146</v>
          </cell>
          <cell r="R346">
            <v>0</v>
          </cell>
          <cell r="S346">
            <v>65628.339303258865</v>
          </cell>
          <cell r="T346">
            <v>0</v>
          </cell>
          <cell r="U346">
            <v>45173.855075798281</v>
          </cell>
          <cell r="V346">
            <v>0</v>
          </cell>
          <cell r="W346">
            <v>20905.679060170543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14291.718736728189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6613.9603234423539</v>
          </cell>
          <cell r="AT346">
            <v>6613.9603234423539</v>
          </cell>
          <cell r="AU346">
            <v>0</v>
          </cell>
        </row>
        <row r="347">
          <cell r="B347">
            <v>333</v>
          </cell>
          <cell r="C347">
            <v>8</v>
          </cell>
          <cell r="D347">
            <v>773500.05480480602</v>
          </cell>
          <cell r="E347">
            <v>773500.05480480602</v>
          </cell>
          <cell r="F347">
            <v>1219030</v>
          </cell>
          <cell r="G347">
            <v>0.63452093451744918</v>
          </cell>
          <cell r="H347">
            <v>8312.224242178585</v>
          </cell>
          <cell r="I347">
            <v>122411.7786871063</v>
          </cell>
          <cell r="J347">
            <v>61332.793530456634</v>
          </cell>
          <cell r="K347">
            <v>61332.793530456634</v>
          </cell>
          <cell r="L347">
            <v>61205.88934355315</v>
          </cell>
          <cell r="M347">
            <v>61205.88934355315</v>
          </cell>
          <cell r="N347">
            <v>61205.88934355315</v>
          </cell>
          <cell r="O347">
            <v>60914.009713675121</v>
          </cell>
          <cell r="P347">
            <v>61332.793530456634</v>
          </cell>
          <cell r="Q347">
            <v>91999.190295684952</v>
          </cell>
          <cell r="R347">
            <v>0</v>
          </cell>
          <cell r="S347">
            <v>60914.009713675121</v>
          </cell>
          <cell r="T347">
            <v>0</v>
          </cell>
          <cell r="U347">
            <v>38916.941467511009</v>
          </cell>
          <cell r="V347">
            <v>0</v>
          </cell>
          <cell r="W347">
            <v>22415.852062945487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14223.327398985062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8192.5246639604247</v>
          </cell>
          <cell r="AT347">
            <v>8192.5246639604247</v>
          </cell>
          <cell r="AU347">
            <v>0</v>
          </cell>
        </row>
        <row r="348">
          <cell r="B348">
            <v>334</v>
          </cell>
          <cell r="C348">
            <v>8</v>
          </cell>
          <cell r="D348">
            <v>574316.33544236002</v>
          </cell>
          <cell r="E348">
            <v>574316.33544236002</v>
          </cell>
          <cell r="F348">
            <v>1219030</v>
          </cell>
          <cell r="G348">
            <v>0.47112567815587808</v>
          </cell>
          <cell r="H348">
            <v>6171.7463838420026</v>
          </cell>
          <cell r="I348">
            <v>90889.565829832005</v>
          </cell>
          <cell r="J348">
            <v>45539.008050547178</v>
          </cell>
          <cell r="K348">
            <v>45539.008050547178</v>
          </cell>
          <cell r="L348">
            <v>45444.782914916002</v>
          </cell>
          <cell r="M348">
            <v>45444.782914916002</v>
          </cell>
          <cell r="N348">
            <v>45444.782914916002</v>
          </cell>
          <cell r="O348">
            <v>45228.065102964298</v>
          </cell>
          <cell r="P348">
            <v>45539.008050547178</v>
          </cell>
          <cell r="Q348">
            <v>68308.512075820763</v>
          </cell>
          <cell r="R348">
            <v>0</v>
          </cell>
          <cell r="S348">
            <v>42762.698893672277</v>
          </cell>
          <cell r="T348">
            <v>0</v>
          </cell>
          <cell r="U348">
            <v>22616.093377615314</v>
          </cell>
          <cell r="V348">
            <v>0</v>
          </cell>
          <cell r="W348">
            <v>25388.280882223858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11961.071047849629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13427.209834374229</v>
          </cell>
          <cell r="AT348">
            <v>13427.209834374229</v>
          </cell>
          <cell r="AU348">
            <v>0</v>
          </cell>
        </row>
        <row r="349">
          <cell r="B349">
            <v>335</v>
          </cell>
          <cell r="C349">
            <v>8</v>
          </cell>
          <cell r="D349">
            <v>522306.79280969</v>
          </cell>
          <cell r="E349">
            <v>522306.79280969</v>
          </cell>
          <cell r="F349">
            <v>1219030</v>
          </cell>
          <cell r="G349">
            <v>0.42846098357685208</v>
          </cell>
          <cell r="H349">
            <v>5612.838884856762</v>
          </cell>
          <cell r="I349">
            <v>82658.692951646299</v>
          </cell>
          <cell r="J349">
            <v>41415.038672538525</v>
          </cell>
          <cell r="K349">
            <v>41415.038672538525</v>
          </cell>
          <cell r="L349">
            <v>41329.346475823149</v>
          </cell>
          <cell r="M349">
            <v>41329.346475823149</v>
          </cell>
          <cell r="N349">
            <v>41329.346475823149</v>
          </cell>
          <cell r="O349">
            <v>41132.254423377803</v>
          </cell>
          <cell r="P349">
            <v>41415.038672538525</v>
          </cell>
          <cell r="Q349">
            <v>61985.386698246832</v>
          </cell>
          <cell r="R349">
            <v>0</v>
          </cell>
          <cell r="S349">
            <v>35427.066946124476</v>
          </cell>
          <cell r="T349">
            <v>0</v>
          </cell>
          <cell r="U349">
            <v>20247.950997144995</v>
          </cell>
          <cell r="V349">
            <v>0</v>
          </cell>
          <cell r="W349">
            <v>27009.446463207831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11572.493997492356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15436.952465715474</v>
          </cell>
          <cell r="AT349">
            <v>15436.952465715474</v>
          </cell>
          <cell r="AU349">
            <v>0</v>
          </cell>
        </row>
        <row r="350">
          <cell r="B350">
            <v>336</v>
          </cell>
          <cell r="C350">
            <v>9</v>
          </cell>
          <cell r="D350">
            <v>622598.00338090595</v>
          </cell>
          <cell r="E350">
            <v>622598.00338090595</v>
          </cell>
          <cell r="F350">
            <v>1219030</v>
          </cell>
          <cell r="G350">
            <v>0.51073230632626432</v>
          </cell>
          <cell r="H350">
            <v>6690.5932128740624</v>
          </cell>
          <cell r="I350">
            <v>98530.476536462913</v>
          </cell>
          <cell r="J350">
            <v>49367.384729496705</v>
          </cell>
          <cell r="K350">
            <v>49367.384729496705</v>
          </cell>
          <cell r="L350">
            <v>49265.238268231456</v>
          </cell>
          <cell r="M350">
            <v>49265.238268231456</v>
          </cell>
          <cell r="N350">
            <v>49265.238268231456</v>
          </cell>
          <cell r="O350">
            <v>49030.301407321378</v>
          </cell>
          <cell r="P350">
            <v>49367.384729496705</v>
          </cell>
          <cell r="Q350">
            <v>74051.077094245062</v>
          </cell>
          <cell r="R350">
            <v>0</v>
          </cell>
          <cell r="S350">
            <v>49030.301407321378</v>
          </cell>
          <cell r="T350">
            <v>0</v>
          </cell>
          <cell r="U350">
            <v>25213.518260191835</v>
          </cell>
          <cell r="V350">
            <v>0</v>
          </cell>
          <cell r="W350">
            <v>24153.866469304892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12336.15992856471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11817.706540740182</v>
          </cell>
          <cell r="AT350">
            <v>11817.706540740182</v>
          </cell>
          <cell r="AU350">
            <v>0</v>
          </cell>
        </row>
        <row r="351">
          <cell r="B351">
            <v>337</v>
          </cell>
          <cell r="C351">
            <v>9</v>
          </cell>
          <cell r="D351">
            <v>779060.91769882594</v>
          </cell>
          <cell r="E351">
            <v>779060.91769882594</v>
          </cell>
          <cell r="F351">
            <v>1219030</v>
          </cell>
          <cell r="G351">
            <v>0.63908264579118312</v>
          </cell>
          <cell r="H351">
            <v>8371.9826598644995</v>
          </cell>
          <cell r="I351">
            <v>123291.82402603504</v>
          </cell>
          <cell r="J351">
            <v>61773.728542175762</v>
          </cell>
          <cell r="K351">
            <v>61773.728542175762</v>
          </cell>
          <cell r="L351">
            <v>61645.912013017522</v>
          </cell>
          <cell r="M351">
            <v>61645.912013017522</v>
          </cell>
          <cell r="N351">
            <v>61645.912013017522</v>
          </cell>
          <cell r="O351">
            <v>61351.933995953579</v>
          </cell>
          <cell r="P351">
            <v>61773.728542175762</v>
          </cell>
          <cell r="Q351">
            <v>92660.592813263647</v>
          </cell>
          <cell r="R351">
            <v>0</v>
          </cell>
          <cell r="S351">
            <v>61351.933995953579</v>
          </cell>
          <cell r="T351">
            <v>0</v>
          </cell>
          <cell r="U351">
            <v>39478.517877120066</v>
          </cell>
          <cell r="V351">
            <v>0</v>
          </cell>
          <cell r="W351">
            <v>22295.210665055783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14248.482220295653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8046.7284447601305</v>
          </cell>
          <cell r="AT351">
            <v>8046.7284447601305</v>
          </cell>
          <cell r="AU351">
            <v>0</v>
          </cell>
        </row>
        <row r="352">
          <cell r="B352">
            <v>338</v>
          </cell>
          <cell r="C352">
            <v>9</v>
          </cell>
          <cell r="D352">
            <v>809747.49629370798</v>
          </cell>
          <cell r="E352">
            <v>809747.49629370798</v>
          </cell>
          <cell r="F352">
            <v>1219030</v>
          </cell>
          <cell r="G352">
            <v>0.66425559362255893</v>
          </cell>
          <cell r="H352">
            <v>8701.7482764555225</v>
          </cell>
          <cell r="I352">
            <v>128148.18912166407</v>
          </cell>
          <cell r="J352">
            <v>64206.945679556549</v>
          </cell>
          <cell r="K352">
            <v>64206.945679556549</v>
          </cell>
          <cell r="L352">
            <v>64074.094560832033</v>
          </cell>
          <cell r="M352">
            <v>64074.094560832033</v>
          </cell>
          <cell r="N352">
            <v>64074.094560832033</v>
          </cell>
          <cell r="O352">
            <v>63768.536987765656</v>
          </cell>
          <cell r="P352">
            <v>64206.945679556549</v>
          </cell>
          <cell r="Q352">
            <v>96310.418519334824</v>
          </cell>
          <cell r="R352">
            <v>0</v>
          </cell>
          <cell r="S352">
            <v>63768.536987765656</v>
          </cell>
          <cell r="T352">
            <v>0</v>
          </cell>
          <cell r="U352">
            <v>42649.822817065171</v>
          </cell>
          <cell r="V352">
            <v>0</v>
          </cell>
          <cell r="W352">
            <v>21557.122862491291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14319.43944381859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7237.683418672701</v>
          </cell>
          <cell r="AT352">
            <v>7237.683418672701</v>
          </cell>
          <cell r="AU352">
            <v>0</v>
          </cell>
        </row>
        <row r="353">
          <cell r="B353">
            <v>339</v>
          </cell>
          <cell r="C353">
            <v>9</v>
          </cell>
          <cell r="D353">
            <v>818510.09838003002</v>
          </cell>
          <cell r="E353">
            <v>818510.09838003002</v>
          </cell>
          <cell r="F353">
            <v>1219030</v>
          </cell>
          <cell r="G353">
            <v>0.67144376953810003</v>
          </cell>
          <cell r="H353">
            <v>8795.9133809491104</v>
          </cell>
          <cell r="I353">
            <v>129534.93201929025</v>
          </cell>
          <cell r="J353">
            <v>64901.754763552752</v>
          </cell>
          <cell r="K353">
            <v>64901.754763552752</v>
          </cell>
          <cell r="L353">
            <v>64767.466009645126</v>
          </cell>
          <cell r="M353">
            <v>64767.466009645126</v>
          </cell>
          <cell r="N353">
            <v>64767.466009645126</v>
          </cell>
          <cell r="O353">
            <v>64458.601875657601</v>
          </cell>
          <cell r="P353">
            <v>64901.754763552752</v>
          </cell>
          <cell r="Q353">
            <v>97352.632145329117</v>
          </cell>
          <cell r="R353">
            <v>0</v>
          </cell>
          <cell r="S353">
            <v>64458.601875657601</v>
          </cell>
          <cell r="T353">
            <v>0</v>
          </cell>
          <cell r="U353">
            <v>43577.878868077081</v>
          </cell>
          <cell r="V353">
            <v>0</v>
          </cell>
          <cell r="W353">
            <v>21323.875895475503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14317.783612420701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7006.0922830548025</v>
          </cell>
          <cell r="AT353">
            <v>7006.0922830548025</v>
          </cell>
          <cell r="AU353">
            <v>0</v>
          </cell>
        </row>
        <row r="354">
          <cell r="B354">
            <v>340</v>
          </cell>
          <cell r="C354">
            <v>9</v>
          </cell>
          <cell r="D354">
            <v>765398.36676441599</v>
          </cell>
          <cell r="E354">
            <v>765398.36676441599</v>
          </cell>
          <cell r="F354">
            <v>1219030</v>
          </cell>
          <cell r="G354">
            <v>0.62787492249117416</v>
          </cell>
          <cell r="H354">
            <v>8225.1614846343818</v>
          </cell>
          <cell r="I354">
            <v>121129.63004699732</v>
          </cell>
          <cell r="J354">
            <v>60690.390007996895</v>
          </cell>
          <cell r="K354">
            <v>60690.390007996895</v>
          </cell>
          <cell r="L354">
            <v>60564.815023498661</v>
          </cell>
          <cell r="M354">
            <v>60564.815023498661</v>
          </cell>
          <cell r="N354">
            <v>60564.815023498661</v>
          </cell>
          <cell r="O354">
            <v>60275.992559152721</v>
          </cell>
          <cell r="P354">
            <v>60690.390007996895</v>
          </cell>
          <cell r="Q354">
            <v>91035.585011995339</v>
          </cell>
          <cell r="R354">
            <v>0</v>
          </cell>
          <cell r="S354">
            <v>60275.992559152721</v>
          </cell>
          <cell r="T354">
            <v>0</v>
          </cell>
          <cell r="U354">
            <v>38105.973922230129</v>
          </cell>
          <cell r="V354">
            <v>0</v>
          </cell>
          <cell r="W354">
            <v>22584.416085766628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14180.188499359148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8404.22758640748</v>
          </cell>
          <cell r="AT354">
            <v>8404.22758640748</v>
          </cell>
          <cell r="AU354">
            <v>0</v>
          </cell>
        </row>
        <row r="355">
          <cell r="B355">
            <v>341</v>
          </cell>
          <cell r="C355">
            <v>9</v>
          </cell>
          <cell r="D355">
            <v>686517.975874556</v>
          </cell>
          <cell r="E355">
            <v>686517.975874556</v>
          </cell>
          <cell r="F355">
            <v>1219030</v>
          </cell>
          <cell r="G355">
            <v>0.56316741661366498</v>
          </cell>
          <cell r="H355">
            <v>7377.4931576390109</v>
          </cell>
          <cell r="I355">
            <v>108646.25801310825</v>
          </cell>
          <cell r="J355">
            <v>54435.762489876855</v>
          </cell>
          <cell r="K355">
            <v>54435.762489876855</v>
          </cell>
          <cell r="L355">
            <v>54323.129006554125</v>
          </cell>
          <cell r="M355">
            <v>54323.129006554125</v>
          </cell>
          <cell r="N355">
            <v>54323.129006554125</v>
          </cell>
          <cell r="O355">
            <v>54064.071994911836</v>
          </cell>
          <cell r="P355">
            <v>54435.762489876855</v>
          </cell>
          <cell r="Q355">
            <v>81653.643734815283</v>
          </cell>
          <cell r="R355">
            <v>0</v>
          </cell>
          <cell r="S355">
            <v>54064.071994911836</v>
          </cell>
          <cell r="T355">
            <v>0</v>
          </cell>
          <cell r="U355">
            <v>30656.447732818979</v>
          </cell>
          <cell r="V355">
            <v>0</v>
          </cell>
          <cell r="W355">
            <v>23779.314757057815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13391.73526057545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10387.579496482365</v>
          </cell>
          <cell r="AT355">
            <v>10387.579496482365</v>
          </cell>
          <cell r="AU355">
            <v>0</v>
          </cell>
        </row>
        <row r="356">
          <cell r="B356">
            <v>342</v>
          </cell>
          <cell r="C356">
            <v>9</v>
          </cell>
          <cell r="D356">
            <v>721955.74773921201</v>
          </cell>
          <cell r="E356">
            <v>721955.74773921201</v>
          </cell>
          <cell r="F356">
            <v>1219030</v>
          </cell>
          <cell r="G356">
            <v>0.5922378840054896</v>
          </cell>
          <cell r="H356">
            <v>7758.3162804719141</v>
          </cell>
          <cell r="I356">
            <v>114254.53258233906</v>
          </cell>
          <cell r="J356">
            <v>57245.713867970626</v>
          </cell>
          <cell r="K356">
            <v>57245.713867970626</v>
          </cell>
          <cell r="L356">
            <v>57127.26629116953</v>
          </cell>
          <cell r="M356">
            <v>57127.26629116953</v>
          </cell>
          <cell r="N356">
            <v>57127.26629116953</v>
          </cell>
          <cell r="O356">
            <v>56854.836864527002</v>
          </cell>
          <cell r="P356">
            <v>57245.713867970626</v>
          </cell>
          <cell r="Q356">
            <v>85868.570801955939</v>
          </cell>
          <cell r="R356">
            <v>0</v>
          </cell>
          <cell r="S356">
            <v>56854.836864527002</v>
          </cell>
          <cell r="T356">
            <v>0</v>
          </cell>
          <cell r="U356">
            <v>33903.080449550704</v>
          </cell>
          <cell r="V356">
            <v>0</v>
          </cell>
          <cell r="W356">
            <v>23342.63341841998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13824.391822840878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9518.2415955791021</v>
          </cell>
          <cell r="AT356">
            <v>9518.2415955791021</v>
          </cell>
          <cell r="AU356">
            <v>0</v>
          </cell>
        </row>
        <row r="357">
          <cell r="B357">
            <v>343</v>
          </cell>
          <cell r="C357">
            <v>9</v>
          </cell>
          <cell r="D357">
            <v>929537.66793908994</v>
          </cell>
          <cell r="E357">
            <v>929537.66793908994</v>
          </cell>
          <cell r="F357">
            <v>1219030</v>
          </cell>
          <cell r="G357">
            <v>0.7625223890626891</v>
          </cell>
          <cell r="H357">
            <v>9989.0432967212273</v>
          </cell>
          <cell r="I357">
            <v>147105.81929797397</v>
          </cell>
          <cell r="J357">
            <v>73705.414126799529</v>
          </cell>
          <cell r="K357">
            <v>73705.414126799529</v>
          </cell>
          <cell r="L357">
            <v>73552.909648986984</v>
          </cell>
          <cell r="M357">
            <v>73552.909648986984</v>
          </cell>
          <cell r="N357">
            <v>73552.909648986984</v>
          </cell>
          <cell r="O357">
            <v>73202.149350018153</v>
          </cell>
          <cell r="P357">
            <v>73705.414126799529</v>
          </cell>
          <cell r="Q357">
            <v>110558.12119019929</v>
          </cell>
          <cell r="R357">
            <v>0</v>
          </cell>
          <cell r="S357">
            <v>73202.149350018153</v>
          </cell>
          <cell r="T357">
            <v>0</v>
          </cell>
          <cell r="U357">
            <v>56202.028466822077</v>
          </cell>
          <cell r="V357">
            <v>0</v>
          </cell>
          <cell r="W357">
            <v>17503.385659977444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13346.723450131614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4156.6622098458301</v>
          </cell>
          <cell r="AT357">
            <v>4156.6622098458301</v>
          </cell>
          <cell r="AU357">
            <v>0</v>
          </cell>
        </row>
        <row r="358">
          <cell r="B358">
            <v>344</v>
          </cell>
          <cell r="C358">
            <v>9</v>
          </cell>
          <cell r="D358">
            <v>927573.89463342796</v>
          </cell>
          <cell r="E358">
            <v>927573.89463342796</v>
          </cell>
          <cell r="F358">
            <v>1219030</v>
          </cell>
          <cell r="G358">
            <v>0.76091145798990012</v>
          </cell>
          <cell r="H358">
            <v>9967.9400996676923</v>
          </cell>
          <cell r="I358">
            <v>146795.03847541154</v>
          </cell>
          <cell r="J358">
            <v>73549.70152930374</v>
          </cell>
          <cell r="K358">
            <v>73549.70152930374</v>
          </cell>
          <cell r="L358">
            <v>73397.519237705768</v>
          </cell>
          <cell r="M358">
            <v>73397.519237705768</v>
          </cell>
          <cell r="N358">
            <v>73397.519237705768</v>
          </cell>
          <cell r="O358">
            <v>73047.49996703041</v>
          </cell>
          <cell r="P358">
            <v>73549.70152930374</v>
          </cell>
          <cell r="Q358">
            <v>110324.55229395562</v>
          </cell>
          <cell r="R358">
            <v>0</v>
          </cell>
          <cell r="S358">
            <v>73047.49996703041</v>
          </cell>
          <cell r="T358">
            <v>0</v>
          </cell>
          <cell r="U358">
            <v>55964.810625384627</v>
          </cell>
          <cell r="V358">
            <v>0</v>
          </cell>
          <cell r="W358">
            <v>17584.890903919237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13380.544976294519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4204.3459276247177</v>
          </cell>
          <cell r="AT358">
            <v>4204.3459276247177</v>
          </cell>
          <cell r="AU358">
            <v>0</v>
          </cell>
        </row>
        <row r="359">
          <cell r="B359">
            <v>345</v>
          </cell>
          <cell r="C359">
            <v>9</v>
          </cell>
          <cell r="D359">
            <v>914877.755778266</v>
          </cell>
          <cell r="E359">
            <v>914877.755778266</v>
          </cell>
          <cell r="F359">
            <v>1219030</v>
          </cell>
          <cell r="G359">
            <v>0.75049650605667295</v>
          </cell>
          <cell r="H359">
            <v>9831.5042293424158</v>
          </cell>
          <cell r="I359">
            <v>144785.78594845335</v>
          </cell>
          <cell r="J359">
            <v>72542.99227543801</v>
          </cell>
          <cell r="K359">
            <v>72542.99227543801</v>
          </cell>
          <cell r="L359">
            <v>72392.892974226677</v>
          </cell>
          <cell r="M359">
            <v>72392.892974226677</v>
          </cell>
          <cell r="N359">
            <v>72392.892974226677</v>
          </cell>
          <cell r="O359">
            <v>72047.664581440607</v>
          </cell>
          <cell r="P359">
            <v>72542.99227543801</v>
          </cell>
          <cell r="Q359">
            <v>108814.48841315701</v>
          </cell>
          <cell r="R359">
            <v>0</v>
          </cell>
          <cell r="S359">
            <v>72047.664581440607</v>
          </cell>
          <cell r="T359">
            <v>0</v>
          </cell>
          <cell r="U359">
            <v>54443.262241612378</v>
          </cell>
          <cell r="V359">
            <v>0</v>
          </cell>
          <cell r="W359">
            <v>18099.730033825501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13583.784150955065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4515.9458828704355</v>
          </cell>
          <cell r="AT359">
            <v>4515.9458828704355</v>
          </cell>
          <cell r="AU359">
            <v>0</v>
          </cell>
        </row>
        <row r="360">
          <cell r="B360">
            <v>346</v>
          </cell>
          <cell r="C360">
            <v>9</v>
          </cell>
          <cell r="D360">
            <v>936810.71752309997</v>
          </cell>
          <cell r="E360">
            <v>936810.71752309997</v>
          </cell>
          <cell r="F360">
            <v>1219030</v>
          </cell>
          <cell r="G360">
            <v>0.7684886487806698</v>
          </cell>
          <cell r="H360">
            <v>10067.201299026774</v>
          </cell>
          <cell r="I360">
            <v>148256.83012276681</v>
          </cell>
          <cell r="J360">
            <v>74282.112791139545</v>
          </cell>
          <cell r="K360">
            <v>74282.112791139545</v>
          </cell>
          <cell r="L360">
            <v>74128.415061383406</v>
          </cell>
          <cell r="M360">
            <v>74128.415061383406</v>
          </cell>
          <cell r="N360">
            <v>74128.415061383406</v>
          </cell>
          <cell r="O360">
            <v>73774.9102829443</v>
          </cell>
          <cell r="P360">
            <v>74282.112791139545</v>
          </cell>
          <cell r="Q360">
            <v>111423.16918670932</v>
          </cell>
          <cell r="R360">
            <v>0</v>
          </cell>
          <cell r="S360">
            <v>73774.9102829443</v>
          </cell>
          <cell r="T360">
            <v>0</v>
          </cell>
          <cell r="U360">
            <v>57084.960487436205</v>
          </cell>
          <cell r="V360">
            <v>0</v>
          </cell>
          <cell r="W360">
            <v>17197.152303703479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13215.816336748469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3981.33596695501</v>
          </cell>
          <cell r="AT360">
            <v>3981.33596695501</v>
          </cell>
          <cell r="AU360">
            <v>0</v>
          </cell>
        </row>
        <row r="361">
          <cell r="B361">
            <v>347</v>
          </cell>
          <cell r="C361">
            <v>9</v>
          </cell>
          <cell r="D361">
            <v>961878.52836797398</v>
          </cell>
          <cell r="E361">
            <v>961878.52836797398</v>
          </cell>
          <cell r="F361">
            <v>1219030</v>
          </cell>
          <cell r="G361">
            <v>0.78905238457459947</v>
          </cell>
          <cell r="H361">
            <v>10336.586237927253</v>
          </cell>
          <cell r="I361">
            <v>152223.98603213174</v>
          </cell>
          <cell r="J361">
            <v>76269.803492980791</v>
          </cell>
          <cell r="K361">
            <v>76269.803492980791</v>
          </cell>
          <cell r="L361">
            <v>76111.99301606587</v>
          </cell>
          <cell r="M361">
            <v>76111.99301606587</v>
          </cell>
          <cell r="N361">
            <v>76111.99301606587</v>
          </cell>
          <cell r="O361">
            <v>75749.028919161545</v>
          </cell>
          <cell r="P361">
            <v>76269.803492980791</v>
          </cell>
          <cell r="Q361">
            <v>114404.70523947118</v>
          </cell>
          <cell r="R361">
            <v>0</v>
          </cell>
          <cell r="S361">
            <v>75749.028919161545</v>
          </cell>
          <cell r="T361">
            <v>0</v>
          </cell>
          <cell r="U361">
            <v>60180.870317172601</v>
          </cell>
          <cell r="V361">
            <v>0</v>
          </cell>
          <cell r="W361">
            <v>16088.933175808168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12695.011087632818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3393.9220881753499</v>
          </cell>
          <cell r="AT361">
            <v>3393.9220881753499</v>
          </cell>
          <cell r="AU361">
            <v>0</v>
          </cell>
        </row>
        <row r="362">
          <cell r="B362">
            <v>348</v>
          </cell>
          <cell r="C362">
            <v>9</v>
          </cell>
          <cell r="D362">
            <v>781515.88392079994</v>
          </cell>
          <cell r="E362">
            <v>781515.88392079994</v>
          </cell>
          <cell r="F362">
            <v>1219030</v>
          </cell>
          <cell r="G362">
            <v>0.64109651437684056</v>
          </cell>
          <cell r="H362">
            <v>8398.3643383366107</v>
          </cell>
          <cell r="I362">
            <v>123680.33955358008</v>
          </cell>
          <cell r="J362">
            <v>61968.389079665409</v>
          </cell>
          <cell r="K362">
            <v>61968.389079665409</v>
          </cell>
          <cell r="L362">
            <v>61840.16977679004</v>
          </cell>
          <cell r="M362">
            <v>61840.16977679004</v>
          </cell>
          <cell r="N362">
            <v>61840.16977679004</v>
          </cell>
          <cell r="O362">
            <v>61545.265380176694</v>
          </cell>
          <cell r="P362">
            <v>61968.389079665409</v>
          </cell>
          <cell r="Q362">
            <v>92952.583619498109</v>
          </cell>
          <cell r="R362">
            <v>0</v>
          </cell>
          <cell r="S362">
            <v>61545.265380176694</v>
          </cell>
          <cell r="T362">
            <v>0</v>
          </cell>
          <cell r="U362">
            <v>39727.718240521368</v>
          </cell>
          <cell r="V362">
            <v>0</v>
          </cell>
          <cell r="W362">
            <v>22240.670839144033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14258.416552377881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7982.2542867661523</v>
          </cell>
          <cell r="AT362">
            <v>7982.2542867661523</v>
          </cell>
          <cell r="AU362">
            <v>0</v>
          </cell>
        </row>
        <row r="363">
          <cell r="B363">
            <v>349</v>
          </cell>
          <cell r="C363">
            <v>9</v>
          </cell>
          <cell r="D363">
            <v>748168.67702922795</v>
          </cell>
          <cell r="E363">
            <v>748168.67702922795</v>
          </cell>
          <cell r="F363">
            <v>1219030</v>
          </cell>
          <cell r="G363">
            <v>0.61374098835076085</v>
          </cell>
          <cell r="H363">
            <v>8040.006947394967</v>
          </cell>
          <cell r="I363">
            <v>118402.91147262878</v>
          </cell>
          <cell r="J363">
            <v>59324.203933984543</v>
          </cell>
          <cell r="K363">
            <v>59324.203933984543</v>
          </cell>
          <cell r="L363">
            <v>59201.45573631439</v>
          </cell>
          <cell r="M363">
            <v>59201.45573631439</v>
          </cell>
          <cell r="N363">
            <v>59201.45573631439</v>
          </cell>
          <cell r="O363">
            <v>58919.134881673039</v>
          </cell>
          <cell r="P363">
            <v>59324.203933984543</v>
          </cell>
          <cell r="Q363">
            <v>88986.305900976819</v>
          </cell>
          <cell r="R363">
            <v>0</v>
          </cell>
          <cell r="S363">
            <v>58919.134881673039</v>
          </cell>
          <cell r="T363">
            <v>0</v>
          </cell>
          <cell r="U363">
            <v>36409.695555565748</v>
          </cell>
          <cell r="V363">
            <v>0</v>
          </cell>
          <cell r="W363">
            <v>22914.508378418745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14063.573019742511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8850.9353586762336</v>
          </cell>
          <cell r="AT363">
            <v>8850.9353586762336</v>
          </cell>
          <cell r="AU363">
            <v>0</v>
          </cell>
        </row>
        <row r="364">
          <cell r="B364">
            <v>350</v>
          </cell>
          <cell r="C364">
            <v>9</v>
          </cell>
          <cell r="D364">
            <v>1042746.65319356</v>
          </cell>
          <cell r="E364">
            <v>1042746.65319356</v>
          </cell>
          <cell r="F364">
            <v>1219030</v>
          </cell>
          <cell r="G364">
            <v>0.85539047701333026</v>
          </cell>
          <cell r="H364">
            <v>11205.615248874627</v>
          </cell>
          <cell r="I364">
            <v>165021.93082541166</v>
          </cell>
          <cell r="J364">
            <v>82682.043508108502</v>
          </cell>
          <cell r="K364">
            <v>82682.043508108502</v>
          </cell>
          <cell r="L364">
            <v>82510.965412705831</v>
          </cell>
          <cell r="M364">
            <v>82510.965412705831</v>
          </cell>
          <cell r="N364">
            <v>82510.965412705831</v>
          </cell>
          <cell r="O364">
            <v>82117.485793279702</v>
          </cell>
          <cell r="P364">
            <v>82682.043508108502</v>
          </cell>
          <cell r="Q364">
            <v>124023.06526216275</v>
          </cell>
          <cell r="R364">
            <v>0</v>
          </cell>
          <cell r="S364">
            <v>82117.485793279702</v>
          </cell>
          <cell r="T364">
            <v>0</v>
          </cell>
          <cell r="U364">
            <v>70725.432636837926</v>
          </cell>
          <cell r="V364">
            <v>0</v>
          </cell>
          <cell r="W364">
            <v>11956.610871270648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10227.571076638969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1729.0397946316789</v>
          </cell>
          <cell r="AT364">
            <v>1729.0397946316789</v>
          </cell>
          <cell r="AU364">
            <v>0</v>
          </cell>
        </row>
        <row r="365">
          <cell r="B365">
            <v>351</v>
          </cell>
          <cell r="C365">
            <v>9</v>
          </cell>
          <cell r="D365">
            <v>1102062.191276578</v>
          </cell>
          <cell r="E365">
            <v>1102062.191276578</v>
          </cell>
          <cell r="F365">
            <v>1219030</v>
          </cell>
          <cell r="G365">
            <v>0.90404845760693175</v>
          </cell>
          <cell r="H365">
            <v>11843.034794650806</v>
          </cell>
          <cell r="I365">
            <v>174409.02844152928</v>
          </cell>
          <cell r="J365">
            <v>87385.323912286025</v>
          </cell>
          <cell r="K365">
            <v>87385.323912286025</v>
          </cell>
          <cell r="L365">
            <v>87204.514220764642</v>
          </cell>
          <cell r="M365">
            <v>87204.514220764642</v>
          </cell>
          <cell r="N365">
            <v>87204.514220764642</v>
          </cell>
          <cell r="O365">
            <v>86788.651930265449</v>
          </cell>
          <cell r="P365">
            <v>87385.323912286025</v>
          </cell>
          <cell r="Q365">
            <v>131077.98586842904</v>
          </cell>
          <cell r="R365">
            <v>0</v>
          </cell>
          <cell r="S365">
            <v>86788.651930265449</v>
          </cell>
          <cell r="T365">
            <v>0</v>
          </cell>
          <cell r="U365">
            <v>79000.567300384151</v>
          </cell>
          <cell r="V365">
            <v>0</v>
          </cell>
          <cell r="W365">
            <v>8384.7566119018011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7580.226282399346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804.53032950245506</v>
          </cell>
          <cell r="AT365">
            <v>804.53032950245506</v>
          </cell>
          <cell r="AU365">
            <v>0</v>
          </cell>
        </row>
        <row r="366">
          <cell r="B366">
            <v>352</v>
          </cell>
          <cell r="C366">
            <v>9</v>
          </cell>
          <cell r="D366">
            <v>1129331.3850085819</v>
          </cell>
          <cell r="E366">
            <v>1129331.3850085819</v>
          </cell>
          <cell r="F366">
            <v>1219030</v>
          </cell>
          <cell r="G366">
            <v>0.92641804140060702</v>
          </cell>
          <cell r="H366">
            <v>12136.076342347951</v>
          </cell>
          <cell r="I366">
            <v>178724.5685470051</v>
          </cell>
          <cell r="J366">
            <v>89547.56788178267</v>
          </cell>
          <cell r="K366">
            <v>89547.56788178267</v>
          </cell>
          <cell r="L366">
            <v>89362.284273502548</v>
          </cell>
          <cell r="M366">
            <v>89362.284273502548</v>
          </cell>
          <cell r="N366">
            <v>89362.284273502548</v>
          </cell>
          <cell r="O366">
            <v>88936.131974458272</v>
          </cell>
          <cell r="P366">
            <v>89547.56788178267</v>
          </cell>
          <cell r="Q366">
            <v>134321.35182267401</v>
          </cell>
          <cell r="R366">
            <v>0</v>
          </cell>
          <cell r="S366">
            <v>88936.131974458272</v>
          </cell>
          <cell r="T366">
            <v>0</v>
          </cell>
          <cell r="U366">
            <v>82958.482449229094</v>
          </cell>
          <cell r="V366">
            <v>0</v>
          </cell>
          <cell r="W366">
            <v>6589.0854325536638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6104.247621047637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484.83781150602681</v>
          </cell>
          <cell r="AT366">
            <v>484.83781150602681</v>
          </cell>
          <cell r="AU366">
            <v>0</v>
          </cell>
        </row>
        <row r="367">
          <cell r="B367">
            <v>353</v>
          </cell>
          <cell r="C367">
            <v>9</v>
          </cell>
          <cell r="D367">
            <v>984652.10888422001</v>
          </cell>
          <cell r="E367">
            <v>984652.10888422001</v>
          </cell>
          <cell r="F367">
            <v>1219030</v>
          </cell>
          <cell r="G367">
            <v>0.80773410735110707</v>
          </cell>
          <cell r="H367">
            <v>10581.316806299503</v>
          </cell>
          <cell r="I367">
            <v>155828.06399017558</v>
          </cell>
          <cell r="J367">
            <v>78075.578816558016</v>
          </cell>
          <cell r="K367">
            <v>78075.578816558016</v>
          </cell>
          <cell r="L367">
            <v>77914.031995087789</v>
          </cell>
          <cell r="M367">
            <v>77914.031995087789</v>
          </cell>
          <cell r="N367">
            <v>77914.031995087789</v>
          </cell>
          <cell r="O367">
            <v>77542.474305706273</v>
          </cell>
          <cell r="P367">
            <v>78075.578816558016</v>
          </cell>
          <cell r="Q367">
            <v>117113.36822483702</v>
          </cell>
          <cell r="R367">
            <v>0</v>
          </cell>
          <cell r="S367">
            <v>77542.474305706273</v>
          </cell>
          <cell r="T367">
            <v>0</v>
          </cell>
          <cell r="U367">
            <v>63064.307961313483</v>
          </cell>
          <cell r="V367">
            <v>0</v>
          </cell>
          <cell r="W367">
            <v>15011.270855244482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12125.115464466591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2886.1553907778907</v>
          </cell>
          <cell r="AT367">
            <v>2886.1553907778907</v>
          </cell>
          <cell r="AU367">
            <v>0</v>
          </cell>
        </row>
        <row r="368">
          <cell r="B368">
            <v>354</v>
          </cell>
          <cell r="C368">
            <v>9</v>
          </cell>
          <cell r="D368">
            <v>967005.10484208399</v>
          </cell>
          <cell r="E368">
            <v>967005.10484208399</v>
          </cell>
          <cell r="F368">
            <v>1219030</v>
          </cell>
          <cell r="G368">
            <v>0.7932578401204925</v>
          </cell>
          <cell r="H368">
            <v>10391.677705578451</v>
          </cell>
          <cell r="I368">
            <v>153035.3025160454</v>
          </cell>
          <cell r="J368">
            <v>76676.302826046798</v>
          </cell>
          <cell r="K368">
            <v>76676.302826046798</v>
          </cell>
          <cell r="L368">
            <v>76517.651258022699</v>
          </cell>
          <cell r="M368">
            <v>76517.651258022699</v>
          </cell>
          <cell r="N368">
            <v>76517.651258022699</v>
          </cell>
          <cell r="O368">
            <v>76152.75265156728</v>
          </cell>
          <cell r="P368">
            <v>76676.302826046798</v>
          </cell>
          <cell r="Q368">
            <v>115014.45423907021</v>
          </cell>
          <cell r="R368">
            <v>0</v>
          </cell>
          <cell r="S368">
            <v>76152.75265156728</v>
          </cell>
          <cell r="T368">
            <v>0</v>
          </cell>
          <cell r="U368">
            <v>60824.07836821481</v>
          </cell>
          <cell r="V368">
            <v>0</v>
          </cell>
          <cell r="W368">
            <v>15852.22445783217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12574.901334525191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3277.3231233069782</v>
          </cell>
          <cell r="AT368">
            <v>3277.3231233069782</v>
          </cell>
          <cell r="AU368">
            <v>0</v>
          </cell>
        </row>
        <row r="369">
          <cell r="B369">
            <v>355</v>
          </cell>
          <cell r="C369">
            <v>9</v>
          </cell>
          <cell r="D369">
            <v>880965.47736101795</v>
          </cell>
          <cell r="E369">
            <v>880965.47736101795</v>
          </cell>
          <cell r="F369">
            <v>1219030</v>
          </cell>
          <cell r="G369">
            <v>0.72267743809505747</v>
          </cell>
          <cell r="H369">
            <v>9467.0744390452528</v>
          </cell>
          <cell r="I369">
            <v>139418.93135729848</v>
          </cell>
          <cell r="J369">
            <v>69854.001166268252</v>
          </cell>
          <cell r="K369">
            <v>69854.001166268252</v>
          </cell>
          <cell r="L369">
            <v>69709.465678649241</v>
          </cell>
          <cell r="M369">
            <v>69709.465678649241</v>
          </cell>
          <cell r="N369">
            <v>69709.465678649241</v>
          </cell>
          <cell r="O369">
            <v>69377.034057125522</v>
          </cell>
          <cell r="P369">
            <v>69854.001166268252</v>
          </cell>
          <cell r="Q369">
            <v>104781.00174940238</v>
          </cell>
          <cell r="R369">
            <v>0</v>
          </cell>
          <cell r="S369">
            <v>69377.034057125522</v>
          </cell>
          <cell r="T369">
            <v>0</v>
          </cell>
          <cell r="U369">
            <v>50481.910603527896</v>
          </cell>
          <cell r="V369">
            <v>0</v>
          </cell>
          <cell r="W369">
            <v>19372.090562740341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13999.77277842663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5372.3177843137109</v>
          </cell>
          <cell r="AT369">
            <v>5372.3177843137109</v>
          </cell>
          <cell r="AU369">
            <v>0</v>
          </cell>
        </row>
        <row r="370">
          <cell r="B370">
            <v>356</v>
          </cell>
          <cell r="C370">
            <v>9</v>
          </cell>
          <cell r="D370">
            <v>838153.82159416599</v>
          </cell>
          <cell r="E370">
            <v>838153.82159416599</v>
          </cell>
          <cell r="F370">
            <v>1219030</v>
          </cell>
          <cell r="G370">
            <v>0.68755799413809826</v>
          </cell>
          <cell r="H370">
            <v>9007.0097232090866</v>
          </cell>
          <cell r="I370">
            <v>132643.68822912191</v>
          </cell>
          <cell r="J370">
            <v>66459.355713388577</v>
          </cell>
          <cell r="K370">
            <v>66459.355713388577</v>
          </cell>
          <cell r="L370">
            <v>66321.844114560954</v>
          </cell>
          <cell r="M370">
            <v>66321.844114560954</v>
          </cell>
          <cell r="N370">
            <v>66321.844114560954</v>
          </cell>
          <cell r="O370">
            <v>66005.567437257429</v>
          </cell>
          <cell r="P370">
            <v>66459.355713388577</v>
          </cell>
          <cell r="Q370">
            <v>99689.033570082873</v>
          </cell>
          <cell r="R370">
            <v>0</v>
          </cell>
          <cell r="S370">
            <v>66005.567437257429</v>
          </cell>
          <cell r="T370">
            <v>0</v>
          </cell>
          <cell r="U370">
            <v>45694.66130600794</v>
          </cell>
          <cell r="V370">
            <v>0</v>
          </cell>
          <cell r="W370">
            <v>20764.694407380768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14276.931635629307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6487.7627717514606</v>
          </cell>
          <cell r="AT370">
            <v>6487.7627717514606</v>
          </cell>
          <cell r="AU370">
            <v>0</v>
          </cell>
        </row>
        <row r="371">
          <cell r="B371">
            <v>357</v>
          </cell>
          <cell r="C371">
            <v>9</v>
          </cell>
          <cell r="D371">
            <v>902636.86889431998</v>
          </cell>
          <cell r="E371">
            <v>902636.86889431998</v>
          </cell>
          <cell r="F371">
            <v>1219030</v>
          </cell>
          <cell r="G371">
            <v>0.74045500840366518</v>
          </cell>
          <cell r="H371">
            <v>9699.9606100880137</v>
          </cell>
          <cell r="I371">
            <v>142848.58022123508</v>
          </cell>
          <cell r="J371">
            <v>71572.381112298273</v>
          </cell>
          <cell r="K371">
            <v>71572.381112298273</v>
          </cell>
          <cell r="L371">
            <v>71424.290110617541</v>
          </cell>
          <cell r="M371">
            <v>71424.290110617541</v>
          </cell>
          <cell r="N371">
            <v>71424.290110617541</v>
          </cell>
          <cell r="O371">
            <v>71083.680806751858</v>
          </cell>
          <cell r="P371">
            <v>71572.381112298273</v>
          </cell>
          <cell r="Q371">
            <v>107358.57166844742</v>
          </cell>
          <cell r="R371">
            <v>0</v>
          </cell>
          <cell r="S371">
            <v>71083.680806751858</v>
          </cell>
          <cell r="T371">
            <v>0</v>
          </cell>
          <cell r="U371">
            <v>52996.128057977199</v>
          </cell>
          <cell r="V371">
            <v>0</v>
          </cell>
          <cell r="W371">
            <v>18576.253054321161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13754.879611445987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4821.3734428751741</v>
          </cell>
          <cell r="AT371">
            <v>4821.3734428751741</v>
          </cell>
          <cell r="AU371">
            <v>0</v>
          </cell>
        </row>
        <row r="372">
          <cell r="B372">
            <v>358</v>
          </cell>
          <cell r="C372">
            <v>9</v>
          </cell>
          <cell r="D372">
            <v>903744.04967519396</v>
          </cell>
          <cell r="E372">
            <v>903744.04967519396</v>
          </cell>
          <cell r="F372">
            <v>1219030</v>
          </cell>
          <cell r="G372">
            <v>0.74136325576498852</v>
          </cell>
          <cell r="H372">
            <v>9711.8586505213498</v>
          </cell>
          <cell r="I372">
            <v>143023.79930218158</v>
          </cell>
          <cell r="J372">
            <v>71660.172302243795</v>
          </cell>
          <cell r="K372">
            <v>71660.172302243795</v>
          </cell>
          <cell r="L372">
            <v>71511.899651090789</v>
          </cell>
          <cell r="M372">
            <v>71511.899651090789</v>
          </cell>
          <cell r="N372">
            <v>71511.899651090789</v>
          </cell>
          <cell r="O372">
            <v>71170.872553438894</v>
          </cell>
          <cell r="P372">
            <v>71660.172302243795</v>
          </cell>
          <cell r="Q372">
            <v>107490.25845336569</v>
          </cell>
          <cell r="R372">
            <v>0</v>
          </cell>
          <cell r="S372">
            <v>71170.872553438894</v>
          </cell>
          <cell r="T372">
            <v>0</v>
          </cell>
          <cell r="U372">
            <v>53126.218646671579</v>
          </cell>
          <cell r="V372">
            <v>0</v>
          </cell>
          <cell r="W372">
            <v>18533.953655572259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13740.39222429246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4793.5614312797989</v>
          </cell>
          <cell r="AT372">
            <v>4793.5614312797989</v>
          </cell>
          <cell r="AU372">
            <v>0</v>
          </cell>
        </row>
        <row r="373">
          <cell r="B373">
            <v>359</v>
          </cell>
          <cell r="C373">
            <v>9</v>
          </cell>
          <cell r="D373">
            <v>905948.42764108197</v>
          </cell>
          <cell r="E373">
            <v>905948.42764108197</v>
          </cell>
          <cell r="F373">
            <v>1219030</v>
          </cell>
          <cell r="G373">
            <v>0.74317156070078827</v>
          </cell>
          <cell r="H373">
            <v>9735.5474451803257</v>
          </cell>
          <cell r="I373">
            <v>143372.65749039609</v>
          </cell>
          <cell r="J373">
            <v>71834.963057338187</v>
          </cell>
          <cell r="K373">
            <v>71834.963057338187</v>
          </cell>
          <cell r="L373">
            <v>71686.328745198043</v>
          </cell>
          <cell r="M373">
            <v>71686.328745198043</v>
          </cell>
          <cell r="N373">
            <v>71686.328745198043</v>
          </cell>
          <cell r="O373">
            <v>71344.46982727568</v>
          </cell>
          <cell r="P373">
            <v>71834.963057338187</v>
          </cell>
          <cell r="Q373">
            <v>107752.44458600729</v>
          </cell>
          <cell r="R373">
            <v>0</v>
          </cell>
          <cell r="S373">
            <v>71344.46982727568</v>
          </cell>
          <cell r="T373">
            <v>0</v>
          </cell>
          <cell r="U373">
            <v>53385.701608205542</v>
          </cell>
          <cell r="V373">
            <v>0</v>
          </cell>
          <cell r="W373">
            <v>18449.261449132697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13710.966424928833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4738.2950242038642</v>
          </cell>
          <cell r="AT373">
            <v>4738.2950242038642</v>
          </cell>
          <cell r="AU373">
            <v>0</v>
          </cell>
        </row>
        <row r="374">
          <cell r="B374">
            <v>360</v>
          </cell>
          <cell r="C374">
            <v>9</v>
          </cell>
          <cell r="D374">
            <v>901371.94729885797</v>
          </cell>
          <cell r="E374">
            <v>901371.94729885797</v>
          </cell>
          <cell r="F374">
            <v>1219030</v>
          </cell>
          <cell r="G374">
            <v>0.73941736241016054</v>
          </cell>
          <cell r="H374">
            <v>9686.3674475731023</v>
          </cell>
          <cell r="I374">
            <v>142648.39755616817</v>
          </cell>
          <cell r="J374">
            <v>71472.08225056612</v>
          </cell>
          <cell r="K374">
            <v>71472.08225056612</v>
          </cell>
          <cell r="L374">
            <v>71324.198778084086</v>
          </cell>
          <cell r="M374">
            <v>71324.198778084086</v>
          </cell>
          <cell r="N374">
            <v>71324.198778084086</v>
          </cell>
          <cell r="O374">
            <v>70984.066791375415</v>
          </cell>
          <cell r="P374">
            <v>71472.08225056612</v>
          </cell>
          <cell r="Q374">
            <v>107208.12337584917</v>
          </cell>
          <cell r="R374">
            <v>0</v>
          </cell>
          <cell r="S374">
            <v>70984.066791375415</v>
          </cell>
          <cell r="T374">
            <v>0</v>
          </cell>
          <cell r="U374">
            <v>52847.698543675644</v>
          </cell>
          <cell r="V374">
            <v>0</v>
          </cell>
          <cell r="W374">
            <v>18624.383706890512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13771.192677063751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4853.1910298267612</v>
          </cell>
          <cell r="AT374">
            <v>4853.1910298267612</v>
          </cell>
          <cell r="AU374">
            <v>0</v>
          </cell>
        </row>
        <row r="375">
          <cell r="B375">
            <v>361</v>
          </cell>
          <cell r="C375">
            <v>9</v>
          </cell>
          <cell r="D375">
            <v>791631.26324615197</v>
          </cell>
          <cell r="E375">
            <v>791631.26324615197</v>
          </cell>
          <cell r="F375">
            <v>1219030</v>
          </cell>
          <cell r="G375">
            <v>0.64939440641013924</v>
          </cell>
          <cell r="H375">
            <v>8507.0667239728245</v>
          </cell>
          <cell r="I375">
            <v>125281.16888464407</v>
          </cell>
          <cell r="J375">
            <v>62770.463323604061</v>
          </cell>
          <cell r="K375">
            <v>62770.463323604061</v>
          </cell>
          <cell r="L375">
            <v>62640.584442322033</v>
          </cell>
          <cell r="M375">
            <v>62640.584442322033</v>
          </cell>
          <cell r="N375">
            <v>62640.584442322033</v>
          </cell>
          <cell r="O375">
            <v>62341.863015373368</v>
          </cell>
          <cell r="P375">
            <v>62770.463323604061</v>
          </cell>
          <cell r="Q375">
            <v>94155.694985406095</v>
          </cell>
          <cell r="R375">
            <v>0</v>
          </cell>
          <cell r="S375">
            <v>62341.863015373368</v>
          </cell>
          <cell r="T375">
            <v>0</v>
          </cell>
          <cell r="U375">
            <v>40762.787770121213</v>
          </cell>
          <cell r="V375">
            <v>0</v>
          </cell>
          <cell r="W375">
            <v>22007.675553482724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14291.661402520846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7716.0141509618788</v>
          </cell>
          <cell r="AT375">
            <v>7716.0141509618788</v>
          </cell>
          <cell r="AU375">
            <v>0</v>
          </cell>
        </row>
        <row r="376">
          <cell r="B376">
            <v>362</v>
          </cell>
          <cell r="C376">
            <v>9</v>
          </cell>
          <cell r="D376">
            <v>688536.65895744797</v>
          </cell>
          <cell r="E376">
            <v>688536.65895744797</v>
          </cell>
          <cell r="F376">
            <v>1219030</v>
          </cell>
          <cell r="G376">
            <v>0.56482339151411198</v>
          </cell>
          <cell r="H376">
            <v>7399.186428834867</v>
          </cell>
          <cell r="I376">
            <v>108965.72869090248</v>
          </cell>
          <cell r="J376">
            <v>54595.829023754064</v>
          </cell>
          <cell r="K376">
            <v>54595.829023754064</v>
          </cell>
          <cell r="L376">
            <v>54482.864345451242</v>
          </cell>
          <cell r="M376">
            <v>54482.864345451242</v>
          </cell>
          <cell r="N376">
            <v>54482.864345451242</v>
          </cell>
          <cell r="O376">
            <v>54223.045585354754</v>
          </cell>
          <cell r="P376">
            <v>54595.829023754064</v>
          </cell>
          <cell r="Q376">
            <v>81893.743535631103</v>
          </cell>
          <cell r="R376">
            <v>0</v>
          </cell>
          <cell r="S376">
            <v>54223.045585354754</v>
          </cell>
          <cell r="T376">
            <v>0</v>
          </cell>
          <cell r="U376">
            <v>30837.001311721386</v>
          </cell>
          <cell r="V376">
            <v>0</v>
          </cell>
          <cell r="W376">
            <v>23758.827712032711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13419.541646709786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10339.286065322925</v>
          </cell>
          <cell r="AT376">
            <v>10339.286065322925</v>
          </cell>
          <cell r="AU376">
            <v>0</v>
          </cell>
        </row>
        <row r="377">
          <cell r="B377">
            <v>363</v>
          </cell>
          <cell r="C377">
            <v>9</v>
          </cell>
          <cell r="D377">
            <v>683121.55656298401</v>
          </cell>
          <cell r="E377">
            <v>683121.55656298401</v>
          </cell>
          <cell r="F377">
            <v>1219030</v>
          </cell>
          <cell r="G377">
            <v>0.56038125112834303</v>
          </cell>
          <cell r="H377">
            <v>7340.9943897812936</v>
          </cell>
          <cell r="I377">
            <v>108108.75096767994</v>
          </cell>
          <cell r="J377">
            <v>54166.451734065638</v>
          </cell>
          <cell r="K377">
            <v>54166.451734065638</v>
          </cell>
          <cell r="L377">
            <v>54054.375483839969</v>
          </cell>
          <cell r="M377">
            <v>54054.375483839969</v>
          </cell>
          <cell r="N377">
            <v>54054.375483839969</v>
          </cell>
          <cell r="O377">
            <v>53796.600108320934</v>
          </cell>
          <cell r="P377">
            <v>54166.451734065638</v>
          </cell>
          <cell r="Q377">
            <v>81249.677601098461</v>
          </cell>
          <cell r="R377">
            <v>0</v>
          </cell>
          <cell r="S377">
            <v>53796.600108320934</v>
          </cell>
          <cell r="T377">
            <v>0</v>
          </cell>
          <cell r="U377">
            <v>30353.863991918719</v>
          </cell>
          <cell r="V377">
            <v>0</v>
          </cell>
          <cell r="W377">
            <v>23812.587742146919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13344.127711547735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10468.460030599184</v>
          </cell>
          <cell r="AT377">
            <v>10468.460030599184</v>
          </cell>
          <cell r="AU377">
            <v>0</v>
          </cell>
        </row>
        <row r="378">
          <cell r="B378">
            <v>364</v>
          </cell>
          <cell r="C378">
            <v>9</v>
          </cell>
          <cell r="D378">
            <v>928025.15316629992</v>
          </cell>
          <cell r="E378">
            <v>928025.15316629992</v>
          </cell>
          <cell r="F378">
            <v>1219030</v>
          </cell>
          <cell r="G378">
            <v>0.76128163635538082</v>
          </cell>
          <cell r="H378">
            <v>9972.7894362554889</v>
          </cell>
          <cell r="I378">
            <v>146866.45328568007</v>
          </cell>
          <cell r="J378">
            <v>73585.482970111116</v>
          </cell>
          <cell r="K378">
            <v>73585.482970111116</v>
          </cell>
          <cell r="L378">
            <v>73433.226642840033</v>
          </cell>
          <cell r="M378">
            <v>73433.226642840033</v>
          </cell>
          <cell r="N378">
            <v>73433.226642840033</v>
          </cell>
          <cell r="O378">
            <v>73083.037090116559</v>
          </cell>
          <cell r="P378">
            <v>73585.482970111116</v>
          </cell>
          <cell r="Q378">
            <v>110378.22445516667</v>
          </cell>
          <cell r="R378">
            <v>0</v>
          </cell>
          <cell r="S378">
            <v>73083.037090116559</v>
          </cell>
          <cell r="T378">
            <v>0</v>
          </cell>
          <cell r="U378">
            <v>56019.276887487256</v>
          </cell>
          <cell r="V378">
            <v>0</v>
          </cell>
          <cell r="W378">
            <v>17566.206082623918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13372.83011113578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4193.375971488138</v>
          </cell>
          <cell r="AT378">
            <v>4193.375971488138</v>
          </cell>
          <cell r="AU378">
            <v>0</v>
          </cell>
        </row>
        <row r="379">
          <cell r="B379">
            <v>365</v>
          </cell>
          <cell r="C379">
            <v>9</v>
          </cell>
          <cell r="D379">
            <v>963671.58218442998</v>
          </cell>
          <cell r="E379">
            <v>963671.58218442998</v>
          </cell>
          <cell r="F379">
            <v>1219030</v>
          </cell>
          <cell r="G379">
            <v>0.79052327029230618</v>
          </cell>
          <cell r="H379">
            <v>10355.854840829212</v>
          </cell>
          <cell r="I379">
            <v>0</v>
          </cell>
          <cell r="J379">
            <v>0</v>
          </cell>
          <cell r="K379">
            <v>76411.979306454319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876903.7480371464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876903.7480371464</v>
          </cell>
          <cell r="AT379">
            <v>876903.7480371464</v>
          </cell>
          <cell r="AU379">
            <v>0</v>
          </cell>
        </row>
        <row r="380">
          <cell r="D380">
            <v>613878162.03401196</v>
          </cell>
          <cell r="E380">
            <v>613878162.03401196</v>
          </cell>
          <cell r="F380">
            <v>428506340</v>
          </cell>
          <cell r="H380" t="str">
            <v>Mist Production</v>
          </cell>
          <cell r="I380" t="str">
            <v>DukeBCS2BS</v>
          </cell>
          <cell r="J380" t="str">
            <v>Duke1ABSTBS</v>
          </cell>
          <cell r="K380" t="str">
            <v>CoralABSTBS</v>
          </cell>
          <cell r="L380" t="str">
            <v>CoralBCS2BS</v>
          </cell>
          <cell r="M380" t="str">
            <v>SempraBCS2BS</v>
          </cell>
          <cell r="N380" t="str">
            <v>BPCanadaBCS2BS</v>
          </cell>
          <cell r="O380" t="str">
            <v>SempraABTCBS</v>
          </cell>
          <cell r="P380" t="str">
            <v>HuskeyABSTBS</v>
          </cell>
          <cell r="Q380" t="str">
            <v>BurlingtonABSTBS</v>
          </cell>
          <cell r="R380" t="str">
            <v>Unused "R"</v>
          </cell>
          <cell r="S380" t="str">
            <v>BPCanadaABTCBS</v>
          </cell>
          <cell r="T380" t="str">
            <v>Unused "T"</v>
          </cell>
          <cell r="U380" t="str">
            <v>BPCanadaABSTBS</v>
          </cell>
          <cell r="V380" t="str">
            <v>Unused "V"</v>
          </cell>
          <cell r="X380" t="str">
            <v>Winter Only Load</v>
          </cell>
          <cell r="Y380" t="str">
            <v>Duke2ABSTBS</v>
          </cell>
          <cell r="Z380" t="str">
            <v>Duke3ABSTBS</v>
          </cell>
          <cell r="AA380" t="str">
            <v>SempraABSTBS</v>
          </cell>
          <cell r="AB380" t="str">
            <v>CanadianresABTCBS</v>
          </cell>
          <cell r="AC380" t="str">
            <v>NationalFuelRKBS</v>
          </cell>
          <cell r="AD380" t="str">
            <v>OneokRKBS</v>
          </cell>
          <cell r="AE380" t="str">
            <v>EnsercoRKBS</v>
          </cell>
          <cell r="AF380" t="str">
            <v>WesternGasRKBS</v>
          </cell>
          <cell r="AG380" t="str">
            <v>ConocoPhRKBS</v>
          </cell>
          <cell r="AH380" t="str">
            <v>SempraRKBS</v>
          </cell>
          <cell r="AI380" t="str">
            <v>NationalFuelRKBS</v>
          </cell>
          <cell r="AJ380" t="str">
            <v>Unused "AJ"</v>
          </cell>
          <cell r="AK380" t="str">
            <v>Unused "AK"</v>
          </cell>
          <cell r="AL380" t="str">
            <v>Unused "AL"</v>
          </cell>
          <cell r="AM380" t="str">
            <v>Unused "AM"</v>
          </cell>
          <cell r="AN380" t="str">
            <v>Unused "AN"</v>
          </cell>
          <cell r="AO380" t="str">
            <v>Unused "AO"</v>
          </cell>
          <cell r="AP380" t="str">
            <v>Unused "AP"</v>
          </cell>
          <cell r="AQ380" t="str">
            <v>Unused "AQ"</v>
          </cell>
          <cell r="AR380" t="str">
            <v>Unused "AR"</v>
          </cell>
          <cell r="AS380" t="str">
            <v>Swing to Dispatch</v>
          </cell>
          <cell r="AT380" t="str">
            <v>Swing</v>
          </cell>
          <cell r="AU380" t="str">
            <v>SEMPRAABSTSW</v>
          </cell>
        </row>
        <row r="381">
          <cell r="E381" t="str">
            <v>TOTAL FLOWING</v>
          </cell>
          <cell r="F381">
            <v>613878162.03401184</v>
          </cell>
          <cell r="H381">
            <v>4261967.8272013497</v>
          </cell>
          <cell r="I381">
            <v>62612288.679984048</v>
          </cell>
          <cell r="J381">
            <v>31371054.446440294</v>
          </cell>
          <cell r="K381">
            <v>31447466.42574675</v>
          </cell>
          <cell r="L381">
            <v>31306144.339992024</v>
          </cell>
          <cell r="M381">
            <v>31306144.339992024</v>
          </cell>
          <cell r="N381">
            <v>31306144.339992024</v>
          </cell>
          <cell r="O381">
            <v>28180851.095161095</v>
          </cell>
          <cell r="P381">
            <v>28374594.446440294</v>
          </cell>
          <cell r="Q381">
            <v>42555104.820402652</v>
          </cell>
          <cell r="R381">
            <v>0</v>
          </cell>
          <cell r="S381">
            <v>28149447.306126852</v>
          </cell>
          <cell r="T381">
            <v>0</v>
          </cell>
          <cell r="U381">
            <v>26012505.837385863</v>
          </cell>
          <cell r="V381">
            <v>0</v>
          </cell>
          <cell r="W381">
            <v>236994448.1291464</v>
          </cell>
          <cell r="X381">
            <v>0</v>
          </cell>
          <cell r="Y381">
            <v>7249500</v>
          </cell>
          <cell r="Z381">
            <v>13049100</v>
          </cell>
          <cell r="AA381">
            <v>14499000</v>
          </cell>
          <cell r="AB381">
            <v>14162149.896067377</v>
          </cell>
          <cell r="AC381">
            <v>14500015.854411952</v>
          </cell>
          <cell r="AD381">
            <v>21583322.902745333</v>
          </cell>
          <cell r="AE381">
            <v>14189567.109728632</v>
          </cell>
          <cell r="AF381">
            <v>13953792.612503203</v>
          </cell>
          <cell r="AG381">
            <v>6906200</v>
          </cell>
          <cell r="AH381">
            <v>10941013.065498121</v>
          </cell>
          <cell r="AI381">
            <v>3810501.0248442767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102150285.66334772</v>
          </cell>
          <cell r="AT381">
            <v>102150285.66334772</v>
          </cell>
          <cell r="AU381">
            <v>12146382.799119866</v>
          </cell>
        </row>
        <row r="382">
          <cell r="D382">
            <v>613878162.03401196</v>
          </cell>
          <cell r="E382">
            <v>613878162.03401196</v>
          </cell>
          <cell r="F382">
            <v>613878162.03401196</v>
          </cell>
          <cell r="H382">
            <v>4261967.8272013497</v>
          </cell>
          <cell r="I382">
            <v>62612288.679984093</v>
          </cell>
          <cell r="J382">
            <v>31371054.446440294</v>
          </cell>
          <cell r="K382">
            <v>31447466.425746754</v>
          </cell>
          <cell r="L382">
            <v>31306144.339992046</v>
          </cell>
          <cell r="M382">
            <v>31306144.339992046</v>
          </cell>
          <cell r="N382">
            <v>31306144.339992046</v>
          </cell>
          <cell r="O382">
            <v>28180851.095161065</v>
          </cell>
          <cell r="P382">
            <v>28374594.446440294</v>
          </cell>
          <cell r="Q382">
            <v>42555104.820402637</v>
          </cell>
          <cell r="R382">
            <v>0</v>
          </cell>
          <cell r="S382">
            <v>28149447.306126822</v>
          </cell>
          <cell r="T382">
            <v>0</v>
          </cell>
          <cell r="U382">
            <v>26012505.837385863</v>
          </cell>
          <cell r="V382">
            <v>0</v>
          </cell>
          <cell r="Y382">
            <v>7249500</v>
          </cell>
          <cell r="Z382">
            <v>13049100</v>
          </cell>
          <cell r="AA382">
            <v>14499000</v>
          </cell>
          <cell r="AB382">
            <v>14162149.896067377</v>
          </cell>
          <cell r="AC382">
            <v>14500015.854411952</v>
          </cell>
          <cell r="AD382">
            <v>21583322.902745336</v>
          </cell>
          <cell r="AE382">
            <v>14189567.109728634</v>
          </cell>
          <cell r="AF382">
            <v>13953792.612503204</v>
          </cell>
          <cell r="AG382">
            <v>6906200</v>
          </cell>
          <cell r="AH382">
            <v>10941013.06549811</v>
          </cell>
          <cell r="AI382">
            <v>3810501.0248442767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U382">
            <v>12146382.799119866</v>
          </cell>
        </row>
        <row r="383">
          <cell r="B383" t="str">
            <v>Load Adjustment</v>
          </cell>
          <cell r="D383">
            <v>0.99835958599999997</v>
          </cell>
          <cell r="F383">
            <v>613878162.03401208</v>
          </cell>
          <cell r="H383" t="str">
            <v>Mist Production</v>
          </cell>
          <cell r="I383" t="str">
            <v>DukeBCS2BS</v>
          </cell>
          <cell r="J383" t="str">
            <v>Duke1ABSTBS</v>
          </cell>
          <cell r="K383" t="str">
            <v>CoralABSTBS</v>
          </cell>
          <cell r="L383" t="str">
            <v>CoralBCS2BS</v>
          </cell>
          <cell r="M383" t="str">
            <v>SempraBCS2BS</v>
          </cell>
          <cell r="N383" t="str">
            <v>BPCanadaBCS2BS</v>
          </cell>
          <cell r="O383" t="str">
            <v>SempraABTCBS</v>
          </cell>
          <cell r="P383" t="str">
            <v>HuskeyABSTBS</v>
          </cell>
          <cell r="Q383" t="str">
            <v>BurlingtonABSTBS</v>
          </cell>
          <cell r="R383" t="str">
            <v>Unused "R"</v>
          </cell>
          <cell r="S383" t="str">
            <v>BPCanadaABTCBS</v>
          </cell>
          <cell r="T383" t="str">
            <v>Unused "T"</v>
          </cell>
          <cell r="U383" t="str">
            <v>BPCanadaABSTBS</v>
          </cell>
          <cell r="V383" t="str">
            <v>Unused "V"</v>
          </cell>
          <cell r="Y383" t="str">
            <v>Duke2ABSTBS</v>
          </cell>
          <cell r="Z383" t="str">
            <v>Duke3ABSTBS</v>
          </cell>
          <cell r="AA383" t="str">
            <v>SempraABSTBS</v>
          </cell>
          <cell r="AB383" t="str">
            <v>CanadianresABTCBS</v>
          </cell>
          <cell r="AC383" t="str">
            <v>NationalFuelRKBS</v>
          </cell>
          <cell r="AD383" t="str">
            <v>OneokRKBS</v>
          </cell>
          <cell r="AE383" t="str">
            <v>EnsercoRKBS</v>
          </cell>
          <cell r="AF383" t="str">
            <v>WesternGasRKBS</v>
          </cell>
          <cell r="AG383" t="str">
            <v>ConocoPhRKBS</v>
          </cell>
          <cell r="AH383" t="str">
            <v>SempraRKBS</v>
          </cell>
          <cell r="AI383" t="str">
            <v>NationalFuelRKBS</v>
          </cell>
          <cell r="AJ383" t="str">
            <v>Unused "AJ"</v>
          </cell>
          <cell r="AK383" t="str">
            <v>Unused "AK"</v>
          </cell>
          <cell r="AL383" t="str">
            <v>Unused "AL"</v>
          </cell>
          <cell r="AM383" t="str">
            <v>Unused "AM"</v>
          </cell>
          <cell r="AN383" t="str">
            <v>Unused "AN"</v>
          </cell>
          <cell r="AO383" t="str">
            <v>Unused "AO"</v>
          </cell>
          <cell r="AP383" t="str">
            <v>Unused "AP"</v>
          </cell>
          <cell r="AQ383" t="str">
            <v>Unused "AQ"</v>
          </cell>
          <cell r="AR383" t="str">
            <v>Unused "AR"</v>
          </cell>
          <cell r="AU383" t="str">
            <v>SEMPRAABSTSW</v>
          </cell>
        </row>
        <row r="384">
          <cell r="D384">
            <v>613878162.03401196</v>
          </cell>
          <cell r="E384">
            <v>1.194623449538218</v>
          </cell>
          <cell r="F384">
            <v>0</v>
          </cell>
          <cell r="G384" t="str">
            <v>Day</v>
          </cell>
          <cell r="H384">
            <v>9825</v>
          </cell>
          <cell r="I384">
            <v>192920</v>
          </cell>
          <cell r="J384">
            <v>96660</v>
          </cell>
          <cell r="K384">
            <v>96660</v>
          </cell>
          <cell r="L384">
            <v>96460</v>
          </cell>
          <cell r="M384">
            <v>96460</v>
          </cell>
          <cell r="N384">
            <v>96460</v>
          </cell>
          <cell r="O384">
            <v>96000</v>
          </cell>
          <cell r="P384">
            <v>96660</v>
          </cell>
          <cell r="Q384">
            <v>144990</v>
          </cell>
          <cell r="R384">
            <v>0</v>
          </cell>
          <cell r="S384">
            <v>96000</v>
          </cell>
          <cell r="T384">
            <v>0</v>
          </cell>
          <cell r="U384">
            <v>96660</v>
          </cell>
          <cell r="V384">
            <v>0</v>
          </cell>
          <cell r="W384" t="e">
            <v>#DIV/0!</v>
          </cell>
          <cell r="Y384">
            <v>48330</v>
          </cell>
          <cell r="Z384">
            <v>144990</v>
          </cell>
          <cell r="AA384">
            <v>96660</v>
          </cell>
          <cell r="AB384">
            <v>96000</v>
          </cell>
          <cell r="AC384">
            <v>98660</v>
          </cell>
          <cell r="AT384">
            <v>65125698.66834271</v>
          </cell>
          <cell r="AU384" t="str">
            <v>swing gas</v>
          </cell>
        </row>
        <row r="385">
          <cell r="D385">
            <v>733353247.52525246</v>
          </cell>
          <cell r="F385">
            <v>0</v>
          </cell>
          <cell r="G385" t="str">
            <v>Year</v>
          </cell>
          <cell r="H385">
            <v>3586125</v>
          </cell>
          <cell r="I385">
            <v>70415800</v>
          </cell>
          <cell r="J385">
            <v>35280900</v>
          </cell>
          <cell r="K385">
            <v>35280900</v>
          </cell>
          <cell r="L385">
            <v>35207900</v>
          </cell>
          <cell r="M385">
            <v>0</v>
          </cell>
          <cell r="N385">
            <v>0</v>
          </cell>
          <cell r="O385">
            <v>-2976000</v>
          </cell>
          <cell r="P385">
            <v>-2996460</v>
          </cell>
          <cell r="Q385">
            <v>-4494690</v>
          </cell>
          <cell r="R385">
            <v>0</v>
          </cell>
          <cell r="S385">
            <v>-2976000</v>
          </cell>
          <cell r="T385">
            <v>0</v>
          </cell>
          <cell r="U385">
            <v>-2996460</v>
          </cell>
          <cell r="V385">
            <v>0</v>
          </cell>
          <cell r="W385" t="e">
            <v>#DIV/0!</v>
          </cell>
          <cell r="Y385">
            <v>-36827460</v>
          </cell>
          <cell r="Z385">
            <v>-114832080</v>
          </cell>
          <cell r="AA385">
            <v>-73654920</v>
          </cell>
          <cell r="AB385">
            <v>-73152000</v>
          </cell>
          <cell r="AC385">
            <v>-75178920</v>
          </cell>
          <cell r="AT385">
            <v>37024586.995005012</v>
          </cell>
          <cell r="AU385" t="str">
            <v>net</v>
          </cell>
        </row>
        <row r="386">
          <cell r="D386">
            <v>613878162.52525246</v>
          </cell>
          <cell r="E386">
            <v>0.49124050140380859</v>
          </cell>
          <cell r="F386">
            <v>0</v>
          </cell>
          <cell r="G386" t="str">
            <v>28 day mo.</v>
          </cell>
          <cell r="H386">
            <v>275100</v>
          </cell>
          <cell r="I386">
            <v>5401760</v>
          </cell>
          <cell r="J386">
            <v>2706480</v>
          </cell>
          <cell r="K386">
            <v>2706480</v>
          </cell>
          <cell r="L386">
            <v>2700880</v>
          </cell>
          <cell r="M386">
            <v>2700880</v>
          </cell>
          <cell r="N386">
            <v>2700880</v>
          </cell>
          <cell r="O386">
            <v>2688000</v>
          </cell>
          <cell r="P386">
            <v>2706480</v>
          </cell>
          <cell r="Q386">
            <v>4059720</v>
          </cell>
          <cell r="R386">
            <v>0</v>
          </cell>
          <cell r="S386">
            <v>2688000</v>
          </cell>
          <cell r="T386">
            <v>0</v>
          </cell>
          <cell r="U386">
            <v>2706480</v>
          </cell>
          <cell r="Y386">
            <v>1353240</v>
          </cell>
          <cell r="Z386">
            <v>4059720</v>
          </cell>
          <cell r="AA386">
            <v>2706480</v>
          </cell>
          <cell r="AB386">
            <v>2688000</v>
          </cell>
          <cell r="AC386">
            <v>2762480</v>
          </cell>
          <cell r="AT386">
            <v>37024586.995005012</v>
          </cell>
          <cell r="AU386" t="str">
            <v>spot</v>
          </cell>
        </row>
        <row r="387">
          <cell r="B387" t="str">
            <v>Daily Flowing</v>
          </cell>
          <cell r="D387" t="str">
            <v>Adjusted Daily</v>
          </cell>
          <cell r="F387">
            <v>119475085</v>
          </cell>
          <cell r="G387" t="str">
            <v>30 day mo.</v>
          </cell>
          <cell r="H387">
            <v>294750</v>
          </cell>
          <cell r="I387">
            <v>5787600</v>
          </cell>
          <cell r="J387">
            <v>2899800</v>
          </cell>
          <cell r="K387">
            <v>2899800</v>
          </cell>
          <cell r="L387">
            <v>2893800</v>
          </cell>
          <cell r="M387">
            <v>2893800</v>
          </cell>
          <cell r="N387">
            <v>2893800</v>
          </cell>
          <cell r="O387">
            <v>2880000</v>
          </cell>
          <cell r="P387">
            <v>2899800</v>
          </cell>
          <cell r="Q387">
            <v>4349700</v>
          </cell>
          <cell r="R387">
            <v>0</v>
          </cell>
          <cell r="S387">
            <v>2880000</v>
          </cell>
          <cell r="T387">
            <v>0</v>
          </cell>
          <cell r="U387">
            <v>2899800</v>
          </cell>
          <cell r="Y387">
            <v>1449900</v>
          </cell>
          <cell r="Z387">
            <v>4349700</v>
          </cell>
          <cell r="AA387">
            <v>2899800</v>
          </cell>
          <cell r="AB387">
            <v>2880000</v>
          </cell>
          <cell r="AC387">
            <v>2959800</v>
          </cell>
          <cell r="AT387">
            <v>0</v>
          </cell>
          <cell r="AU387" t="str">
            <v>Curtailment</v>
          </cell>
        </row>
        <row r="388">
          <cell r="B388" t="str">
            <v>Load</v>
          </cell>
          <cell r="D388" t="str">
            <v>Flowing Load</v>
          </cell>
          <cell r="F388">
            <v>-119475085</v>
          </cell>
          <cell r="G388" t="str">
            <v>31 day mo.</v>
          </cell>
          <cell r="H388">
            <v>304575</v>
          </cell>
          <cell r="I388">
            <v>5980520</v>
          </cell>
          <cell r="J388">
            <v>2996460</v>
          </cell>
          <cell r="K388">
            <v>2996460</v>
          </cell>
          <cell r="L388">
            <v>2990260</v>
          </cell>
          <cell r="M388">
            <v>2990260</v>
          </cell>
          <cell r="N388">
            <v>2990260</v>
          </cell>
          <cell r="O388">
            <v>2976000</v>
          </cell>
          <cell r="P388">
            <v>2996460</v>
          </cell>
          <cell r="Q388">
            <v>4494690</v>
          </cell>
          <cell r="R388">
            <v>0</v>
          </cell>
          <cell r="S388">
            <v>2976000</v>
          </cell>
          <cell r="T388">
            <v>0</v>
          </cell>
          <cell r="U388">
            <v>2996460</v>
          </cell>
          <cell r="Y388">
            <v>1498230</v>
          </cell>
          <cell r="Z388">
            <v>4494690</v>
          </cell>
          <cell r="AA388">
            <v>2996460</v>
          </cell>
          <cell r="AB388">
            <v>2976000</v>
          </cell>
          <cell r="AC388">
            <v>3058460</v>
          </cell>
          <cell r="AE388">
            <v>3100000</v>
          </cell>
          <cell r="AF388">
            <v>3100000</v>
          </cell>
          <cell r="AG388">
            <v>6200000</v>
          </cell>
        </row>
        <row r="389">
          <cell r="B389">
            <v>983886</v>
          </cell>
          <cell r="C389">
            <v>1</v>
          </cell>
          <cell r="D389">
            <v>982272.01963119593</v>
          </cell>
          <cell r="F389">
            <v>-119475085</v>
          </cell>
          <cell r="I389">
            <v>38261</v>
          </cell>
          <cell r="J389">
            <v>38261</v>
          </cell>
          <cell r="K389">
            <v>37895</v>
          </cell>
          <cell r="L389">
            <v>38261</v>
          </cell>
          <cell r="M389">
            <v>38261</v>
          </cell>
          <cell r="N389">
            <v>38261</v>
          </cell>
          <cell r="O389">
            <v>38292</v>
          </cell>
          <cell r="P389">
            <v>38292</v>
          </cell>
          <cell r="Q389">
            <v>38292</v>
          </cell>
          <cell r="R389">
            <v>38292</v>
          </cell>
          <cell r="S389">
            <v>38292</v>
          </cell>
          <cell r="T389">
            <v>38292</v>
          </cell>
          <cell r="U389">
            <v>38292</v>
          </cell>
          <cell r="Y389">
            <v>38292</v>
          </cell>
          <cell r="Z389">
            <v>38322</v>
          </cell>
          <cell r="AA389">
            <v>38292</v>
          </cell>
          <cell r="AB389">
            <v>38292</v>
          </cell>
          <cell r="AC389">
            <v>38292</v>
          </cell>
          <cell r="AE389">
            <v>3100000</v>
          </cell>
          <cell r="AF389">
            <v>3100000</v>
          </cell>
          <cell r="AG389">
            <v>6200000</v>
          </cell>
          <cell r="AU389">
            <v>2875556.8055170779</v>
          </cell>
        </row>
        <row r="390">
          <cell r="B390">
            <v>1049840</v>
          </cell>
          <cell r="C390">
            <v>2</v>
          </cell>
          <cell r="D390">
            <v>1048117.82776624</v>
          </cell>
          <cell r="I390">
            <v>38625</v>
          </cell>
          <cell r="J390">
            <v>38625</v>
          </cell>
          <cell r="K390">
            <v>39752</v>
          </cell>
          <cell r="L390">
            <v>38625</v>
          </cell>
          <cell r="M390">
            <v>38625</v>
          </cell>
          <cell r="N390">
            <v>38625</v>
          </cell>
          <cell r="O390">
            <v>38625</v>
          </cell>
          <cell r="P390">
            <v>38625</v>
          </cell>
          <cell r="Q390">
            <v>38625</v>
          </cell>
          <cell r="R390">
            <v>38442</v>
          </cell>
          <cell r="S390">
            <v>38625</v>
          </cell>
          <cell r="T390">
            <v>38625</v>
          </cell>
          <cell r="U390">
            <v>38625</v>
          </cell>
          <cell r="Y390">
            <v>38442</v>
          </cell>
          <cell r="Z390">
            <v>38411</v>
          </cell>
          <cell r="AA390">
            <v>38442</v>
          </cell>
          <cell r="AB390">
            <v>38442</v>
          </cell>
          <cell r="AC390">
            <v>38442</v>
          </cell>
          <cell r="AE390">
            <v>12400000</v>
          </cell>
          <cell r="AF390">
            <v>280550</v>
          </cell>
        </row>
        <row r="391">
          <cell r="B391">
            <v>958972</v>
          </cell>
          <cell r="C391">
            <v>3</v>
          </cell>
          <cell r="D391">
            <v>957398.88890559191</v>
          </cell>
          <cell r="I391">
            <v>37895</v>
          </cell>
          <cell r="J391">
            <v>37895</v>
          </cell>
          <cell r="K391">
            <v>37895</v>
          </cell>
          <cell r="L391">
            <v>37895</v>
          </cell>
          <cell r="M391">
            <v>37895</v>
          </cell>
          <cell r="N391">
            <v>37895</v>
          </cell>
          <cell r="O391">
            <v>37895</v>
          </cell>
          <cell r="P391">
            <v>37895</v>
          </cell>
          <cell r="Q391">
            <v>37895</v>
          </cell>
          <cell r="R391">
            <v>37895</v>
          </cell>
          <cell r="S391">
            <v>37895</v>
          </cell>
          <cell r="T391">
            <v>37895</v>
          </cell>
          <cell r="U391">
            <v>37895</v>
          </cell>
          <cell r="Y391">
            <v>37165</v>
          </cell>
          <cell r="Z391">
            <v>37165</v>
          </cell>
          <cell r="AA391">
            <v>37165</v>
          </cell>
          <cell r="AB391">
            <v>37165</v>
          </cell>
          <cell r="AC391">
            <v>37165</v>
          </cell>
          <cell r="AE391">
            <v>2.2624999999999999E-2</v>
          </cell>
          <cell r="AF391">
            <v>280550</v>
          </cell>
        </row>
        <row r="392">
          <cell r="B392">
            <v>936200</v>
          </cell>
          <cell r="C392">
            <v>4</v>
          </cell>
          <cell r="D392">
            <v>934664.24441319995</v>
          </cell>
          <cell r="I392">
            <v>38260</v>
          </cell>
          <cell r="J392">
            <v>38260</v>
          </cell>
          <cell r="K392">
            <v>38260</v>
          </cell>
          <cell r="L392">
            <v>38260</v>
          </cell>
          <cell r="M392">
            <v>38260</v>
          </cell>
          <cell r="N392">
            <v>38260</v>
          </cell>
          <cell r="O392">
            <v>38260</v>
          </cell>
          <cell r="P392">
            <v>38260</v>
          </cell>
          <cell r="Q392">
            <v>38260</v>
          </cell>
          <cell r="R392">
            <v>38260</v>
          </cell>
          <cell r="S392">
            <v>38260</v>
          </cell>
          <cell r="T392">
            <v>38260</v>
          </cell>
          <cell r="U392">
            <v>38260</v>
          </cell>
          <cell r="Y392">
            <v>37529</v>
          </cell>
          <cell r="Z392">
            <v>37529</v>
          </cell>
          <cell r="AA392">
            <v>37529</v>
          </cell>
          <cell r="AB392">
            <v>37529</v>
          </cell>
          <cell r="AC392">
            <v>37529</v>
          </cell>
          <cell r="AE392">
            <v>0</v>
          </cell>
          <cell r="AF392">
            <v>0</v>
          </cell>
        </row>
        <row r="393">
          <cell r="B393">
            <v>892736</v>
          </cell>
          <cell r="C393">
            <v>5</v>
          </cell>
          <cell r="D393">
            <v>891271.54336729599</v>
          </cell>
          <cell r="I393">
            <v>38261</v>
          </cell>
          <cell r="J393">
            <v>38261</v>
          </cell>
          <cell r="K393">
            <v>37895</v>
          </cell>
          <cell r="L393">
            <v>38261</v>
          </cell>
          <cell r="M393">
            <v>38261</v>
          </cell>
          <cell r="N393">
            <v>38261</v>
          </cell>
          <cell r="O393">
            <v>38292</v>
          </cell>
          <cell r="P393">
            <v>38292</v>
          </cell>
          <cell r="Q393">
            <v>38292</v>
          </cell>
          <cell r="R393">
            <v>38292</v>
          </cell>
          <cell r="S393">
            <v>38292</v>
          </cell>
          <cell r="T393">
            <v>38292</v>
          </cell>
          <cell r="U393">
            <v>38292</v>
          </cell>
          <cell r="Y393">
            <v>38292</v>
          </cell>
          <cell r="Z393">
            <v>38322</v>
          </cell>
          <cell r="AA393">
            <v>38292</v>
          </cell>
          <cell r="AB393">
            <v>38292</v>
          </cell>
          <cell r="AC393">
            <v>38292</v>
          </cell>
          <cell r="AE393" t="e">
            <v>#DIV/0!</v>
          </cell>
        </row>
        <row r="394">
          <cell r="B394">
            <v>1057142</v>
          </cell>
          <cell r="C394">
            <v>6</v>
          </cell>
          <cell r="D394">
            <v>1055407.8494632121</v>
          </cell>
          <cell r="I394">
            <v>38260</v>
          </cell>
          <cell r="J394">
            <v>38260</v>
          </cell>
          <cell r="K394">
            <v>38260</v>
          </cell>
          <cell r="L394">
            <v>38260</v>
          </cell>
          <cell r="M394">
            <v>38260</v>
          </cell>
          <cell r="N394">
            <v>38260</v>
          </cell>
          <cell r="O394">
            <v>38260</v>
          </cell>
          <cell r="P394">
            <v>38260</v>
          </cell>
          <cell r="Q394">
            <v>38260</v>
          </cell>
          <cell r="R394">
            <v>38260</v>
          </cell>
          <cell r="S394">
            <v>38260</v>
          </cell>
          <cell r="T394">
            <v>38260</v>
          </cell>
          <cell r="U394">
            <v>38260</v>
          </cell>
          <cell r="Y394">
            <v>37529</v>
          </cell>
          <cell r="Z394">
            <v>37529</v>
          </cell>
          <cell r="AA394">
            <v>37529</v>
          </cell>
          <cell r="AB394">
            <v>37529</v>
          </cell>
          <cell r="AC394">
            <v>37529</v>
          </cell>
        </row>
        <row r="395">
          <cell r="B395">
            <v>1080403</v>
          </cell>
          <cell r="C395">
            <v>7</v>
          </cell>
          <cell r="D395">
            <v>1078630.691793158</v>
          </cell>
          <cell r="I395">
            <v>0</v>
          </cell>
          <cell r="J395">
            <v>0</v>
          </cell>
          <cell r="K395">
            <v>366</v>
          </cell>
          <cell r="L395">
            <v>0</v>
          </cell>
          <cell r="M395">
            <v>0</v>
          </cell>
          <cell r="N395">
            <v>0</v>
          </cell>
          <cell r="O395">
            <v>-31</v>
          </cell>
          <cell r="P395">
            <v>-31</v>
          </cell>
          <cell r="Q395">
            <v>-31</v>
          </cell>
          <cell r="R395">
            <v>-31</v>
          </cell>
          <cell r="S395">
            <v>-31</v>
          </cell>
          <cell r="T395">
            <v>-31</v>
          </cell>
          <cell r="U395">
            <v>-31</v>
          </cell>
          <cell r="Y395">
            <v>-762</v>
          </cell>
          <cell r="Z395">
            <v>-792</v>
          </cell>
          <cell r="AA395">
            <v>-762</v>
          </cell>
          <cell r="AB395">
            <v>-762</v>
          </cell>
          <cell r="AC395">
            <v>-762</v>
          </cell>
        </row>
        <row r="396">
          <cell r="B396">
            <v>1283718</v>
          </cell>
          <cell r="C396">
            <v>8</v>
          </cell>
          <cell r="D396">
            <v>1281612.1710207479</v>
          </cell>
          <cell r="F396">
            <v>19448546.107836813</v>
          </cell>
          <cell r="H396">
            <v>0</v>
          </cell>
          <cell r="I396">
            <v>7803511.3200159073</v>
          </cell>
          <cell r="J396">
            <v>3909845.5535597056</v>
          </cell>
          <cell r="K396">
            <v>3833433.5742532462</v>
          </cell>
          <cell r="L396">
            <v>3901755.6600079536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B397">
            <v>1662200</v>
          </cell>
          <cell r="C397">
            <v>9</v>
          </cell>
          <cell r="D397">
            <v>1659473.3038492</v>
          </cell>
        </row>
        <row r="398">
          <cell r="B398">
            <v>1564577</v>
          </cell>
          <cell r="C398">
            <v>10</v>
          </cell>
          <cell r="D398">
            <v>1562010.4459851219</v>
          </cell>
        </row>
        <row r="399">
          <cell r="B399">
            <v>1755143</v>
          </cell>
          <cell r="C399">
            <v>11</v>
          </cell>
          <cell r="D399">
            <v>1752263.8388507979</v>
          </cell>
        </row>
        <row r="400">
          <cell r="B400">
            <v>1513924</v>
          </cell>
          <cell r="C400">
            <v>12</v>
          </cell>
          <cell r="D400">
            <v>1511440.537875464</v>
          </cell>
        </row>
        <row r="401">
          <cell r="B401">
            <v>1613486</v>
          </cell>
          <cell r="C401">
            <v>13</v>
          </cell>
          <cell r="D401">
            <v>1610839.2149767959</v>
          </cell>
        </row>
        <row r="402">
          <cell r="B402">
            <v>1637080</v>
          </cell>
          <cell r="C402">
            <v>14</v>
          </cell>
          <cell r="D402">
            <v>1634394.5110488799</v>
          </cell>
        </row>
        <row r="403">
          <cell r="B403">
            <v>1836458</v>
          </cell>
          <cell r="C403">
            <v>15</v>
          </cell>
          <cell r="D403">
            <v>1833445.448586388</v>
          </cell>
          <cell r="AS403">
            <v>568116</v>
          </cell>
        </row>
        <row r="404">
          <cell r="B404">
            <v>1257357</v>
          </cell>
          <cell r="C404">
            <v>16</v>
          </cell>
          <cell r="D404">
            <v>1255294.413974202</v>
          </cell>
          <cell r="AS404">
            <v>376613</v>
          </cell>
        </row>
        <row r="405">
          <cell r="B405">
            <v>1004185</v>
          </cell>
          <cell r="C405">
            <v>17</v>
          </cell>
          <cell r="D405">
            <v>1002537.72086741</v>
          </cell>
          <cell r="AS405">
            <v>214281</v>
          </cell>
        </row>
        <row r="406">
          <cell r="B406">
            <v>978272</v>
          </cell>
          <cell r="C406">
            <v>18</v>
          </cell>
          <cell r="D406">
            <v>976667.22891539196</v>
          </cell>
          <cell r="AS406">
            <v>455327</v>
          </cell>
        </row>
        <row r="407">
          <cell r="B407">
            <v>954461</v>
          </cell>
          <cell r="C407">
            <v>19</v>
          </cell>
          <cell r="D407">
            <v>952895.28881314595</v>
          </cell>
          <cell r="AS407">
            <v>183167</v>
          </cell>
        </row>
        <row r="408">
          <cell r="B408">
            <v>934150</v>
          </cell>
          <cell r="C408">
            <v>20</v>
          </cell>
          <cell r="D408">
            <v>932617.60726189998</v>
          </cell>
          <cell r="AS408">
            <v>334039</v>
          </cell>
        </row>
        <row r="409">
          <cell r="B409">
            <v>867682</v>
          </cell>
          <cell r="C409">
            <v>21</v>
          </cell>
          <cell r="D409">
            <v>866258.64229965198</v>
          </cell>
          <cell r="U409">
            <v>1010753</v>
          </cell>
          <cell r="AS409">
            <v>515834</v>
          </cell>
        </row>
        <row r="410">
          <cell r="B410">
            <v>1116242</v>
          </cell>
          <cell r="C410">
            <v>22</v>
          </cell>
          <cell r="D410">
            <v>1114410.9009958119</v>
          </cell>
          <cell r="U410">
            <v>547210</v>
          </cell>
          <cell r="AS410">
            <v>404373</v>
          </cell>
        </row>
        <row r="411">
          <cell r="B411">
            <v>1616191</v>
          </cell>
          <cell r="C411">
            <v>23</v>
          </cell>
          <cell r="D411">
            <v>1613539.7776569258</v>
          </cell>
          <cell r="U411">
            <v>692187</v>
          </cell>
          <cell r="AS411">
            <v>440725</v>
          </cell>
        </row>
        <row r="412">
          <cell r="B412">
            <v>1763287</v>
          </cell>
          <cell r="C412">
            <v>24</v>
          </cell>
          <cell r="D412">
            <v>1760394.479319182</v>
          </cell>
          <cell r="U412">
            <v>865961</v>
          </cell>
          <cell r="AS412">
            <v>422215</v>
          </cell>
        </row>
        <row r="413">
          <cell r="B413">
            <v>1451920</v>
          </cell>
          <cell r="C413">
            <v>25</v>
          </cell>
          <cell r="D413">
            <v>1449538.25010512</v>
          </cell>
          <cell r="U413">
            <v>856729</v>
          </cell>
          <cell r="AS413">
            <v>347658</v>
          </cell>
        </row>
        <row r="414">
          <cell r="B414">
            <v>1236136</v>
          </cell>
          <cell r="C414">
            <v>26</v>
          </cell>
          <cell r="D414">
            <v>1234108.2251996959</v>
          </cell>
          <cell r="U414">
            <v>0</v>
          </cell>
          <cell r="AS414">
            <v>57691</v>
          </cell>
        </row>
        <row r="415">
          <cell r="B415">
            <v>1243414</v>
          </cell>
          <cell r="C415">
            <v>27</v>
          </cell>
          <cell r="D415">
            <v>1241374.286266604</v>
          </cell>
          <cell r="U415">
            <v>128134</v>
          </cell>
          <cell r="AS415">
            <v>294351</v>
          </cell>
        </row>
        <row r="416">
          <cell r="B416">
            <v>1322097</v>
          </cell>
          <cell r="C416">
            <v>28</v>
          </cell>
          <cell r="D416">
            <v>1319928.2135718421</v>
          </cell>
          <cell r="U416">
            <v>429315</v>
          </cell>
          <cell r="W416" t="e">
            <v>#DIV/0!</v>
          </cell>
          <cell r="AS416">
            <v>418457</v>
          </cell>
        </row>
        <row r="417">
          <cell r="B417">
            <v>1525960</v>
          </cell>
          <cell r="C417">
            <v>29</v>
          </cell>
          <cell r="D417">
            <v>1523456.79385256</v>
          </cell>
          <cell r="U417">
            <v>428633</v>
          </cell>
          <cell r="AS417">
            <v>338937</v>
          </cell>
        </row>
        <row r="418">
          <cell r="B418">
            <v>1525960</v>
          </cell>
          <cell r="C418">
            <v>30</v>
          </cell>
          <cell r="D418">
            <v>1523456.79385256</v>
          </cell>
          <cell r="U418">
            <v>221364</v>
          </cell>
          <cell r="AS418">
            <v>567763</v>
          </cell>
        </row>
        <row r="419">
          <cell r="B419">
            <v>1525960</v>
          </cell>
          <cell r="C419">
            <v>31</v>
          </cell>
          <cell r="D419">
            <v>1523456.79385256</v>
          </cell>
          <cell r="U419">
            <v>0</v>
          </cell>
          <cell r="W419" t="e">
            <v>#DIV/0!</v>
          </cell>
          <cell r="X419">
            <v>1</v>
          </cell>
          <cell r="Y419">
            <v>0</v>
          </cell>
          <cell r="AS419">
            <v>870809</v>
          </cell>
        </row>
        <row r="420">
          <cell r="B420">
            <v>2476730</v>
          </cell>
          <cell r="C420">
            <v>32</v>
          </cell>
          <cell r="D420">
            <v>2472667.1374337799</v>
          </cell>
          <cell r="U420">
            <v>0</v>
          </cell>
          <cell r="W420" t="e">
            <v>#DIV/0!</v>
          </cell>
          <cell r="X420">
            <v>2</v>
          </cell>
          <cell r="Y420">
            <v>0</v>
          </cell>
          <cell r="AS420">
            <v>869353</v>
          </cell>
        </row>
        <row r="421">
          <cell r="B421">
            <v>2476730</v>
          </cell>
          <cell r="C421">
            <v>33</v>
          </cell>
          <cell r="D421">
            <v>2472667.1374337799</v>
          </cell>
          <cell r="U421">
            <v>0</v>
          </cell>
          <cell r="W421" t="e">
            <v>#DIV/0!</v>
          </cell>
          <cell r="X421">
            <v>3</v>
          </cell>
          <cell r="Y421">
            <v>0</v>
          </cell>
          <cell r="AH421">
            <v>0</v>
          </cell>
          <cell r="AS421">
            <v>745406</v>
          </cell>
        </row>
        <row r="422">
          <cell r="B422">
            <v>2476730</v>
          </cell>
          <cell r="C422">
            <v>34</v>
          </cell>
          <cell r="D422">
            <v>2472667.1374337799</v>
          </cell>
          <cell r="U422">
            <v>0</v>
          </cell>
          <cell r="W422" t="e">
            <v>#DIV/0!</v>
          </cell>
          <cell r="X422">
            <v>4</v>
          </cell>
          <cell r="Y422">
            <v>0</v>
          </cell>
          <cell r="AH422">
            <v>0</v>
          </cell>
          <cell r="AS422">
            <v>559305</v>
          </cell>
        </row>
        <row r="423">
          <cell r="B423">
            <v>2476730</v>
          </cell>
          <cell r="C423">
            <v>35</v>
          </cell>
          <cell r="D423">
            <v>2472667.1374337799</v>
          </cell>
          <cell r="U423">
            <v>0</v>
          </cell>
          <cell r="W423" t="e">
            <v>#DIV/0!</v>
          </cell>
          <cell r="X423">
            <v>5</v>
          </cell>
          <cell r="Y423">
            <v>0</v>
          </cell>
          <cell r="AH423">
            <v>0</v>
          </cell>
          <cell r="AS423">
            <v>1106590</v>
          </cell>
        </row>
        <row r="424">
          <cell r="B424">
            <v>2476730</v>
          </cell>
          <cell r="C424">
            <v>36</v>
          </cell>
          <cell r="D424">
            <v>2472667.1374337799</v>
          </cell>
          <cell r="U424">
            <v>0</v>
          </cell>
          <cell r="W424" t="e">
            <v>#DIV/0!</v>
          </cell>
          <cell r="X424">
            <v>6</v>
          </cell>
          <cell r="Y424">
            <v>0</v>
          </cell>
          <cell r="AH424">
            <v>0</v>
          </cell>
          <cell r="AS424">
            <v>459453</v>
          </cell>
        </row>
        <row r="425">
          <cell r="B425">
            <v>2476730</v>
          </cell>
          <cell r="C425">
            <v>37</v>
          </cell>
          <cell r="D425">
            <v>2472667.1374337799</v>
          </cell>
          <cell r="U425">
            <v>0</v>
          </cell>
          <cell r="W425" t="e">
            <v>#DIV/0!</v>
          </cell>
          <cell r="X425">
            <v>7</v>
          </cell>
          <cell r="Y425">
            <v>0</v>
          </cell>
          <cell r="AH425">
            <v>0</v>
          </cell>
          <cell r="AS425">
            <v>343672</v>
          </cell>
        </row>
        <row r="426">
          <cell r="B426">
            <v>2476730</v>
          </cell>
          <cell r="C426">
            <v>38</v>
          </cell>
          <cell r="D426">
            <v>2472667.1374337799</v>
          </cell>
          <cell r="U426">
            <v>545334</v>
          </cell>
          <cell r="W426" t="e">
            <v>#DIV/0!</v>
          </cell>
          <cell r="X426">
            <v>8</v>
          </cell>
          <cell r="Y426">
            <v>0</v>
          </cell>
          <cell r="AH426">
            <v>0</v>
          </cell>
          <cell r="AS426">
            <v>0</v>
          </cell>
        </row>
        <row r="427">
          <cell r="B427">
            <v>2476730</v>
          </cell>
          <cell r="C427">
            <v>39</v>
          </cell>
          <cell r="D427">
            <v>2472667.1374337799</v>
          </cell>
          <cell r="U427">
            <v>752312</v>
          </cell>
          <cell r="W427" t="e">
            <v>#DIV/0!</v>
          </cell>
          <cell r="X427">
            <v>9</v>
          </cell>
          <cell r="Y427">
            <v>0</v>
          </cell>
          <cell r="AH427">
            <v>0</v>
          </cell>
          <cell r="AS427">
            <v>224757</v>
          </cell>
        </row>
        <row r="428">
          <cell r="B428">
            <v>2243798</v>
          </cell>
          <cell r="C428">
            <v>40</v>
          </cell>
          <cell r="D428">
            <v>2240117.2423476279</v>
          </cell>
          <cell r="U428">
            <v>568991</v>
          </cell>
          <cell r="W428" t="e">
            <v>#DIV/0!</v>
          </cell>
          <cell r="X428">
            <v>10</v>
          </cell>
          <cell r="Y428">
            <v>0</v>
          </cell>
          <cell r="AH428">
            <v>0</v>
          </cell>
          <cell r="AS428">
            <v>424407</v>
          </cell>
        </row>
        <row r="429">
          <cell r="B429">
            <v>2434030</v>
          </cell>
          <cell r="C429">
            <v>41</v>
          </cell>
          <cell r="D429">
            <v>2430037.1831115801</v>
          </cell>
          <cell r="U429">
            <v>893258</v>
          </cell>
          <cell r="W429" t="e">
            <v>#DIV/0!</v>
          </cell>
          <cell r="X429">
            <v>11</v>
          </cell>
          <cell r="Y429">
            <v>0</v>
          </cell>
          <cell r="AH429">
            <v>0</v>
          </cell>
          <cell r="AS429">
            <v>354609</v>
          </cell>
        </row>
        <row r="430">
          <cell r="B430">
            <v>2388816</v>
          </cell>
          <cell r="C430">
            <v>42</v>
          </cell>
          <cell r="D430">
            <v>2384897.3527901759</v>
          </cell>
          <cell r="U430">
            <v>1128283</v>
          </cell>
          <cell r="W430" t="e">
            <v>#DIV/0!</v>
          </cell>
          <cell r="X430">
            <v>12</v>
          </cell>
          <cell r="Y430">
            <v>0</v>
          </cell>
          <cell r="AH430">
            <v>0</v>
          </cell>
          <cell r="AS430">
            <v>427933</v>
          </cell>
        </row>
        <row r="431">
          <cell r="B431">
            <v>2476730</v>
          </cell>
          <cell r="C431">
            <v>43</v>
          </cell>
          <cell r="D431">
            <v>2472667.1374337799</v>
          </cell>
          <cell r="U431">
            <v>787514</v>
          </cell>
          <cell r="W431" t="e">
            <v>#DIV/0!</v>
          </cell>
          <cell r="X431">
            <v>13</v>
          </cell>
          <cell r="Y431">
            <v>0</v>
          </cell>
          <cell r="AH431">
            <v>0</v>
          </cell>
          <cell r="AS431">
            <v>82597</v>
          </cell>
        </row>
        <row r="432">
          <cell r="B432">
            <v>2476730</v>
          </cell>
          <cell r="C432">
            <v>44</v>
          </cell>
          <cell r="D432">
            <v>2472667.1374337799</v>
          </cell>
          <cell r="U432">
            <v>528143</v>
          </cell>
          <cell r="W432" t="e">
            <v>#DIV/0!</v>
          </cell>
          <cell r="X432">
            <v>14</v>
          </cell>
          <cell r="Y432">
            <v>0</v>
          </cell>
          <cell r="AH432">
            <v>0</v>
          </cell>
          <cell r="AS432">
            <v>0</v>
          </cell>
        </row>
        <row r="433">
          <cell r="B433">
            <v>2329656</v>
          </cell>
          <cell r="C433">
            <v>45</v>
          </cell>
          <cell r="D433">
            <v>2325834.3996824161</v>
          </cell>
          <cell r="U433">
            <v>0</v>
          </cell>
          <cell r="W433" t="e">
            <v>#DIV/0!</v>
          </cell>
          <cell r="X433">
            <v>15</v>
          </cell>
          <cell r="Y433">
            <v>0</v>
          </cell>
          <cell r="AH433">
            <v>0</v>
          </cell>
          <cell r="AS433">
            <v>215813</v>
          </cell>
        </row>
        <row r="434">
          <cell r="B434">
            <v>2461729</v>
          </cell>
          <cell r="C434">
            <v>46</v>
          </cell>
          <cell r="D434">
            <v>2457690.7452841941</v>
          </cell>
          <cell r="U434">
            <v>0</v>
          </cell>
          <cell r="W434" t="e">
            <v>#DIV/0!</v>
          </cell>
          <cell r="X434">
            <v>16</v>
          </cell>
          <cell r="Y434">
            <v>0</v>
          </cell>
          <cell r="AH434">
            <v>0</v>
          </cell>
          <cell r="AS434">
            <v>418287</v>
          </cell>
        </row>
        <row r="435">
          <cell r="B435">
            <v>2476730</v>
          </cell>
          <cell r="C435">
            <v>47</v>
          </cell>
          <cell r="D435">
            <v>2472667.1374337799</v>
          </cell>
          <cell r="U435">
            <v>489406</v>
          </cell>
          <cell r="W435" t="e">
            <v>#DIV/0!</v>
          </cell>
          <cell r="X435">
            <v>17</v>
          </cell>
          <cell r="Y435">
            <v>0</v>
          </cell>
          <cell r="AH435">
            <v>0</v>
          </cell>
          <cell r="AS435">
            <v>418551</v>
          </cell>
        </row>
        <row r="436">
          <cell r="B436">
            <v>2476730</v>
          </cell>
          <cell r="C436">
            <v>48</v>
          </cell>
          <cell r="D436">
            <v>2472667.1374337799</v>
          </cell>
          <cell r="U436">
            <v>608918</v>
          </cell>
          <cell r="W436" t="e">
            <v>#DIV/0!</v>
          </cell>
          <cell r="X436">
            <v>18</v>
          </cell>
          <cell r="Y436">
            <v>0</v>
          </cell>
          <cell r="AH436">
            <v>0</v>
          </cell>
          <cell r="AS436">
            <v>409761</v>
          </cell>
        </row>
        <row r="437">
          <cell r="B437">
            <v>2108123</v>
          </cell>
          <cell r="C437">
            <v>49</v>
          </cell>
          <cell r="D437">
            <v>2104664.8055170779</v>
          </cell>
          <cell r="U437">
            <v>644591</v>
          </cell>
          <cell r="W437" t="e">
            <v>#DIV/0!</v>
          </cell>
          <cell r="X437">
            <v>19</v>
          </cell>
          <cell r="Y437">
            <v>0</v>
          </cell>
          <cell r="AH437">
            <v>0</v>
          </cell>
          <cell r="AS437">
            <v>1106590</v>
          </cell>
        </row>
        <row r="438">
          <cell r="B438">
            <v>2476730</v>
          </cell>
          <cell r="C438">
            <v>50</v>
          </cell>
          <cell r="D438">
            <v>2472667.1374337799</v>
          </cell>
          <cell r="U438">
            <v>618734</v>
          </cell>
          <cell r="W438" t="e">
            <v>#DIV/0!</v>
          </cell>
          <cell r="X438">
            <v>20</v>
          </cell>
          <cell r="Y438">
            <v>0</v>
          </cell>
          <cell r="AH438">
            <v>0</v>
          </cell>
          <cell r="AS438">
            <v>776444</v>
          </cell>
        </row>
        <row r="439">
          <cell r="B439">
            <v>2476730</v>
          </cell>
          <cell r="C439">
            <v>51</v>
          </cell>
          <cell r="D439">
            <v>2472667.1374337799</v>
          </cell>
          <cell r="U439">
            <v>904955</v>
          </cell>
          <cell r="W439" t="e">
            <v>#DIV/0!</v>
          </cell>
          <cell r="X439">
            <v>21</v>
          </cell>
          <cell r="Y439">
            <v>0</v>
          </cell>
          <cell r="AH439">
            <v>0</v>
          </cell>
          <cell r="AS439">
            <v>607225</v>
          </cell>
        </row>
        <row r="440">
          <cell r="B440">
            <v>2476730</v>
          </cell>
          <cell r="C440">
            <v>52</v>
          </cell>
          <cell r="D440">
            <v>2472667.1374337799</v>
          </cell>
          <cell r="U440">
            <v>938738</v>
          </cell>
          <cell r="W440" t="e">
            <v>#DIV/0!</v>
          </cell>
          <cell r="X440">
            <v>22</v>
          </cell>
          <cell r="Y440">
            <v>0</v>
          </cell>
          <cell r="AH440">
            <v>0</v>
          </cell>
          <cell r="AS440">
            <v>1106590</v>
          </cell>
        </row>
        <row r="441">
          <cell r="B441">
            <v>2476730</v>
          </cell>
          <cell r="C441">
            <v>53</v>
          </cell>
          <cell r="D441">
            <v>2472667.1374337799</v>
          </cell>
          <cell r="U441">
            <v>1071696</v>
          </cell>
          <cell r="W441" t="e">
            <v>#DIV/0!</v>
          </cell>
          <cell r="X441">
            <v>23</v>
          </cell>
          <cell r="Y441">
            <v>0</v>
          </cell>
          <cell r="AH441">
            <v>0</v>
          </cell>
          <cell r="AS441">
            <v>905265</v>
          </cell>
        </row>
        <row r="442">
          <cell r="B442">
            <v>2476730</v>
          </cell>
          <cell r="C442">
            <v>54</v>
          </cell>
          <cell r="D442">
            <v>2472667.1374337799</v>
          </cell>
          <cell r="U442">
            <v>736598</v>
          </cell>
          <cell r="W442" t="e">
            <v>#DIV/0!</v>
          </cell>
          <cell r="X442">
            <v>24</v>
          </cell>
          <cell r="Y442">
            <v>0</v>
          </cell>
          <cell r="AH442">
            <v>0</v>
          </cell>
          <cell r="AS442">
            <v>500668</v>
          </cell>
        </row>
        <row r="443">
          <cell r="B443">
            <v>2476730</v>
          </cell>
          <cell r="C443">
            <v>55</v>
          </cell>
          <cell r="D443">
            <v>2472667.1374337799</v>
          </cell>
          <cell r="U443">
            <v>573554</v>
          </cell>
          <cell r="W443" t="e">
            <v>#DIV/0!</v>
          </cell>
          <cell r="X443">
            <v>25</v>
          </cell>
          <cell r="Y443">
            <v>0</v>
          </cell>
          <cell r="AH443">
            <v>0</v>
          </cell>
          <cell r="AS443">
            <v>90773</v>
          </cell>
        </row>
        <row r="444">
          <cell r="B444">
            <v>2476730</v>
          </cell>
          <cell r="C444">
            <v>56</v>
          </cell>
          <cell r="D444">
            <v>2472667.1374337799</v>
          </cell>
          <cell r="U444">
            <v>777684</v>
          </cell>
          <cell r="W444" t="e">
            <v>#DIV/0!</v>
          </cell>
          <cell r="X444">
            <v>26</v>
          </cell>
          <cell r="Y444">
            <v>0</v>
          </cell>
          <cell r="AH444">
            <v>0</v>
          </cell>
          <cell r="AS444">
            <v>446276</v>
          </cell>
        </row>
        <row r="445">
          <cell r="B445">
            <v>2476730</v>
          </cell>
          <cell r="C445">
            <v>57</v>
          </cell>
          <cell r="D445">
            <v>2472667.1374337799</v>
          </cell>
          <cell r="U445">
            <v>1071976</v>
          </cell>
          <cell r="W445" t="e">
            <v>#DIV/0!</v>
          </cell>
          <cell r="X445">
            <v>27</v>
          </cell>
          <cell r="Y445">
            <v>0</v>
          </cell>
          <cell r="AH445">
            <v>0</v>
          </cell>
          <cell r="AS445">
            <v>366789</v>
          </cell>
        </row>
        <row r="446">
          <cell r="B446">
            <v>2476730</v>
          </cell>
          <cell r="C446">
            <v>58</v>
          </cell>
          <cell r="D446">
            <v>2472667.1374337799</v>
          </cell>
          <cell r="U446">
            <v>1210809</v>
          </cell>
          <cell r="W446" t="e">
            <v>#DIV/0!</v>
          </cell>
          <cell r="X446">
            <v>28</v>
          </cell>
          <cell r="Y446">
            <v>0</v>
          </cell>
          <cell r="AH446">
            <v>0</v>
          </cell>
          <cell r="AS446">
            <v>312618</v>
          </cell>
        </row>
        <row r="447">
          <cell r="B447">
            <v>2460917</v>
          </cell>
          <cell r="C447">
            <v>59</v>
          </cell>
          <cell r="D447">
            <v>2456880.0773003618</v>
          </cell>
          <cell r="U447">
            <v>1052037</v>
          </cell>
          <cell r="W447" t="e">
            <v>#DIV/0!</v>
          </cell>
          <cell r="X447">
            <v>29</v>
          </cell>
          <cell r="Y447">
            <v>0</v>
          </cell>
          <cell r="AH447">
            <v>0</v>
          </cell>
          <cell r="AS447">
            <v>0</v>
          </cell>
        </row>
        <row r="448">
          <cell r="B448">
            <v>2290574</v>
          </cell>
          <cell r="C448">
            <v>60</v>
          </cell>
          <cell r="D448">
            <v>2286816.5103423637</v>
          </cell>
          <cell r="U448">
            <v>1103127</v>
          </cell>
          <cell r="W448" t="e">
            <v>#DIV/0!</v>
          </cell>
          <cell r="X448">
            <v>30</v>
          </cell>
          <cell r="Y448">
            <v>0</v>
          </cell>
          <cell r="AH448">
            <v>0</v>
          </cell>
          <cell r="AS448">
            <v>0</v>
          </cell>
        </row>
        <row r="449">
          <cell r="B449">
            <v>2476730</v>
          </cell>
          <cell r="C449">
            <v>61</v>
          </cell>
          <cell r="D449">
            <v>2472667.1374337799</v>
          </cell>
          <cell r="U449">
            <v>189345</v>
          </cell>
          <cell r="W449" t="e">
            <v>#DIV/0!</v>
          </cell>
          <cell r="X449">
            <v>31</v>
          </cell>
          <cell r="Y449">
            <v>0</v>
          </cell>
          <cell r="AH449">
            <v>0</v>
          </cell>
          <cell r="AS449">
            <v>0</v>
          </cell>
        </row>
        <row r="450">
          <cell r="B450">
            <v>2621860</v>
          </cell>
          <cell r="C450">
            <v>62</v>
          </cell>
          <cell r="D450">
            <v>2617559.0641499599</v>
          </cell>
          <cell r="U450">
            <v>789701</v>
          </cell>
          <cell r="W450" t="e">
            <v>#DIV/0!</v>
          </cell>
          <cell r="X450">
            <v>32</v>
          </cell>
          <cell r="Y450">
            <v>48330</v>
          </cell>
          <cell r="AH450">
            <v>0</v>
          </cell>
          <cell r="AS450">
            <v>0</v>
          </cell>
        </row>
        <row r="451">
          <cell r="B451">
            <v>2621860</v>
          </cell>
          <cell r="C451">
            <v>63</v>
          </cell>
          <cell r="D451">
            <v>2617559.0641499599</v>
          </cell>
          <cell r="U451">
            <v>1611145</v>
          </cell>
          <cell r="W451" t="e">
            <v>#DIV/0!</v>
          </cell>
          <cell r="X451">
            <v>33</v>
          </cell>
          <cell r="Y451">
            <v>48330</v>
          </cell>
          <cell r="AH451">
            <v>0</v>
          </cell>
          <cell r="AS451">
            <v>0</v>
          </cell>
        </row>
        <row r="452">
          <cell r="B452">
            <v>2621860</v>
          </cell>
          <cell r="C452">
            <v>64</v>
          </cell>
          <cell r="D452">
            <v>2617559.0641499599</v>
          </cell>
          <cell r="U452">
            <v>1188227</v>
          </cell>
          <cell r="W452" t="e">
            <v>#DIV/0!</v>
          </cell>
          <cell r="X452">
            <v>34</v>
          </cell>
          <cell r="Y452">
            <v>48330</v>
          </cell>
          <cell r="AH452">
            <v>0</v>
          </cell>
          <cell r="AS452">
            <v>0</v>
          </cell>
        </row>
        <row r="453">
          <cell r="B453">
            <v>2621860</v>
          </cell>
          <cell r="C453">
            <v>65</v>
          </cell>
          <cell r="D453">
            <v>2617559.0641499599</v>
          </cell>
          <cell r="U453">
            <v>599559</v>
          </cell>
          <cell r="W453" t="e">
            <v>#DIV/0!</v>
          </cell>
          <cell r="X453">
            <v>35</v>
          </cell>
          <cell r="Y453">
            <v>48330</v>
          </cell>
          <cell r="AH453">
            <v>0</v>
          </cell>
          <cell r="AS453">
            <v>0</v>
          </cell>
        </row>
        <row r="454">
          <cell r="B454">
            <v>2621860</v>
          </cell>
          <cell r="C454">
            <v>66</v>
          </cell>
          <cell r="D454">
            <v>2617559.0641499599</v>
          </cell>
          <cell r="U454">
            <v>240383</v>
          </cell>
          <cell r="W454" t="e">
            <v>#DIV/0!</v>
          </cell>
          <cell r="X454">
            <v>36</v>
          </cell>
          <cell r="Y454">
            <v>48330</v>
          </cell>
          <cell r="AH454">
            <v>0</v>
          </cell>
          <cell r="AS454">
            <v>0</v>
          </cell>
        </row>
        <row r="455">
          <cell r="B455">
            <v>2621860</v>
          </cell>
          <cell r="C455">
            <v>67</v>
          </cell>
          <cell r="D455">
            <v>2617559.0641499599</v>
          </cell>
          <cell r="U455">
            <v>296542</v>
          </cell>
          <cell r="W455" t="e">
            <v>#DIV/0!</v>
          </cell>
          <cell r="X455">
            <v>37</v>
          </cell>
          <cell r="Y455">
            <v>48330</v>
          </cell>
          <cell r="AH455">
            <v>0</v>
          </cell>
          <cell r="AS455">
            <v>0</v>
          </cell>
        </row>
        <row r="456">
          <cell r="B456">
            <v>2621860</v>
          </cell>
          <cell r="C456">
            <v>68</v>
          </cell>
          <cell r="D456">
            <v>2617559.0641499599</v>
          </cell>
          <cell r="U456">
            <v>290422</v>
          </cell>
          <cell r="W456" t="e">
            <v>#DIV/0!</v>
          </cell>
          <cell r="X456">
            <v>38</v>
          </cell>
          <cell r="Y456">
            <v>48330</v>
          </cell>
          <cell r="AH456">
            <v>0</v>
          </cell>
          <cell r="AS456">
            <v>0</v>
          </cell>
        </row>
        <row r="457">
          <cell r="B457">
            <v>2621860</v>
          </cell>
          <cell r="C457">
            <v>69</v>
          </cell>
          <cell r="D457">
            <v>2617559.0641499599</v>
          </cell>
          <cell r="U457">
            <v>440710</v>
          </cell>
          <cell r="W457" t="e">
            <v>#DIV/0!</v>
          </cell>
          <cell r="X457">
            <v>39</v>
          </cell>
          <cell r="Y457">
            <v>48330</v>
          </cell>
          <cell r="AH457">
            <v>0</v>
          </cell>
          <cell r="AS457">
            <v>0</v>
          </cell>
        </row>
        <row r="458">
          <cell r="B458">
            <v>2621860</v>
          </cell>
          <cell r="C458">
            <v>70</v>
          </cell>
          <cell r="D458">
            <v>2617559.0641499599</v>
          </cell>
          <cell r="U458">
            <v>827433</v>
          </cell>
          <cell r="W458" t="e">
            <v>#DIV/0!</v>
          </cell>
          <cell r="X458">
            <v>40</v>
          </cell>
          <cell r="Y458">
            <v>48330</v>
          </cell>
          <cell r="AH458">
            <v>0</v>
          </cell>
          <cell r="AS458">
            <v>0</v>
          </cell>
        </row>
        <row r="459">
          <cell r="B459">
            <v>2621860</v>
          </cell>
          <cell r="C459">
            <v>71</v>
          </cell>
          <cell r="D459">
            <v>2617559.0641499599</v>
          </cell>
          <cell r="U459">
            <v>786802</v>
          </cell>
          <cell r="W459" t="e">
            <v>#DIV/0!</v>
          </cell>
          <cell r="X459">
            <v>41</v>
          </cell>
          <cell r="Y459">
            <v>48330</v>
          </cell>
          <cell r="AH459">
            <v>0</v>
          </cell>
          <cell r="AS459">
            <v>0</v>
          </cell>
        </row>
        <row r="460">
          <cell r="B460">
            <v>2621860</v>
          </cell>
          <cell r="C460">
            <v>72</v>
          </cell>
          <cell r="D460">
            <v>2617559.0641499599</v>
          </cell>
          <cell r="U460">
            <v>1164533</v>
          </cell>
          <cell r="W460" t="e">
            <v>#DIV/0!</v>
          </cell>
          <cell r="X460">
            <v>42</v>
          </cell>
          <cell r="Y460">
            <v>48330</v>
          </cell>
          <cell r="AH460">
            <v>0</v>
          </cell>
          <cell r="AS460">
            <v>0</v>
          </cell>
        </row>
        <row r="461">
          <cell r="B461">
            <v>2621860</v>
          </cell>
          <cell r="C461">
            <v>73</v>
          </cell>
          <cell r="D461">
            <v>2617559.0641499599</v>
          </cell>
          <cell r="U461">
            <v>1414350</v>
          </cell>
          <cell r="W461" t="e">
            <v>#DIV/0!</v>
          </cell>
          <cell r="X461">
            <v>43</v>
          </cell>
          <cell r="Y461">
            <v>48330</v>
          </cell>
          <cell r="AH461">
            <v>0</v>
          </cell>
          <cell r="AS461">
            <v>0</v>
          </cell>
        </row>
        <row r="462">
          <cell r="B462">
            <v>2621860</v>
          </cell>
          <cell r="C462">
            <v>74</v>
          </cell>
          <cell r="D462">
            <v>2617559.0641499599</v>
          </cell>
          <cell r="U462">
            <v>1174268</v>
          </cell>
          <cell r="W462" t="e">
            <v>#DIV/0!</v>
          </cell>
          <cell r="X462">
            <v>44</v>
          </cell>
          <cell r="Y462">
            <v>48330</v>
          </cell>
          <cell r="AH462">
            <v>0</v>
          </cell>
          <cell r="AS462">
            <v>0</v>
          </cell>
        </row>
        <row r="463">
          <cell r="B463">
            <v>2621860</v>
          </cell>
          <cell r="C463">
            <v>75</v>
          </cell>
          <cell r="D463">
            <v>2617559.0641499599</v>
          </cell>
          <cell r="U463">
            <v>1198777</v>
          </cell>
          <cell r="W463" t="e">
            <v>#DIV/0!</v>
          </cell>
          <cell r="X463">
            <v>45</v>
          </cell>
          <cell r="Y463">
            <v>48330</v>
          </cell>
          <cell r="AH463">
            <v>0</v>
          </cell>
          <cell r="AS463">
            <v>0</v>
          </cell>
        </row>
        <row r="464">
          <cell r="B464">
            <v>2621860</v>
          </cell>
          <cell r="C464">
            <v>76</v>
          </cell>
          <cell r="D464">
            <v>2617559.0641499599</v>
          </cell>
          <cell r="U464">
            <v>1313786</v>
          </cell>
          <cell r="W464" t="e">
            <v>#DIV/0!</v>
          </cell>
          <cell r="X464">
            <v>46</v>
          </cell>
          <cell r="Y464">
            <v>48330</v>
          </cell>
          <cell r="AH464">
            <v>0</v>
          </cell>
          <cell r="AS464">
            <v>0</v>
          </cell>
        </row>
        <row r="465">
          <cell r="B465">
            <v>2621860</v>
          </cell>
          <cell r="C465">
            <v>77</v>
          </cell>
          <cell r="D465">
            <v>2617559.0641499599</v>
          </cell>
          <cell r="U465">
            <v>1651456</v>
          </cell>
          <cell r="W465" t="e">
            <v>#DIV/0!</v>
          </cell>
          <cell r="X465">
            <v>47</v>
          </cell>
          <cell r="Y465">
            <v>48330</v>
          </cell>
          <cell r="AH465">
            <v>0</v>
          </cell>
          <cell r="AS465">
            <v>0</v>
          </cell>
        </row>
        <row r="466">
          <cell r="B466">
            <v>2621860</v>
          </cell>
          <cell r="C466">
            <v>78</v>
          </cell>
          <cell r="D466">
            <v>2617559.0641499599</v>
          </cell>
          <cell r="U466">
            <v>1706440</v>
          </cell>
          <cell r="W466" t="e">
            <v>#DIV/0!</v>
          </cell>
          <cell r="X466">
            <v>48</v>
          </cell>
          <cell r="Y466">
            <v>48330</v>
          </cell>
          <cell r="AH466">
            <v>0</v>
          </cell>
          <cell r="AS466">
            <v>0</v>
          </cell>
        </row>
        <row r="467">
          <cell r="B467">
            <v>2621860</v>
          </cell>
          <cell r="C467">
            <v>79</v>
          </cell>
          <cell r="D467">
            <v>2617559.0641499599</v>
          </cell>
          <cell r="U467">
            <v>1706440</v>
          </cell>
          <cell r="W467" t="e">
            <v>#DIV/0!</v>
          </cell>
          <cell r="X467">
            <v>49</v>
          </cell>
          <cell r="Y467">
            <v>48330</v>
          </cell>
          <cell r="AH467">
            <v>0</v>
          </cell>
          <cell r="AS467">
            <v>0</v>
          </cell>
        </row>
        <row r="468">
          <cell r="B468">
            <v>2621860</v>
          </cell>
          <cell r="C468">
            <v>80</v>
          </cell>
          <cell r="D468">
            <v>2617559.0641499599</v>
          </cell>
          <cell r="U468">
            <v>1706440</v>
          </cell>
          <cell r="W468" t="e">
            <v>#DIV/0!</v>
          </cell>
          <cell r="X468">
            <v>50</v>
          </cell>
          <cell r="Y468">
            <v>48330</v>
          </cell>
          <cell r="AH468">
            <v>0</v>
          </cell>
          <cell r="AS468">
            <v>0</v>
          </cell>
        </row>
        <row r="469">
          <cell r="B469">
            <v>2621860</v>
          </cell>
          <cell r="C469">
            <v>81</v>
          </cell>
          <cell r="D469">
            <v>2617559.0641499599</v>
          </cell>
          <cell r="U469">
            <v>1273752</v>
          </cell>
          <cell r="W469" t="e">
            <v>#DIV/0!</v>
          </cell>
          <cell r="X469">
            <v>51</v>
          </cell>
          <cell r="Y469">
            <v>48330</v>
          </cell>
          <cell r="AH469">
            <v>0</v>
          </cell>
          <cell r="AS469">
            <v>0</v>
          </cell>
        </row>
        <row r="470">
          <cell r="B470">
            <v>2621860</v>
          </cell>
          <cell r="C470">
            <v>82</v>
          </cell>
          <cell r="D470">
            <v>2617559.0641499599</v>
          </cell>
          <cell r="U470">
            <v>994319</v>
          </cell>
          <cell r="W470" t="e">
            <v>#DIV/0!</v>
          </cell>
          <cell r="X470">
            <v>52</v>
          </cell>
          <cell r="Y470">
            <v>48330</v>
          </cell>
          <cell r="AH470">
            <v>0</v>
          </cell>
          <cell r="AS470">
            <v>0</v>
          </cell>
        </row>
        <row r="471">
          <cell r="B471">
            <v>2621860</v>
          </cell>
          <cell r="C471">
            <v>83</v>
          </cell>
          <cell r="D471">
            <v>2617559.0641499599</v>
          </cell>
          <cell r="U471">
            <v>1032584</v>
          </cell>
          <cell r="W471" t="e">
            <v>#DIV/0!</v>
          </cell>
          <cell r="X471">
            <v>53</v>
          </cell>
          <cell r="Y471">
            <v>48330</v>
          </cell>
          <cell r="AH471">
            <v>0</v>
          </cell>
          <cell r="AS471">
            <v>0</v>
          </cell>
        </row>
        <row r="472">
          <cell r="B472">
            <v>2621860</v>
          </cell>
          <cell r="C472">
            <v>84</v>
          </cell>
          <cell r="D472">
            <v>2617559.0641499599</v>
          </cell>
          <cell r="U472">
            <v>1090534</v>
          </cell>
          <cell r="W472" t="e">
            <v>#DIV/0!</v>
          </cell>
          <cell r="X472">
            <v>54</v>
          </cell>
          <cell r="Y472">
            <v>48330</v>
          </cell>
          <cell r="AH472">
            <v>0</v>
          </cell>
          <cell r="AS472">
            <v>0</v>
          </cell>
        </row>
        <row r="473">
          <cell r="B473">
            <v>2621860</v>
          </cell>
          <cell r="C473">
            <v>85</v>
          </cell>
          <cell r="D473">
            <v>2617559.0641499599</v>
          </cell>
          <cell r="U473">
            <v>680084</v>
          </cell>
          <cell r="W473" t="e">
            <v>#DIV/0!</v>
          </cell>
          <cell r="X473">
            <v>55</v>
          </cell>
          <cell r="Y473">
            <v>48330</v>
          </cell>
          <cell r="AH473">
            <v>0</v>
          </cell>
          <cell r="AS473">
            <v>0</v>
          </cell>
        </row>
        <row r="474">
          <cell r="B474">
            <v>2621860</v>
          </cell>
          <cell r="C474">
            <v>86</v>
          </cell>
          <cell r="D474">
            <v>2617559.0641499599</v>
          </cell>
          <cell r="U474">
            <v>1342416</v>
          </cell>
          <cell r="W474" t="e">
            <v>#DIV/0!</v>
          </cell>
          <cell r="X474">
            <v>56</v>
          </cell>
          <cell r="Y474">
            <v>48330</v>
          </cell>
          <cell r="AH474">
            <v>0</v>
          </cell>
          <cell r="AS474">
            <v>0</v>
          </cell>
        </row>
        <row r="475">
          <cell r="B475">
            <v>2621860</v>
          </cell>
          <cell r="C475">
            <v>87</v>
          </cell>
          <cell r="D475">
            <v>2617559.0641499599</v>
          </cell>
          <cell r="U475">
            <v>1706440</v>
          </cell>
          <cell r="W475" t="e">
            <v>#DIV/0!</v>
          </cell>
          <cell r="X475">
            <v>57</v>
          </cell>
          <cell r="Y475">
            <v>48330</v>
          </cell>
          <cell r="AH475">
            <v>0</v>
          </cell>
          <cell r="AS475">
            <v>0</v>
          </cell>
        </row>
        <row r="476">
          <cell r="B476">
            <v>2621860</v>
          </cell>
          <cell r="C476">
            <v>88</v>
          </cell>
          <cell r="D476">
            <v>2617559.0641499599</v>
          </cell>
          <cell r="U476">
            <v>502083</v>
          </cell>
          <cell r="W476" t="e">
            <v>#DIV/0!</v>
          </cell>
          <cell r="X476">
            <v>58</v>
          </cell>
          <cell r="Y476">
            <v>48330</v>
          </cell>
          <cell r="AH476">
            <v>0</v>
          </cell>
          <cell r="AS476">
            <v>0</v>
          </cell>
        </row>
        <row r="477">
          <cell r="B477">
            <v>2621860</v>
          </cell>
          <cell r="C477">
            <v>89</v>
          </cell>
          <cell r="D477">
            <v>2617559.0641499599</v>
          </cell>
          <cell r="U477">
            <v>637318</v>
          </cell>
          <cell r="W477" t="e">
            <v>#DIV/0!</v>
          </cell>
          <cell r="X477">
            <v>59</v>
          </cell>
          <cell r="Y477">
            <v>48330</v>
          </cell>
          <cell r="AH477">
            <v>0</v>
          </cell>
          <cell r="AS477">
            <v>0</v>
          </cell>
        </row>
        <row r="478">
          <cell r="B478">
            <v>2621860</v>
          </cell>
          <cell r="C478">
            <v>90</v>
          </cell>
          <cell r="D478">
            <v>2617559.0641499599</v>
          </cell>
          <cell r="U478">
            <v>973149</v>
          </cell>
          <cell r="W478" t="e">
            <v>#DIV/0!</v>
          </cell>
          <cell r="X478">
            <v>60</v>
          </cell>
          <cell r="Y478">
            <v>48330</v>
          </cell>
          <cell r="AH478">
            <v>0</v>
          </cell>
          <cell r="AS478">
            <v>0</v>
          </cell>
        </row>
        <row r="479">
          <cell r="B479">
            <v>2824414</v>
          </cell>
          <cell r="C479">
            <v>91</v>
          </cell>
          <cell r="D479">
            <v>2819780.7917326037</v>
          </cell>
          <cell r="U479">
            <v>1517891</v>
          </cell>
          <cell r="W479" t="e">
            <v>#DIV/0!</v>
          </cell>
          <cell r="X479">
            <v>61</v>
          </cell>
          <cell r="Y479">
            <v>48330</v>
          </cell>
          <cell r="AH479">
            <v>0</v>
          </cell>
          <cell r="AS479">
            <v>0</v>
          </cell>
        </row>
        <row r="480">
          <cell r="B480">
            <v>2621860</v>
          </cell>
          <cell r="C480">
            <v>92</v>
          </cell>
          <cell r="D480">
            <v>2617559.0641499599</v>
          </cell>
          <cell r="U480">
            <v>1706440</v>
          </cell>
          <cell r="W480" t="e">
            <v>#DIV/0!</v>
          </cell>
          <cell r="X480">
            <v>62</v>
          </cell>
          <cell r="Y480">
            <v>48330</v>
          </cell>
          <cell r="AH480">
            <v>0</v>
          </cell>
          <cell r="AS480">
            <v>0</v>
          </cell>
        </row>
        <row r="481">
          <cell r="B481">
            <v>2621860</v>
          </cell>
          <cell r="C481">
            <v>93</v>
          </cell>
          <cell r="D481">
            <v>2617559.0641499599</v>
          </cell>
          <cell r="U481">
            <v>1706440</v>
          </cell>
          <cell r="W481" t="e">
            <v>#DIV/0!</v>
          </cell>
          <cell r="X481">
            <v>63</v>
          </cell>
          <cell r="Y481">
            <v>48330</v>
          </cell>
          <cell r="AH481">
            <v>0</v>
          </cell>
          <cell r="AS481">
            <v>0</v>
          </cell>
        </row>
        <row r="482">
          <cell r="B482">
            <v>2621860</v>
          </cell>
          <cell r="C482">
            <v>94</v>
          </cell>
          <cell r="D482">
            <v>2617559.0641499599</v>
          </cell>
          <cell r="U482">
            <v>1572234</v>
          </cell>
          <cell r="W482" t="e">
            <v>#DIV/0!</v>
          </cell>
          <cell r="X482">
            <v>64</v>
          </cell>
          <cell r="Y482">
            <v>48330</v>
          </cell>
          <cell r="AH482">
            <v>0</v>
          </cell>
          <cell r="AS482">
            <v>0</v>
          </cell>
        </row>
        <row r="483">
          <cell r="B483">
            <v>2621860</v>
          </cell>
          <cell r="C483">
            <v>95</v>
          </cell>
          <cell r="D483">
            <v>2617559.0641499599</v>
          </cell>
          <cell r="U483">
            <v>1339242</v>
          </cell>
          <cell r="W483" t="e">
            <v>#DIV/0!</v>
          </cell>
          <cell r="X483">
            <v>65</v>
          </cell>
          <cell r="Y483">
            <v>48330</v>
          </cell>
          <cell r="AH483">
            <v>0</v>
          </cell>
          <cell r="AS483">
            <v>0</v>
          </cell>
        </row>
        <row r="484">
          <cell r="B484">
            <v>3616343</v>
          </cell>
          <cell r="C484">
            <v>96</v>
          </cell>
          <cell r="D484">
            <v>3610410.7003139979</v>
          </cell>
          <cell r="U484">
            <v>1706440</v>
          </cell>
          <cell r="W484" t="e">
            <v>#DIV/0!</v>
          </cell>
          <cell r="X484">
            <v>66</v>
          </cell>
          <cell r="Y484">
            <v>48330</v>
          </cell>
          <cell r="AH484">
            <v>0</v>
          </cell>
          <cell r="AS484">
            <v>0</v>
          </cell>
        </row>
        <row r="485">
          <cell r="B485">
            <v>3829506</v>
          </cell>
          <cell r="C485">
            <v>97</v>
          </cell>
          <cell r="D485">
            <v>3823224.0247445158</v>
          </cell>
          <cell r="U485">
            <v>1238923</v>
          </cell>
          <cell r="W485" t="e">
            <v>#DIV/0!</v>
          </cell>
          <cell r="X485">
            <v>67</v>
          </cell>
          <cell r="Y485">
            <v>48330</v>
          </cell>
          <cell r="AH485">
            <v>0</v>
          </cell>
          <cell r="AS485">
            <v>0</v>
          </cell>
        </row>
        <row r="486">
          <cell r="B486">
            <v>3485064</v>
          </cell>
          <cell r="C486">
            <v>98</v>
          </cell>
          <cell r="D486">
            <v>3479347.0522235041</v>
          </cell>
          <cell r="U486">
            <v>1638158</v>
          </cell>
          <cell r="W486" t="e">
            <v>#DIV/0!</v>
          </cell>
          <cell r="X486">
            <v>68</v>
          </cell>
          <cell r="Y486">
            <v>48330</v>
          </cell>
          <cell r="AH486">
            <v>0</v>
          </cell>
          <cell r="AS486">
            <v>0</v>
          </cell>
        </row>
        <row r="487">
          <cell r="B487">
            <v>4003402</v>
          </cell>
          <cell r="C487">
            <v>99</v>
          </cell>
          <cell r="D487">
            <v>3996834.7633115719</v>
          </cell>
          <cell r="U487">
            <v>1706440</v>
          </cell>
          <cell r="W487" t="e">
            <v>#DIV/0!</v>
          </cell>
          <cell r="X487">
            <v>69</v>
          </cell>
          <cell r="Y487">
            <v>48330</v>
          </cell>
          <cell r="AH487">
            <v>0</v>
          </cell>
          <cell r="AS487">
            <v>0</v>
          </cell>
        </row>
        <row r="488">
          <cell r="B488">
            <v>3638470</v>
          </cell>
          <cell r="C488">
            <v>100</v>
          </cell>
          <cell r="D488">
            <v>3632501.4028734197</v>
          </cell>
          <cell r="U488">
            <v>1706440</v>
          </cell>
          <cell r="W488" t="e">
            <v>#DIV/0!</v>
          </cell>
          <cell r="X488">
            <v>70</v>
          </cell>
          <cell r="Y488">
            <v>48330</v>
          </cell>
          <cell r="AH488">
            <v>0</v>
          </cell>
          <cell r="AS488">
            <v>0</v>
          </cell>
        </row>
        <row r="489">
          <cell r="B489">
            <v>2959527</v>
          </cell>
          <cell r="C489">
            <v>101</v>
          </cell>
          <cell r="D489">
            <v>2954672.1504758219</v>
          </cell>
          <cell r="U489">
            <v>1558745</v>
          </cell>
          <cell r="W489" t="e">
            <v>#DIV/0!</v>
          </cell>
          <cell r="X489">
            <v>71</v>
          </cell>
          <cell r="Y489">
            <v>48330</v>
          </cell>
          <cell r="AH489">
            <v>0</v>
          </cell>
          <cell r="AS489">
            <v>0</v>
          </cell>
        </row>
        <row r="490">
          <cell r="B490">
            <v>2648778</v>
          </cell>
          <cell r="C490">
            <v>102</v>
          </cell>
          <cell r="D490">
            <v>2644432.9074859079</v>
          </cell>
          <cell r="U490">
            <v>1201172</v>
          </cell>
          <cell r="W490" t="e">
            <v>#DIV/0!</v>
          </cell>
          <cell r="X490">
            <v>72</v>
          </cell>
          <cell r="Y490">
            <v>48330</v>
          </cell>
          <cell r="AH490">
            <v>0</v>
          </cell>
          <cell r="AS490">
            <v>0</v>
          </cell>
        </row>
        <row r="491">
          <cell r="B491">
            <v>2772542</v>
          </cell>
          <cell r="C491">
            <v>103</v>
          </cell>
          <cell r="D491">
            <v>2767993.8832876119</v>
          </cell>
          <cell r="U491">
            <v>1176573</v>
          </cell>
          <cell r="W491" t="e">
            <v>#DIV/0!</v>
          </cell>
          <cell r="X491">
            <v>73</v>
          </cell>
          <cell r="Y491">
            <v>48330</v>
          </cell>
          <cell r="AH491">
            <v>0</v>
          </cell>
          <cell r="AS491">
            <v>0</v>
          </cell>
        </row>
        <row r="492">
          <cell r="B492">
            <v>2911575</v>
          </cell>
          <cell r="C492">
            <v>104</v>
          </cell>
          <cell r="D492">
            <v>2906798.8116079499</v>
          </cell>
          <cell r="U492">
            <v>1706440</v>
          </cell>
          <cell r="W492" t="e">
            <v>#DIV/0!</v>
          </cell>
          <cell r="X492">
            <v>74</v>
          </cell>
          <cell r="Y492">
            <v>48330</v>
          </cell>
          <cell r="AH492">
            <v>0</v>
          </cell>
          <cell r="AS492">
            <v>0</v>
          </cell>
        </row>
        <row r="493">
          <cell r="B493">
            <v>2621860</v>
          </cell>
          <cell r="C493">
            <v>105</v>
          </cell>
          <cell r="D493">
            <v>2617559.0641499599</v>
          </cell>
          <cell r="U493">
            <v>1706440</v>
          </cell>
          <cell r="W493" t="e">
            <v>#DIV/0!</v>
          </cell>
          <cell r="X493">
            <v>75</v>
          </cell>
          <cell r="Y493">
            <v>48330</v>
          </cell>
          <cell r="AH493">
            <v>0</v>
          </cell>
          <cell r="AS493">
            <v>588809</v>
          </cell>
        </row>
        <row r="494">
          <cell r="B494">
            <v>2621860</v>
          </cell>
          <cell r="C494">
            <v>106</v>
          </cell>
          <cell r="D494">
            <v>2617559.0641499599</v>
          </cell>
          <cell r="U494">
            <v>1269428</v>
          </cell>
          <cell r="W494" t="e">
            <v>#DIV/0!</v>
          </cell>
          <cell r="X494">
            <v>76</v>
          </cell>
          <cell r="Y494">
            <v>48330</v>
          </cell>
          <cell r="AH494">
            <v>0</v>
          </cell>
          <cell r="AS494">
            <v>354894</v>
          </cell>
        </row>
        <row r="495">
          <cell r="B495">
            <v>2621860</v>
          </cell>
          <cell r="C495">
            <v>107</v>
          </cell>
          <cell r="D495">
            <v>2617559.0641499599</v>
          </cell>
          <cell r="U495">
            <v>1445367</v>
          </cell>
          <cell r="W495" t="e">
            <v>#DIV/0!</v>
          </cell>
          <cell r="X495">
            <v>77</v>
          </cell>
          <cell r="Y495">
            <v>48330</v>
          </cell>
          <cell r="AH495">
            <v>0</v>
          </cell>
          <cell r="AS495">
            <v>0</v>
          </cell>
        </row>
        <row r="496">
          <cell r="B496">
            <v>2621860</v>
          </cell>
          <cell r="C496">
            <v>108</v>
          </cell>
          <cell r="D496">
            <v>2617559.0641499599</v>
          </cell>
          <cell r="U496">
            <v>1706440</v>
          </cell>
          <cell r="W496" t="e">
            <v>#DIV/0!</v>
          </cell>
          <cell r="X496">
            <v>78</v>
          </cell>
          <cell r="Y496">
            <v>48330</v>
          </cell>
          <cell r="AH496">
            <v>0</v>
          </cell>
          <cell r="AS496">
            <v>0</v>
          </cell>
        </row>
        <row r="497">
          <cell r="B497">
            <v>2621860</v>
          </cell>
          <cell r="C497">
            <v>109</v>
          </cell>
          <cell r="D497">
            <v>2617559.0641499599</v>
          </cell>
          <cell r="U497">
            <v>1706440</v>
          </cell>
          <cell r="W497" t="e">
            <v>#DIV/0!</v>
          </cell>
          <cell r="X497">
            <v>79</v>
          </cell>
          <cell r="Y497">
            <v>48330</v>
          </cell>
          <cell r="AH497">
            <v>0</v>
          </cell>
          <cell r="AS497">
            <v>0</v>
          </cell>
        </row>
        <row r="498">
          <cell r="B498">
            <v>2621860</v>
          </cell>
          <cell r="C498">
            <v>110</v>
          </cell>
          <cell r="D498">
            <v>2617559.0641499599</v>
          </cell>
          <cell r="U498">
            <v>1706440</v>
          </cell>
          <cell r="W498" t="e">
            <v>#DIV/0!</v>
          </cell>
          <cell r="X498">
            <v>80</v>
          </cell>
          <cell r="Y498">
            <v>48330</v>
          </cell>
          <cell r="AH498">
            <v>0</v>
          </cell>
          <cell r="AS498">
            <v>0</v>
          </cell>
        </row>
        <row r="499">
          <cell r="B499">
            <v>2621860</v>
          </cell>
          <cell r="C499">
            <v>111</v>
          </cell>
          <cell r="D499">
            <v>2617559.0641499599</v>
          </cell>
          <cell r="U499">
            <v>1706440</v>
          </cell>
          <cell r="W499" t="e">
            <v>#DIV/0!</v>
          </cell>
          <cell r="X499">
            <v>81</v>
          </cell>
          <cell r="Y499">
            <v>48330</v>
          </cell>
          <cell r="AH499">
            <v>0</v>
          </cell>
          <cell r="AS499">
            <v>0</v>
          </cell>
        </row>
        <row r="500">
          <cell r="B500">
            <v>2621860</v>
          </cell>
          <cell r="C500">
            <v>112</v>
          </cell>
          <cell r="D500">
            <v>2617559.0641499599</v>
          </cell>
          <cell r="U500">
            <v>1104258</v>
          </cell>
          <cell r="W500" t="e">
            <v>#DIV/0!</v>
          </cell>
          <cell r="X500">
            <v>82</v>
          </cell>
          <cell r="Y500">
            <v>48330</v>
          </cell>
          <cell r="AH500">
            <v>0</v>
          </cell>
          <cell r="AS500">
            <v>0</v>
          </cell>
        </row>
        <row r="501">
          <cell r="B501">
            <v>3031261</v>
          </cell>
          <cell r="C501">
            <v>113</v>
          </cell>
          <cell r="D501">
            <v>3026288.4770179461</v>
          </cell>
          <cell r="U501">
            <v>729044</v>
          </cell>
          <cell r="W501" t="e">
            <v>#DIV/0!</v>
          </cell>
          <cell r="X501">
            <v>83</v>
          </cell>
          <cell r="Y501">
            <v>48330</v>
          </cell>
          <cell r="AH501">
            <v>0</v>
          </cell>
          <cell r="AS501">
            <v>0</v>
          </cell>
        </row>
        <row r="502">
          <cell r="B502">
            <v>2863752</v>
          </cell>
          <cell r="C502">
            <v>114</v>
          </cell>
          <cell r="D502">
            <v>2859054.2611266719</v>
          </cell>
          <cell r="U502">
            <v>480439</v>
          </cell>
          <cell r="W502" t="e">
            <v>#DIV/0!</v>
          </cell>
          <cell r="X502">
            <v>84</v>
          </cell>
          <cell r="Y502">
            <v>48330</v>
          </cell>
          <cell r="AH502">
            <v>0</v>
          </cell>
          <cell r="AS502">
            <v>0</v>
          </cell>
        </row>
        <row r="503">
          <cell r="B503">
            <v>2621860</v>
          </cell>
          <cell r="C503">
            <v>115</v>
          </cell>
          <cell r="D503">
            <v>2617559.0641499599</v>
          </cell>
          <cell r="U503">
            <v>264898</v>
          </cell>
          <cell r="W503" t="e">
            <v>#DIV/0!</v>
          </cell>
          <cell r="X503">
            <v>85</v>
          </cell>
          <cell r="Y503">
            <v>48330</v>
          </cell>
          <cell r="AH503">
            <v>0</v>
          </cell>
          <cell r="AS503">
            <v>0</v>
          </cell>
        </row>
        <row r="504">
          <cell r="B504">
            <v>2621860</v>
          </cell>
          <cell r="C504">
            <v>116</v>
          </cell>
          <cell r="D504">
            <v>2617559.0641499599</v>
          </cell>
          <cell r="U504">
            <v>187542</v>
          </cell>
          <cell r="W504" t="e">
            <v>#DIV/0!</v>
          </cell>
          <cell r="X504">
            <v>86</v>
          </cell>
          <cell r="Y504">
            <v>48330</v>
          </cell>
          <cell r="AH504">
            <v>0</v>
          </cell>
          <cell r="AS504">
            <v>0</v>
          </cell>
        </row>
        <row r="505">
          <cell r="B505">
            <v>2896234</v>
          </cell>
          <cell r="C505">
            <v>117</v>
          </cell>
          <cell r="D505">
            <v>2891482.9771991237</v>
          </cell>
          <cell r="U505">
            <v>264898</v>
          </cell>
          <cell r="W505" t="e">
            <v>#DIV/0!</v>
          </cell>
          <cell r="X505">
            <v>87</v>
          </cell>
          <cell r="Y505">
            <v>48330</v>
          </cell>
          <cell r="AH505">
            <v>0</v>
          </cell>
          <cell r="AS505">
            <v>0</v>
          </cell>
        </row>
        <row r="506">
          <cell r="B506">
            <v>2895711</v>
          </cell>
          <cell r="C506">
            <v>118</v>
          </cell>
          <cell r="D506">
            <v>2890960.8351356457</v>
          </cell>
          <cell r="U506">
            <v>193768</v>
          </cell>
          <cell r="W506" t="e">
            <v>#DIV/0!</v>
          </cell>
          <cell r="X506">
            <v>88</v>
          </cell>
          <cell r="Y506">
            <v>48330</v>
          </cell>
          <cell r="AH506">
            <v>0</v>
          </cell>
          <cell r="AS506">
            <v>0</v>
          </cell>
        </row>
        <row r="507">
          <cell r="B507">
            <v>2708189</v>
          </cell>
          <cell r="C507">
            <v>119</v>
          </cell>
          <cell r="D507">
            <v>2703746.4488497539</v>
          </cell>
          <cell r="U507">
            <v>185014</v>
          </cell>
          <cell r="W507" t="e">
            <v>#DIV/0!</v>
          </cell>
          <cell r="X507">
            <v>89</v>
          </cell>
          <cell r="Y507">
            <v>48330</v>
          </cell>
          <cell r="AH507">
            <v>0</v>
          </cell>
          <cell r="AS507">
            <v>370601</v>
          </cell>
        </row>
        <row r="508">
          <cell r="B508">
            <v>2621860</v>
          </cell>
          <cell r="C508">
            <v>120</v>
          </cell>
          <cell r="D508">
            <v>2617559.0641499599</v>
          </cell>
          <cell r="U508">
            <v>395775</v>
          </cell>
          <cell r="W508" t="e">
            <v>#DIV/0!</v>
          </cell>
          <cell r="X508">
            <v>90</v>
          </cell>
          <cell r="Y508">
            <v>48330</v>
          </cell>
          <cell r="AH508">
            <v>0</v>
          </cell>
          <cell r="AS508">
            <v>18379</v>
          </cell>
        </row>
        <row r="509">
          <cell r="B509">
            <v>2621860</v>
          </cell>
          <cell r="C509">
            <v>121</v>
          </cell>
          <cell r="D509">
            <v>2617559.0641499599</v>
          </cell>
          <cell r="U509">
            <v>723189</v>
          </cell>
          <cell r="W509" t="e">
            <v>#DIV/0!</v>
          </cell>
          <cell r="X509">
            <v>91</v>
          </cell>
          <cell r="Y509">
            <v>48330</v>
          </cell>
          <cell r="AH509">
            <v>0</v>
          </cell>
          <cell r="AS509">
            <v>0</v>
          </cell>
        </row>
        <row r="510">
          <cell r="B510">
            <v>2896234</v>
          </cell>
          <cell r="C510">
            <v>122</v>
          </cell>
          <cell r="D510">
            <v>2891482.9771991237</v>
          </cell>
          <cell r="U510">
            <v>812438</v>
          </cell>
          <cell r="W510" t="e">
            <v>#DIV/0!</v>
          </cell>
          <cell r="X510">
            <v>92</v>
          </cell>
          <cell r="Y510">
            <v>48330</v>
          </cell>
          <cell r="AH510">
            <v>0</v>
          </cell>
          <cell r="AS510">
            <v>0</v>
          </cell>
        </row>
        <row r="511">
          <cell r="B511">
            <v>2896234</v>
          </cell>
          <cell r="C511">
            <v>123</v>
          </cell>
          <cell r="D511">
            <v>2891482.9771991237</v>
          </cell>
          <cell r="U511">
            <v>439776</v>
          </cell>
          <cell r="W511" t="e">
            <v>#DIV/0!</v>
          </cell>
          <cell r="X511">
            <v>93</v>
          </cell>
          <cell r="Y511">
            <v>48330</v>
          </cell>
          <cell r="AH511">
            <v>0</v>
          </cell>
          <cell r="AS511">
            <v>0</v>
          </cell>
        </row>
        <row r="512">
          <cell r="B512">
            <v>2601594</v>
          </cell>
          <cell r="C512">
            <v>124</v>
          </cell>
          <cell r="D512">
            <v>2597326.3087800839</v>
          </cell>
          <cell r="U512">
            <v>662841</v>
          </cell>
          <cell r="W512" t="e">
            <v>#DIV/0!</v>
          </cell>
          <cell r="X512">
            <v>94</v>
          </cell>
          <cell r="Y512">
            <v>48330</v>
          </cell>
          <cell r="AH512">
            <v>0</v>
          </cell>
          <cell r="AS512">
            <v>0</v>
          </cell>
        </row>
        <row r="513">
          <cell r="B513">
            <v>2592881</v>
          </cell>
          <cell r="C513">
            <v>125</v>
          </cell>
          <cell r="D513">
            <v>2588627.6017072657</v>
          </cell>
          <cell r="U513">
            <v>869744</v>
          </cell>
          <cell r="W513" t="e">
            <v>#DIV/0!</v>
          </cell>
          <cell r="X513">
            <v>95</v>
          </cell>
          <cell r="Y513">
            <v>48330</v>
          </cell>
          <cell r="AH513">
            <v>0</v>
          </cell>
          <cell r="AS513">
            <v>0</v>
          </cell>
        </row>
        <row r="514">
          <cell r="B514">
            <v>2585921</v>
          </cell>
          <cell r="C514">
            <v>126</v>
          </cell>
          <cell r="D514">
            <v>2581679.0189887057</v>
          </cell>
          <cell r="U514">
            <v>823409</v>
          </cell>
          <cell r="W514" t="e">
            <v>#DIV/0!</v>
          </cell>
          <cell r="X514">
            <v>96</v>
          </cell>
          <cell r="Y514">
            <v>48330</v>
          </cell>
          <cell r="AH514">
            <v>0</v>
          </cell>
          <cell r="AS514">
            <v>0</v>
          </cell>
        </row>
        <row r="515">
          <cell r="B515">
            <v>3054604</v>
          </cell>
          <cell r="C515">
            <v>127</v>
          </cell>
          <cell r="D515">
            <v>3049593.1848339438</v>
          </cell>
          <cell r="U515">
            <v>430135</v>
          </cell>
          <cell r="W515" t="e">
            <v>#DIV/0!</v>
          </cell>
          <cell r="X515">
            <v>97</v>
          </cell>
          <cell r="Y515">
            <v>48330</v>
          </cell>
          <cell r="AH515">
            <v>0</v>
          </cell>
          <cell r="AS515">
            <v>0</v>
          </cell>
        </row>
        <row r="516">
          <cell r="B516">
            <v>3227832</v>
          </cell>
          <cell r="C516">
            <v>128</v>
          </cell>
          <cell r="D516">
            <v>3222537.019197552</v>
          </cell>
          <cell r="U516">
            <v>668687</v>
          </cell>
          <cell r="W516" t="e">
            <v>#DIV/0!</v>
          </cell>
          <cell r="X516">
            <v>98</v>
          </cell>
          <cell r="Y516">
            <v>48330</v>
          </cell>
          <cell r="AH516">
            <v>0</v>
          </cell>
          <cell r="AS516">
            <v>0</v>
          </cell>
        </row>
        <row r="517">
          <cell r="B517">
            <v>2888747</v>
          </cell>
          <cell r="C517">
            <v>129</v>
          </cell>
          <cell r="D517">
            <v>2884008.2589787417</v>
          </cell>
          <cell r="U517">
            <v>749198</v>
          </cell>
          <cell r="W517" t="e">
            <v>#DIV/0!</v>
          </cell>
          <cell r="X517">
            <v>99</v>
          </cell>
          <cell r="Y517">
            <v>48330</v>
          </cell>
          <cell r="AH517">
            <v>0</v>
          </cell>
          <cell r="AS517">
            <v>0</v>
          </cell>
        </row>
        <row r="518">
          <cell r="B518">
            <v>2877700</v>
          </cell>
          <cell r="C518">
            <v>130</v>
          </cell>
          <cell r="D518">
            <v>2872979.3806321998</v>
          </cell>
          <cell r="U518">
            <v>982494</v>
          </cell>
          <cell r="W518" t="e">
            <v>#DIV/0!</v>
          </cell>
          <cell r="X518">
            <v>100</v>
          </cell>
          <cell r="Y518">
            <v>48330</v>
          </cell>
          <cell r="AH518">
            <v>0</v>
          </cell>
          <cell r="AS518">
            <v>0</v>
          </cell>
        </row>
        <row r="519">
          <cell r="B519">
            <v>3194750</v>
          </cell>
          <cell r="C519">
            <v>131</v>
          </cell>
          <cell r="D519">
            <v>3189509.2873734999</v>
          </cell>
          <cell r="U519">
            <v>583620</v>
          </cell>
          <cell r="W519" t="e">
            <v>#DIV/0!</v>
          </cell>
          <cell r="X519">
            <v>101</v>
          </cell>
          <cell r="Y519">
            <v>48330</v>
          </cell>
          <cell r="AH519">
            <v>0</v>
          </cell>
          <cell r="AS519">
            <v>0</v>
          </cell>
        </row>
        <row r="520">
          <cell r="B520">
            <v>3562014</v>
          </cell>
          <cell r="C520">
            <v>132</v>
          </cell>
          <cell r="D520">
            <v>3556170.8223662036</v>
          </cell>
          <cell r="U520">
            <v>488428</v>
          </cell>
          <cell r="W520" t="e">
            <v>#DIV/0!</v>
          </cell>
          <cell r="X520">
            <v>102</v>
          </cell>
          <cell r="Y520">
            <v>48330</v>
          </cell>
          <cell r="AH520">
            <v>0</v>
          </cell>
          <cell r="AS520">
            <v>0</v>
          </cell>
        </row>
        <row r="521">
          <cell r="B521">
            <v>3077140</v>
          </cell>
          <cell r="C521">
            <v>133</v>
          </cell>
          <cell r="D521">
            <v>3072092.2164640399</v>
          </cell>
          <cell r="U521">
            <v>600870</v>
          </cell>
          <cell r="W521" t="e">
            <v>#DIV/0!</v>
          </cell>
          <cell r="X521">
            <v>103</v>
          </cell>
          <cell r="Y521">
            <v>48330</v>
          </cell>
          <cell r="AH521">
            <v>0</v>
          </cell>
          <cell r="AS521">
            <v>0</v>
          </cell>
        </row>
        <row r="522">
          <cell r="B522">
            <v>3049731</v>
          </cell>
          <cell r="C522">
            <v>134</v>
          </cell>
          <cell r="D522">
            <v>3044728.1785713658</v>
          </cell>
          <cell r="U522">
            <v>651328</v>
          </cell>
          <cell r="W522" t="e">
            <v>#DIV/0!</v>
          </cell>
          <cell r="X522">
            <v>104</v>
          </cell>
          <cell r="Y522">
            <v>48330</v>
          </cell>
          <cell r="AH522">
            <v>0</v>
          </cell>
          <cell r="AS522">
            <v>0</v>
          </cell>
        </row>
        <row r="523">
          <cell r="B523">
            <v>3173703</v>
          </cell>
          <cell r="C523">
            <v>135</v>
          </cell>
          <cell r="D523">
            <v>3168496.8131669578</v>
          </cell>
          <cell r="U523">
            <v>857180</v>
          </cell>
          <cell r="W523" t="e">
            <v>#DIV/0!</v>
          </cell>
          <cell r="X523">
            <v>105</v>
          </cell>
          <cell r="Y523">
            <v>48330</v>
          </cell>
          <cell r="AH523">
            <v>0</v>
          </cell>
          <cell r="AS523">
            <v>271510</v>
          </cell>
        </row>
        <row r="524">
          <cell r="B524">
            <v>3514959</v>
          </cell>
          <cell r="C524">
            <v>136</v>
          </cell>
          <cell r="D524">
            <v>3509193.0120469737</v>
          </cell>
          <cell r="U524">
            <v>796232</v>
          </cell>
          <cell r="W524" t="e">
            <v>#DIV/0!</v>
          </cell>
          <cell r="X524">
            <v>106</v>
          </cell>
          <cell r="Y524">
            <v>48330</v>
          </cell>
          <cell r="AH524">
            <v>0</v>
          </cell>
          <cell r="AS524">
            <v>0</v>
          </cell>
        </row>
        <row r="525">
          <cell r="B525">
            <v>2472211</v>
          </cell>
          <cell r="C525">
            <v>137</v>
          </cell>
          <cell r="D525">
            <v>2468155.550464646</v>
          </cell>
          <cell r="U525">
            <v>896218</v>
          </cell>
          <cell r="W525" t="e">
            <v>#DIV/0!</v>
          </cell>
          <cell r="X525">
            <v>107</v>
          </cell>
          <cell r="Y525">
            <v>48330</v>
          </cell>
          <cell r="AH525">
            <v>0</v>
          </cell>
          <cell r="AS525">
            <v>0</v>
          </cell>
        </row>
        <row r="526">
          <cell r="B526">
            <v>2403204</v>
          </cell>
          <cell r="C526">
            <v>138</v>
          </cell>
          <cell r="D526">
            <v>2399261.7505135438</v>
          </cell>
          <cell r="U526">
            <v>452487</v>
          </cell>
          <cell r="W526" t="e">
            <v>#DIV/0!</v>
          </cell>
          <cell r="X526">
            <v>108</v>
          </cell>
          <cell r="Y526">
            <v>48330</v>
          </cell>
          <cell r="AH526">
            <v>0</v>
          </cell>
          <cell r="AS526">
            <v>0</v>
          </cell>
        </row>
        <row r="527">
          <cell r="B527">
            <v>2792977</v>
          </cell>
          <cell r="C527">
            <v>139</v>
          </cell>
          <cell r="D527">
            <v>2788395.3614275218</v>
          </cell>
          <cell r="U527">
            <v>264898</v>
          </cell>
          <cell r="W527" t="e">
            <v>#DIV/0!</v>
          </cell>
          <cell r="X527">
            <v>109</v>
          </cell>
          <cell r="Y527">
            <v>48330</v>
          </cell>
          <cell r="AH527">
            <v>0</v>
          </cell>
          <cell r="AS527">
            <v>307572</v>
          </cell>
        </row>
        <row r="528">
          <cell r="B528">
            <v>2866149</v>
          </cell>
          <cell r="C528">
            <v>140</v>
          </cell>
          <cell r="D528">
            <v>2861447.3290543137</v>
          </cell>
          <cell r="U528">
            <v>494709</v>
          </cell>
          <cell r="W528" t="e">
            <v>#DIV/0!</v>
          </cell>
          <cell r="X528">
            <v>110</v>
          </cell>
          <cell r="Y528">
            <v>48330</v>
          </cell>
          <cell r="AH528">
            <v>0</v>
          </cell>
          <cell r="AS528">
            <v>0</v>
          </cell>
        </row>
        <row r="529">
          <cell r="B529">
            <v>2486087</v>
          </cell>
          <cell r="C529">
            <v>141</v>
          </cell>
          <cell r="D529">
            <v>2482008.7880799817</v>
          </cell>
          <cell r="U529">
            <v>880382</v>
          </cell>
          <cell r="W529" t="e">
            <v>#DIV/0!</v>
          </cell>
          <cell r="X529">
            <v>111</v>
          </cell>
          <cell r="Y529">
            <v>48330</v>
          </cell>
          <cell r="AH529">
            <v>0</v>
          </cell>
          <cell r="AS529">
            <v>0</v>
          </cell>
        </row>
        <row r="530">
          <cell r="B530">
            <v>2814306</v>
          </cell>
          <cell r="C530">
            <v>142</v>
          </cell>
          <cell r="D530">
            <v>2809689.3730373159</v>
          </cell>
          <cell r="U530">
            <v>698792</v>
          </cell>
          <cell r="W530" t="e">
            <v>#DIV/0!</v>
          </cell>
          <cell r="X530">
            <v>112</v>
          </cell>
          <cell r="Y530">
            <v>48330</v>
          </cell>
          <cell r="AH530">
            <v>0</v>
          </cell>
          <cell r="AS530">
            <v>0</v>
          </cell>
        </row>
        <row r="531">
          <cell r="B531">
            <v>2721338</v>
          </cell>
          <cell r="C531">
            <v>143</v>
          </cell>
          <cell r="D531">
            <v>2716873.8790460681</v>
          </cell>
          <cell r="U531">
            <v>661923</v>
          </cell>
          <cell r="W531" t="e">
            <v>#DIV/0!</v>
          </cell>
          <cell r="X531">
            <v>113</v>
          </cell>
          <cell r="Y531">
            <v>48330</v>
          </cell>
          <cell r="AH531">
            <v>0</v>
          </cell>
          <cell r="AS531">
            <v>0</v>
          </cell>
        </row>
        <row r="532">
          <cell r="B532">
            <v>2468383</v>
          </cell>
          <cell r="C532">
            <v>144</v>
          </cell>
          <cell r="D532">
            <v>2464333.8299694378</v>
          </cell>
          <cell r="U532">
            <v>969970</v>
          </cell>
          <cell r="W532" t="e">
            <v>#DIV/0!</v>
          </cell>
          <cell r="X532">
            <v>114</v>
          </cell>
          <cell r="Y532">
            <v>48330</v>
          </cell>
          <cell r="AH532">
            <v>0</v>
          </cell>
          <cell r="AS532">
            <v>0</v>
          </cell>
        </row>
        <row r="533">
          <cell r="B533">
            <v>2412069</v>
          </cell>
          <cell r="C533">
            <v>145</v>
          </cell>
          <cell r="D533">
            <v>2408112.2082434339</v>
          </cell>
          <cell r="U533">
            <v>1254728</v>
          </cell>
          <cell r="W533" t="e">
            <v>#DIV/0!</v>
          </cell>
          <cell r="X533">
            <v>115</v>
          </cell>
          <cell r="Y533">
            <v>48330</v>
          </cell>
          <cell r="AH533">
            <v>0</v>
          </cell>
          <cell r="AS533">
            <v>0</v>
          </cell>
        </row>
        <row r="534">
          <cell r="B534">
            <v>2468383</v>
          </cell>
          <cell r="C534">
            <v>146</v>
          </cell>
          <cell r="D534">
            <v>2464333.8299694378</v>
          </cell>
          <cell r="U534">
            <v>1246649</v>
          </cell>
          <cell r="W534" t="e">
            <v>#DIV/0!</v>
          </cell>
          <cell r="X534">
            <v>116</v>
          </cell>
          <cell r="Y534">
            <v>48330</v>
          </cell>
          <cell r="AH534">
            <v>0</v>
          </cell>
          <cell r="AS534">
            <v>0</v>
          </cell>
        </row>
        <row r="535">
          <cell r="B535">
            <v>2468383</v>
          </cell>
          <cell r="C535">
            <v>147</v>
          </cell>
          <cell r="D535">
            <v>2464333.8299694378</v>
          </cell>
          <cell r="U535">
            <v>957073</v>
          </cell>
          <cell r="W535" t="e">
            <v>#DIV/0!</v>
          </cell>
          <cell r="X535">
            <v>117</v>
          </cell>
          <cell r="Y535">
            <v>48330</v>
          </cell>
          <cell r="AH535">
            <v>0</v>
          </cell>
          <cell r="AS535">
            <v>0</v>
          </cell>
        </row>
        <row r="536">
          <cell r="B536">
            <v>2787614</v>
          </cell>
          <cell r="C536">
            <v>148</v>
          </cell>
          <cell r="D536">
            <v>2783041.1589678037</v>
          </cell>
          <cell r="U536">
            <v>867441</v>
          </cell>
          <cell r="W536" t="e">
            <v>#DIV/0!</v>
          </cell>
          <cell r="X536">
            <v>118</v>
          </cell>
          <cell r="Y536">
            <v>48330</v>
          </cell>
          <cell r="AH536">
            <v>0</v>
          </cell>
          <cell r="AS536">
            <v>0</v>
          </cell>
        </row>
        <row r="537">
          <cell r="B537">
            <v>2788877</v>
          </cell>
          <cell r="C537">
            <v>149</v>
          </cell>
          <cell r="D537">
            <v>2784302.0871249218</v>
          </cell>
          <cell r="U537">
            <v>636545</v>
          </cell>
          <cell r="W537" t="e">
            <v>#DIV/0!</v>
          </cell>
          <cell r="X537">
            <v>119</v>
          </cell>
          <cell r="Y537">
            <v>48330</v>
          </cell>
          <cell r="AH537">
            <v>0</v>
          </cell>
          <cell r="AS537">
            <v>0</v>
          </cell>
        </row>
        <row r="538">
          <cell r="B538">
            <v>2684897</v>
          </cell>
          <cell r="C538">
            <v>150</v>
          </cell>
          <cell r="D538">
            <v>2680492.6573726418</v>
          </cell>
          <cell r="U538">
            <v>621598</v>
          </cell>
          <cell r="W538" t="e">
            <v>#DIV/0!</v>
          </cell>
          <cell r="X538">
            <v>120</v>
          </cell>
          <cell r="Y538">
            <v>48330</v>
          </cell>
          <cell r="AH538">
            <v>0</v>
          </cell>
          <cell r="AS538">
            <v>0</v>
          </cell>
        </row>
        <row r="539">
          <cell r="B539">
            <v>2468383</v>
          </cell>
          <cell r="C539">
            <v>151</v>
          </cell>
          <cell r="D539">
            <v>2464333.8299694378</v>
          </cell>
          <cell r="U539">
            <v>657589</v>
          </cell>
          <cell r="W539" t="e">
            <v>#DIV/0!</v>
          </cell>
          <cell r="X539">
            <v>121</v>
          </cell>
          <cell r="AH539">
            <v>0</v>
          </cell>
          <cell r="AS539">
            <v>0</v>
          </cell>
        </row>
        <row r="540">
          <cell r="B540">
            <v>2216972</v>
          </cell>
          <cell r="C540">
            <v>152</v>
          </cell>
          <cell r="D540">
            <v>2213335.248093592</v>
          </cell>
          <cell r="U540">
            <v>412694</v>
          </cell>
          <cell r="W540" t="e">
            <v>#DIV/0!</v>
          </cell>
          <cell r="X540">
            <v>122</v>
          </cell>
          <cell r="AH540">
            <v>0</v>
          </cell>
          <cell r="AS540">
            <v>0</v>
          </cell>
        </row>
        <row r="541">
          <cell r="B541">
            <v>2338757</v>
          </cell>
          <cell r="C541">
            <v>153</v>
          </cell>
          <cell r="D541">
            <v>2334920.4702746021</v>
          </cell>
          <cell r="U541">
            <v>442292</v>
          </cell>
          <cell r="W541" t="e">
            <v>#DIV/0!</v>
          </cell>
          <cell r="X541">
            <v>123</v>
          </cell>
          <cell r="AH541">
            <v>0</v>
          </cell>
          <cell r="AS541">
            <v>241729</v>
          </cell>
        </row>
        <row r="542">
          <cell r="B542">
            <v>3031710</v>
          </cell>
          <cell r="C542">
            <v>154</v>
          </cell>
          <cell r="D542">
            <v>3026736.7404720597</v>
          </cell>
          <cell r="U542">
            <v>922381</v>
          </cell>
          <cell r="W542" t="e">
            <v>#DIV/0!</v>
          </cell>
          <cell r="X542">
            <v>124</v>
          </cell>
          <cell r="AH542">
            <v>0</v>
          </cell>
          <cell r="AS542">
            <v>620326</v>
          </cell>
        </row>
        <row r="543">
          <cell r="B543">
            <v>2581065</v>
          </cell>
          <cell r="C543">
            <v>155</v>
          </cell>
          <cell r="D543">
            <v>2576830.9848390897</v>
          </cell>
          <cell r="U543">
            <v>715243</v>
          </cell>
          <cell r="W543" t="e">
            <v>#DIV/0!</v>
          </cell>
          <cell r="X543">
            <v>125</v>
          </cell>
          <cell r="AH543">
            <v>0</v>
          </cell>
          <cell r="AS543">
            <v>367576</v>
          </cell>
        </row>
        <row r="544">
          <cell r="B544">
            <v>2747739</v>
          </cell>
          <cell r="C544">
            <v>156</v>
          </cell>
          <cell r="D544">
            <v>2743231.5704760537</v>
          </cell>
          <cell r="U544">
            <v>601713</v>
          </cell>
          <cell r="W544" t="e">
            <v>#DIV/0!</v>
          </cell>
          <cell r="X544">
            <v>126</v>
          </cell>
          <cell r="AH544">
            <v>0</v>
          </cell>
          <cell r="AS544">
            <v>230391</v>
          </cell>
        </row>
        <row r="545">
          <cell r="B545">
            <v>2123858</v>
          </cell>
          <cell r="C545">
            <v>157</v>
          </cell>
          <cell r="D545">
            <v>2120373.9936027881</v>
          </cell>
          <cell r="U545">
            <v>819835</v>
          </cell>
          <cell r="W545" t="e">
            <v>#DIV/0!</v>
          </cell>
          <cell r="X545">
            <v>127</v>
          </cell>
          <cell r="AH545">
            <v>0</v>
          </cell>
          <cell r="AS545">
            <v>739986</v>
          </cell>
        </row>
        <row r="546">
          <cell r="B546">
            <v>1759035</v>
          </cell>
          <cell r="C546">
            <v>158</v>
          </cell>
          <cell r="D546">
            <v>1756149.45435951</v>
          </cell>
          <cell r="U546">
            <v>796309</v>
          </cell>
          <cell r="W546" t="e">
            <v>#DIV/0!</v>
          </cell>
          <cell r="X546">
            <v>128</v>
          </cell>
          <cell r="AH546">
            <v>0</v>
          </cell>
          <cell r="AS546">
            <v>655849</v>
          </cell>
        </row>
        <row r="547">
          <cell r="B547">
            <v>1686219</v>
          </cell>
          <cell r="C547">
            <v>159</v>
          </cell>
          <cell r="D547">
            <v>1683452.902745334</v>
          </cell>
          <cell r="U547">
            <v>870834</v>
          </cell>
          <cell r="W547" t="e">
            <v>#DIV/0!</v>
          </cell>
          <cell r="X547">
            <v>129</v>
          </cell>
          <cell r="AH547">
            <v>0</v>
          </cell>
          <cell r="AS547">
            <v>517623</v>
          </cell>
        </row>
        <row r="548">
          <cell r="B548">
            <v>2032760</v>
          </cell>
          <cell r="C548">
            <v>160</v>
          </cell>
          <cell r="D548">
            <v>2029425.43203736</v>
          </cell>
          <cell r="U548">
            <v>518003</v>
          </cell>
          <cell r="W548" t="e">
            <v>#DIV/0!</v>
          </cell>
          <cell r="X548">
            <v>130</v>
          </cell>
          <cell r="AH548">
            <v>0</v>
          </cell>
          <cell r="AS548">
            <v>411369</v>
          </cell>
        </row>
        <row r="549">
          <cell r="B549">
            <v>2032760</v>
          </cell>
          <cell r="C549">
            <v>161</v>
          </cell>
          <cell r="D549">
            <v>2029425.43203736</v>
          </cell>
          <cell r="U549">
            <v>28164</v>
          </cell>
          <cell r="W549" t="e">
            <v>#DIV/0!</v>
          </cell>
          <cell r="X549">
            <v>131</v>
          </cell>
          <cell r="AH549">
            <v>0</v>
          </cell>
          <cell r="AS549">
            <v>58874</v>
          </cell>
        </row>
        <row r="550">
          <cell r="B550">
            <v>2032760</v>
          </cell>
          <cell r="C550">
            <v>162</v>
          </cell>
          <cell r="D550">
            <v>2029425.43203736</v>
          </cell>
          <cell r="U550">
            <v>737860</v>
          </cell>
          <cell r="W550" t="e">
            <v>#DIV/0!</v>
          </cell>
          <cell r="X550">
            <v>132</v>
          </cell>
          <cell r="AH550">
            <v>0</v>
          </cell>
          <cell r="AS550">
            <v>0</v>
          </cell>
        </row>
        <row r="551">
          <cell r="B551">
            <v>2032760</v>
          </cell>
          <cell r="C551">
            <v>163</v>
          </cell>
          <cell r="D551">
            <v>2029425.43203736</v>
          </cell>
          <cell r="U551">
            <v>762557</v>
          </cell>
          <cell r="W551" t="e">
            <v>#DIV/0!</v>
          </cell>
          <cell r="X551">
            <v>133</v>
          </cell>
          <cell r="AH551">
            <v>0</v>
          </cell>
          <cell r="AS551">
            <v>0</v>
          </cell>
        </row>
        <row r="552">
          <cell r="B552">
            <v>2004493</v>
          </cell>
          <cell r="C552">
            <v>164</v>
          </cell>
          <cell r="D552">
            <v>2001204.8016198978</v>
          </cell>
          <cell r="U552">
            <v>280529</v>
          </cell>
          <cell r="W552" t="e">
            <v>#DIV/0!</v>
          </cell>
          <cell r="X552">
            <v>134</v>
          </cell>
          <cell r="AH552">
            <v>0</v>
          </cell>
          <cell r="AS552">
            <v>0</v>
          </cell>
        </row>
        <row r="553">
          <cell r="B553">
            <v>1858904</v>
          </cell>
          <cell r="C553">
            <v>165</v>
          </cell>
          <cell r="D553">
            <v>1855854.627853744</v>
          </cell>
          <cell r="U553">
            <v>467271</v>
          </cell>
          <cell r="W553" t="e">
            <v>#DIV/0!</v>
          </cell>
          <cell r="X553">
            <v>135</v>
          </cell>
          <cell r="AH553">
            <v>0</v>
          </cell>
          <cell r="AS553">
            <v>0</v>
          </cell>
        </row>
        <row r="554">
          <cell r="B554">
            <v>2032760</v>
          </cell>
          <cell r="C554">
            <v>166</v>
          </cell>
          <cell r="D554">
            <v>2029425.43203736</v>
          </cell>
          <cell r="U554">
            <v>139895</v>
          </cell>
          <cell r="W554" t="e">
            <v>#DIV/0!</v>
          </cell>
          <cell r="X554">
            <v>136</v>
          </cell>
          <cell r="AH554">
            <v>0</v>
          </cell>
          <cell r="AS554">
            <v>0</v>
          </cell>
        </row>
        <row r="555">
          <cell r="B555">
            <v>1991522</v>
          </cell>
          <cell r="C555">
            <v>167</v>
          </cell>
          <cell r="D555">
            <v>1988255.0794298919</v>
          </cell>
          <cell r="U555">
            <v>754328</v>
          </cell>
          <cell r="W555" t="e">
            <v>#DIV/0!</v>
          </cell>
          <cell r="X555">
            <v>137</v>
          </cell>
          <cell r="AH555">
            <v>0</v>
          </cell>
          <cell r="AS555">
            <v>25397</v>
          </cell>
        </row>
        <row r="556">
          <cell r="B556">
            <v>1877799</v>
          </cell>
          <cell r="C556">
            <v>168</v>
          </cell>
          <cell r="D556">
            <v>1874718.6322312139</v>
          </cell>
          <cell r="U556">
            <v>1004283</v>
          </cell>
          <cell r="W556" t="e">
            <v>#DIV/0!</v>
          </cell>
          <cell r="X556">
            <v>138</v>
          </cell>
          <cell r="AH556">
            <v>0</v>
          </cell>
          <cell r="AS556">
            <v>714563</v>
          </cell>
        </row>
        <row r="557">
          <cell r="B557">
            <v>2032760</v>
          </cell>
          <cell r="C557">
            <v>169</v>
          </cell>
          <cell r="D557">
            <v>2029425.43203736</v>
          </cell>
          <cell r="U557">
            <v>793706</v>
          </cell>
          <cell r="W557" t="e">
            <v>#DIV/0!</v>
          </cell>
          <cell r="X557">
            <v>139</v>
          </cell>
          <cell r="AH557">
            <v>0</v>
          </cell>
          <cell r="AS557">
            <v>428133</v>
          </cell>
        </row>
        <row r="558">
          <cell r="B558">
            <v>2032760</v>
          </cell>
          <cell r="C558">
            <v>170</v>
          </cell>
          <cell r="D558">
            <v>2029425.43203736</v>
          </cell>
          <cell r="U558">
            <v>189291</v>
          </cell>
          <cell r="W558" t="e">
            <v>#DIV/0!</v>
          </cell>
          <cell r="X558">
            <v>140</v>
          </cell>
          <cell r="AH558">
            <v>0</v>
          </cell>
          <cell r="AS558">
            <v>0</v>
          </cell>
        </row>
        <row r="559">
          <cell r="B559">
            <v>1829811</v>
          </cell>
          <cell r="C559">
            <v>171</v>
          </cell>
          <cell r="D559">
            <v>1826809.352418246</v>
          </cell>
          <cell r="U559">
            <v>0</v>
          </cell>
          <cell r="W559" t="e">
            <v>#DIV/0!</v>
          </cell>
          <cell r="X559">
            <v>141</v>
          </cell>
          <cell r="AH559">
            <v>0</v>
          </cell>
          <cell r="AS559">
            <v>324337</v>
          </cell>
        </row>
        <row r="560">
          <cell r="B560">
            <v>1370210</v>
          </cell>
          <cell r="C560">
            <v>172</v>
          </cell>
          <cell r="D560">
            <v>1367962.28833306</v>
          </cell>
          <cell r="U560">
            <v>0</v>
          </cell>
          <cell r="W560" t="e">
            <v>#DIV/0!</v>
          </cell>
          <cell r="X560">
            <v>142</v>
          </cell>
          <cell r="AH560">
            <v>0</v>
          </cell>
          <cell r="AS560">
            <v>681993</v>
          </cell>
        </row>
        <row r="561">
          <cell r="B561">
            <v>1374141</v>
          </cell>
          <cell r="C561">
            <v>173</v>
          </cell>
          <cell r="D561">
            <v>1371886.8398656261</v>
          </cell>
          <cell r="U561">
            <v>0</v>
          </cell>
          <cell r="W561" t="e">
            <v>#DIV/0!</v>
          </cell>
          <cell r="X561">
            <v>143</v>
          </cell>
          <cell r="AH561">
            <v>0</v>
          </cell>
          <cell r="AS561">
            <v>676064</v>
          </cell>
        </row>
        <row r="562">
          <cell r="B562">
            <v>1558232</v>
          </cell>
          <cell r="C562">
            <v>174</v>
          </cell>
          <cell r="D562">
            <v>1555675.854411952</v>
          </cell>
          <cell r="U562">
            <v>0</v>
          </cell>
          <cell r="W562" t="e">
            <v>#DIV/0!</v>
          </cell>
          <cell r="X562">
            <v>144</v>
          </cell>
          <cell r="AH562">
            <v>0</v>
          </cell>
          <cell r="AS562">
            <v>882997</v>
          </cell>
        </row>
        <row r="563">
          <cell r="B563">
            <v>2032760</v>
          </cell>
          <cell r="C563">
            <v>175</v>
          </cell>
          <cell r="D563">
            <v>2029425.43203736</v>
          </cell>
          <cell r="U563">
            <v>276000</v>
          </cell>
          <cell r="W563" t="e">
            <v>#DIV/0!</v>
          </cell>
          <cell r="X563">
            <v>145</v>
          </cell>
          <cell r="AH563">
            <v>0</v>
          </cell>
          <cell r="AS563">
            <v>545510</v>
          </cell>
        </row>
        <row r="564">
          <cell r="B564">
            <v>2032760</v>
          </cell>
          <cell r="C564">
            <v>176</v>
          </cell>
          <cell r="D564">
            <v>2029425.43203736</v>
          </cell>
          <cell r="U564">
            <v>1036650</v>
          </cell>
          <cell r="W564" t="e">
            <v>#DIV/0!</v>
          </cell>
          <cell r="X564">
            <v>146</v>
          </cell>
          <cell r="AH564">
            <v>0</v>
          </cell>
          <cell r="AS564">
            <v>860902</v>
          </cell>
        </row>
        <row r="565">
          <cell r="B565">
            <v>2032760</v>
          </cell>
          <cell r="C565">
            <v>177</v>
          </cell>
          <cell r="D565">
            <v>2029425.43203736</v>
          </cell>
          <cell r="U565">
            <v>1209931</v>
          </cell>
          <cell r="W565" t="e">
            <v>#DIV/0!</v>
          </cell>
          <cell r="X565">
            <v>147</v>
          </cell>
          <cell r="AH565">
            <v>0</v>
          </cell>
          <cell r="AS565">
            <v>1054935</v>
          </cell>
        </row>
        <row r="566">
          <cell r="B566">
            <v>2032760</v>
          </cell>
          <cell r="C566">
            <v>178</v>
          </cell>
          <cell r="D566">
            <v>2029425.43203736</v>
          </cell>
          <cell r="U566">
            <v>394703</v>
          </cell>
          <cell r="W566" t="e">
            <v>#DIV/0!</v>
          </cell>
          <cell r="X566">
            <v>148</v>
          </cell>
          <cell r="AH566">
            <v>0</v>
          </cell>
          <cell r="AS566">
            <v>723752</v>
          </cell>
        </row>
        <row r="567">
          <cell r="B567">
            <v>1741234</v>
          </cell>
          <cell r="C567">
            <v>179</v>
          </cell>
          <cell r="D567">
            <v>1738377.6553691239</v>
          </cell>
          <cell r="U567">
            <v>160006</v>
          </cell>
          <cell r="W567" t="e">
            <v>#DIV/0!</v>
          </cell>
          <cell r="X567">
            <v>149</v>
          </cell>
          <cell r="AH567">
            <v>0</v>
          </cell>
          <cell r="AS567">
            <v>12707</v>
          </cell>
        </row>
        <row r="568">
          <cell r="B568">
            <v>1404665</v>
          </cell>
          <cell r="C568">
            <v>180</v>
          </cell>
          <cell r="D568">
            <v>1402360.76786869</v>
          </cell>
          <cell r="U568">
            <v>613338</v>
          </cell>
          <cell r="W568" t="e">
            <v>#DIV/0!</v>
          </cell>
          <cell r="X568">
            <v>150</v>
          </cell>
          <cell r="AH568">
            <v>0</v>
          </cell>
          <cell r="AS568">
            <v>0</v>
          </cell>
        </row>
        <row r="569">
          <cell r="B569">
            <v>2032760</v>
          </cell>
          <cell r="C569">
            <v>181</v>
          </cell>
          <cell r="D569">
            <v>2029425.43203736</v>
          </cell>
          <cell r="U569">
            <v>487355</v>
          </cell>
          <cell r="W569" t="e">
            <v>#DIV/0!</v>
          </cell>
          <cell r="X569">
            <v>151</v>
          </cell>
          <cell r="AH569">
            <v>0</v>
          </cell>
          <cell r="AS569">
            <v>1143169</v>
          </cell>
        </row>
        <row r="570">
          <cell r="B570">
            <v>2032760</v>
          </cell>
          <cell r="C570">
            <v>182</v>
          </cell>
          <cell r="D570">
            <v>2029425.43203736</v>
          </cell>
          <cell r="U570">
            <v>153955</v>
          </cell>
          <cell r="W570" t="e">
            <v>#DIV/0!</v>
          </cell>
          <cell r="X570">
            <v>152</v>
          </cell>
          <cell r="AH570">
            <v>0</v>
          </cell>
          <cell r="AS570">
            <v>1218137</v>
          </cell>
        </row>
        <row r="571">
          <cell r="B571">
            <v>1415874</v>
          </cell>
          <cell r="C571">
            <v>183</v>
          </cell>
          <cell r="D571">
            <v>1413551.3804681639</v>
          </cell>
          <cell r="U571">
            <v>97481</v>
          </cell>
          <cell r="W571" t="e">
            <v>#DIV/0!</v>
          </cell>
          <cell r="X571">
            <v>153</v>
          </cell>
          <cell r="AH571">
            <v>0</v>
          </cell>
          <cell r="AS571">
            <v>864351</v>
          </cell>
        </row>
        <row r="572">
          <cell r="B572">
            <v>1268690</v>
          </cell>
          <cell r="C572">
            <v>184</v>
          </cell>
          <cell r="D572">
            <v>1266608.8231623399</v>
          </cell>
          <cell r="U572">
            <v>652863</v>
          </cell>
          <cell r="W572" t="e">
            <v>#DIV/0!</v>
          </cell>
          <cell r="X572">
            <v>154</v>
          </cell>
          <cell r="AH572">
            <v>68320</v>
          </cell>
          <cell r="AS572">
            <v>681061</v>
          </cell>
        </row>
        <row r="573">
          <cell r="B573">
            <v>1229404</v>
          </cell>
          <cell r="C573">
            <v>185</v>
          </cell>
          <cell r="D573">
            <v>1227387.2684667439</v>
          </cell>
          <cell r="U573">
            <v>754190</v>
          </cell>
          <cell r="W573" t="e">
            <v>#DIV/0!</v>
          </cell>
          <cell r="X573">
            <v>155</v>
          </cell>
          <cell r="AH573">
            <v>68320</v>
          </cell>
          <cell r="AS573">
            <v>726910</v>
          </cell>
        </row>
        <row r="574">
          <cell r="B574">
            <v>1268690</v>
          </cell>
          <cell r="C574">
            <v>186</v>
          </cell>
          <cell r="D574">
            <v>1266608.8231623399</v>
          </cell>
          <cell r="U574">
            <v>542770</v>
          </cell>
          <cell r="W574" t="e">
            <v>#DIV/0!</v>
          </cell>
          <cell r="X574">
            <v>156</v>
          </cell>
          <cell r="AH574">
            <v>68320</v>
          </cell>
          <cell r="AS574">
            <v>0</v>
          </cell>
        </row>
        <row r="575">
          <cell r="B575">
            <v>1268690</v>
          </cell>
          <cell r="C575">
            <v>187</v>
          </cell>
          <cell r="D575">
            <v>1266608.8231623399</v>
          </cell>
          <cell r="U575">
            <v>690315</v>
          </cell>
          <cell r="W575" t="e">
            <v>#DIV/0!</v>
          </cell>
          <cell r="X575">
            <v>157</v>
          </cell>
          <cell r="AH575">
            <v>68320</v>
          </cell>
          <cell r="AS575">
            <v>0</v>
          </cell>
        </row>
        <row r="576">
          <cell r="B576">
            <v>1485026</v>
          </cell>
          <cell r="C576">
            <v>188</v>
          </cell>
          <cell r="D576">
            <v>1482589.942559236</v>
          </cell>
          <cell r="U576">
            <v>636097</v>
          </cell>
          <cell r="W576" t="e">
            <v>#DIV/0!</v>
          </cell>
          <cell r="X576">
            <v>158</v>
          </cell>
          <cell r="AH576">
            <v>68320</v>
          </cell>
          <cell r="AS576">
            <v>0</v>
          </cell>
        </row>
        <row r="577">
          <cell r="B577">
            <v>1636631</v>
          </cell>
          <cell r="C577">
            <v>189</v>
          </cell>
          <cell r="D577">
            <v>1633946.2475947659</v>
          </cell>
          <cell r="U577">
            <v>647094</v>
          </cell>
          <cell r="W577" t="e">
            <v>#DIV/0!</v>
          </cell>
          <cell r="X577">
            <v>159</v>
          </cell>
          <cell r="AH577">
            <v>0</v>
          </cell>
          <cell r="AS577">
            <v>0</v>
          </cell>
        </row>
        <row r="578">
          <cell r="B578">
            <v>1695961</v>
          </cell>
          <cell r="C578">
            <v>190</v>
          </cell>
          <cell r="D578">
            <v>1693178.9218321459</v>
          </cell>
          <cell r="U578">
            <v>738578</v>
          </cell>
          <cell r="W578" t="e">
            <v>#DIV/0!</v>
          </cell>
          <cell r="X578">
            <v>160</v>
          </cell>
          <cell r="AH578">
            <v>68320</v>
          </cell>
          <cell r="AS578">
            <v>407143</v>
          </cell>
        </row>
        <row r="579">
          <cell r="B579">
            <v>1271213</v>
          </cell>
          <cell r="C579">
            <v>191</v>
          </cell>
          <cell r="D579">
            <v>1269127.6843978181</v>
          </cell>
          <cell r="U579">
            <v>495337</v>
          </cell>
          <cell r="W579" t="e">
            <v>#DIV/0!</v>
          </cell>
          <cell r="X579">
            <v>161</v>
          </cell>
          <cell r="AH579">
            <v>68320</v>
          </cell>
          <cell r="AS579">
            <v>714013</v>
          </cell>
        </row>
        <row r="580">
          <cell r="B580">
            <v>1101447</v>
          </cell>
          <cell r="C580">
            <v>192</v>
          </cell>
          <cell r="D580">
            <v>1099640.170920942</v>
          </cell>
          <cell r="U580">
            <v>450662</v>
          </cell>
          <cell r="W580" t="e">
            <v>#DIV/0!</v>
          </cell>
          <cell r="X580">
            <v>162</v>
          </cell>
          <cell r="AH580">
            <v>68319</v>
          </cell>
          <cell r="AS580">
            <v>406973</v>
          </cell>
        </row>
        <row r="581">
          <cell r="B581">
            <v>1076094</v>
          </cell>
          <cell r="C581">
            <v>193</v>
          </cell>
          <cell r="D581">
            <v>1074328.7603370841</v>
          </cell>
          <cell r="U581">
            <v>816475</v>
          </cell>
          <cell r="W581" t="e">
            <v>#DIV/0!</v>
          </cell>
          <cell r="X581">
            <v>163</v>
          </cell>
          <cell r="AH581">
            <v>68320</v>
          </cell>
          <cell r="AS581">
            <v>206011</v>
          </cell>
        </row>
        <row r="582">
          <cell r="B582">
            <v>1268690</v>
          </cell>
          <cell r="C582">
            <v>194</v>
          </cell>
          <cell r="D582">
            <v>1266608.8231623399</v>
          </cell>
          <cell r="U582">
            <v>1466910</v>
          </cell>
          <cell r="W582" t="e">
            <v>#DIV/0!</v>
          </cell>
          <cell r="X582">
            <v>164</v>
          </cell>
          <cell r="AH582">
            <v>68320</v>
          </cell>
          <cell r="AS582">
            <v>0</v>
          </cell>
        </row>
        <row r="583">
          <cell r="B583">
            <v>1564536</v>
          </cell>
          <cell r="C583">
            <v>195</v>
          </cell>
          <cell r="D583">
            <v>1561969.5132420959</v>
          </cell>
          <cell r="U583">
            <v>1421600</v>
          </cell>
          <cell r="W583" t="e">
            <v>#DIV/0!</v>
          </cell>
          <cell r="X583">
            <v>165</v>
          </cell>
          <cell r="AH583">
            <v>0</v>
          </cell>
          <cell r="AS583">
            <v>434600</v>
          </cell>
        </row>
        <row r="584">
          <cell r="B584">
            <v>2137806</v>
          </cell>
          <cell r="C584">
            <v>196</v>
          </cell>
          <cell r="D584">
            <v>2134299.113108316</v>
          </cell>
          <cell r="U584">
            <v>1261015</v>
          </cell>
          <cell r="W584" t="e">
            <v>#DIV/0!</v>
          </cell>
          <cell r="X584">
            <v>166</v>
          </cell>
          <cell r="AH584">
            <v>68320</v>
          </cell>
          <cell r="AS584">
            <v>0</v>
          </cell>
        </row>
        <row r="585">
          <cell r="B585">
            <v>2312123</v>
          </cell>
          <cell r="C585">
            <v>197</v>
          </cell>
          <cell r="D585">
            <v>2308330.1610610778</v>
          </cell>
          <cell r="U585">
            <v>645625</v>
          </cell>
          <cell r="W585" t="e">
            <v>#DIV/0!</v>
          </cell>
          <cell r="X585">
            <v>167</v>
          </cell>
          <cell r="AH585">
            <v>68320</v>
          </cell>
          <cell r="AS585">
            <v>0</v>
          </cell>
        </row>
        <row r="586">
          <cell r="B586">
            <v>1892072</v>
          </cell>
          <cell r="C586">
            <v>198</v>
          </cell>
          <cell r="D586">
            <v>1888968.2186021919</v>
          </cell>
          <cell r="U586">
            <v>1212149</v>
          </cell>
          <cell r="W586" t="e">
            <v>#DIV/0!</v>
          </cell>
          <cell r="X586">
            <v>168</v>
          </cell>
          <cell r="AH586">
            <v>0</v>
          </cell>
          <cell r="AS586">
            <v>0</v>
          </cell>
        </row>
        <row r="587">
          <cell r="B587">
            <v>1801749</v>
          </cell>
          <cell r="C587">
            <v>199</v>
          </cell>
          <cell r="D587">
            <v>1798793.385715914</v>
          </cell>
          <cell r="U587">
            <v>1530215</v>
          </cell>
          <cell r="W587" t="e">
            <v>#DIV/0!</v>
          </cell>
          <cell r="X587">
            <v>169</v>
          </cell>
          <cell r="AH587">
            <v>0</v>
          </cell>
          <cell r="AS587">
            <v>0</v>
          </cell>
        </row>
        <row r="588">
          <cell r="B588">
            <v>2092529</v>
          </cell>
          <cell r="C588">
            <v>200</v>
          </cell>
          <cell r="D588">
            <v>2089096.386132994</v>
          </cell>
          <cell r="U588">
            <v>697426</v>
          </cell>
          <cell r="W588" t="e">
            <v>#DIV/0!</v>
          </cell>
          <cell r="X588">
            <v>170</v>
          </cell>
          <cell r="AH588">
            <v>0</v>
          </cell>
          <cell r="AS588">
            <v>0</v>
          </cell>
        </row>
        <row r="589">
          <cell r="B589">
            <v>2335075</v>
          </cell>
          <cell r="C589">
            <v>201</v>
          </cell>
          <cell r="D589">
            <v>2331244.51027895</v>
          </cell>
          <cell r="U589">
            <v>346550</v>
          </cell>
          <cell r="W589" t="e">
            <v>#DIV/0!</v>
          </cell>
          <cell r="X589">
            <v>171</v>
          </cell>
          <cell r="AH589">
            <v>0</v>
          </cell>
          <cell r="AS589">
            <v>0</v>
          </cell>
        </row>
        <row r="590">
          <cell r="B590">
            <v>2664831</v>
          </cell>
          <cell r="C590">
            <v>202</v>
          </cell>
          <cell r="D590">
            <v>2660459.5739199659</v>
          </cell>
          <cell r="U590">
            <v>512801</v>
          </cell>
          <cell r="W590" t="e">
            <v>#DIV/0!</v>
          </cell>
          <cell r="X590">
            <v>172</v>
          </cell>
          <cell r="AH590">
            <v>0</v>
          </cell>
          <cell r="AS590">
            <v>0</v>
          </cell>
        </row>
        <row r="591">
          <cell r="B591">
            <v>2118160</v>
          </cell>
          <cell r="C591">
            <v>203</v>
          </cell>
          <cell r="D591">
            <v>2114685.3406817601</v>
          </cell>
          <cell r="U591">
            <v>403866</v>
          </cell>
          <cell r="W591" t="e">
            <v>#DIV/0!</v>
          </cell>
          <cell r="X591">
            <v>173</v>
          </cell>
          <cell r="AH591">
            <v>0</v>
          </cell>
          <cell r="AS591">
            <v>0</v>
          </cell>
        </row>
        <row r="592">
          <cell r="B592">
            <v>1763015</v>
          </cell>
          <cell r="C592">
            <v>204</v>
          </cell>
          <cell r="D592">
            <v>1760122.92551179</v>
          </cell>
          <cell r="U592">
            <v>797436</v>
          </cell>
          <cell r="W592" t="e">
            <v>#DIV/0!</v>
          </cell>
          <cell r="X592">
            <v>174</v>
          </cell>
          <cell r="AH592">
            <v>46174</v>
          </cell>
          <cell r="AS592">
            <v>0</v>
          </cell>
        </row>
        <row r="593">
          <cell r="B593">
            <v>2016231</v>
          </cell>
          <cell r="C593">
            <v>205</v>
          </cell>
          <cell r="D593">
            <v>2012923.546440366</v>
          </cell>
          <cell r="U593">
            <v>975414</v>
          </cell>
          <cell r="W593" t="e">
            <v>#DIV/0!</v>
          </cell>
          <cell r="X593">
            <v>175</v>
          </cell>
          <cell r="AH593">
            <v>64883</v>
          </cell>
          <cell r="AS593">
            <v>0</v>
          </cell>
        </row>
        <row r="594">
          <cell r="B594">
            <v>1725352</v>
          </cell>
          <cell r="C594">
            <v>206</v>
          </cell>
          <cell r="D594">
            <v>1722521.708424272</v>
          </cell>
          <cell r="U594">
            <v>1019638</v>
          </cell>
          <cell r="W594" t="e">
            <v>#DIV/0!</v>
          </cell>
          <cell r="X594">
            <v>176</v>
          </cell>
          <cell r="AH594">
            <v>68320</v>
          </cell>
          <cell r="AS594">
            <v>0</v>
          </cell>
        </row>
        <row r="595">
          <cell r="B595">
            <v>1227411</v>
          </cell>
          <cell r="C595">
            <v>207</v>
          </cell>
          <cell r="D595">
            <v>1225397.537811846</v>
          </cell>
          <cell r="U595">
            <v>689308</v>
          </cell>
          <cell r="W595" t="e">
            <v>#DIV/0!</v>
          </cell>
          <cell r="X595">
            <v>177</v>
          </cell>
          <cell r="AH595">
            <v>68320</v>
          </cell>
          <cell r="AS595">
            <v>0</v>
          </cell>
        </row>
        <row r="596">
          <cell r="B596">
            <v>1108979</v>
          </cell>
          <cell r="C596">
            <v>208</v>
          </cell>
          <cell r="D596">
            <v>1107159.8153226939</v>
          </cell>
          <cell r="U596">
            <v>422024</v>
          </cell>
          <cell r="W596" t="e">
            <v>#DIV/0!</v>
          </cell>
          <cell r="X596">
            <v>178</v>
          </cell>
          <cell r="AH596">
            <v>0</v>
          </cell>
          <cell r="AS596">
            <v>0</v>
          </cell>
        </row>
        <row r="597">
          <cell r="B597">
            <v>1300748</v>
          </cell>
          <cell r="C597">
            <v>209</v>
          </cell>
          <cell r="D597">
            <v>1298614.234770328</v>
          </cell>
          <cell r="U597">
            <v>555202</v>
          </cell>
          <cell r="W597" t="e">
            <v>#DIV/0!</v>
          </cell>
          <cell r="X597">
            <v>179</v>
          </cell>
          <cell r="AH597">
            <v>0</v>
          </cell>
          <cell r="AS597">
            <v>0</v>
          </cell>
        </row>
        <row r="598">
          <cell r="B598">
            <v>1447149</v>
          </cell>
          <cell r="C598">
            <v>210</v>
          </cell>
          <cell r="D598">
            <v>1444775.076520314</v>
          </cell>
          <cell r="U598">
            <v>1088120</v>
          </cell>
          <cell r="W598" t="e">
            <v>#DIV/0!</v>
          </cell>
          <cell r="X598">
            <v>180</v>
          </cell>
          <cell r="AH598">
            <v>0</v>
          </cell>
          <cell r="AS598">
            <v>0</v>
          </cell>
        </row>
        <row r="599">
          <cell r="B599">
            <v>1261038</v>
          </cell>
          <cell r="C599">
            <v>211</v>
          </cell>
          <cell r="D599">
            <v>1258969.375610268</v>
          </cell>
          <cell r="U599">
            <v>2087271</v>
          </cell>
          <cell r="W599" t="e">
            <v>#DIV/0!</v>
          </cell>
          <cell r="X599">
            <v>181</v>
          </cell>
          <cell r="AH599">
            <v>68320</v>
          </cell>
          <cell r="AS599">
            <v>0</v>
          </cell>
        </row>
        <row r="600">
          <cell r="B600">
            <v>1034027</v>
          </cell>
          <cell r="C600">
            <v>212</v>
          </cell>
          <cell r="D600">
            <v>1032330.7676328219</v>
          </cell>
        </row>
        <row r="601">
          <cell r="B601">
            <v>917602</v>
          </cell>
          <cell r="C601">
            <v>213</v>
          </cell>
          <cell r="D601">
            <v>916096.75283277198</v>
          </cell>
        </row>
        <row r="602">
          <cell r="B602">
            <v>929748</v>
          </cell>
          <cell r="C602">
            <v>214</v>
          </cell>
          <cell r="D602">
            <v>928222.82836432802</v>
          </cell>
        </row>
        <row r="603">
          <cell r="B603">
            <v>1030876</v>
          </cell>
          <cell r="C603">
            <v>215</v>
          </cell>
          <cell r="D603">
            <v>1029184.9365773359</v>
          </cell>
        </row>
        <row r="604">
          <cell r="B604">
            <v>1173261</v>
          </cell>
          <cell r="C604">
            <v>216</v>
          </cell>
          <cell r="D604">
            <v>1171336.366229946</v>
          </cell>
        </row>
        <row r="605">
          <cell r="B605">
            <v>1354866</v>
          </cell>
          <cell r="C605">
            <v>217</v>
          </cell>
          <cell r="D605">
            <v>1352643.4588454759</v>
          </cell>
        </row>
      </sheetData>
      <sheetData sheetId="8" refreshError="1">
        <row r="5">
          <cell r="J5">
            <v>700000</v>
          </cell>
          <cell r="K5">
            <v>70000</v>
          </cell>
        </row>
        <row r="6">
          <cell r="H6" t="str">
            <v>PRICES REFERENCED IN EACH COLUMN</v>
          </cell>
          <cell r="J6">
            <v>690620</v>
          </cell>
          <cell r="K6">
            <v>69062</v>
          </cell>
        </row>
        <row r="7">
          <cell r="J7">
            <v>700000</v>
          </cell>
          <cell r="K7">
            <v>50000</v>
          </cell>
          <cell r="M7">
            <v>100000</v>
          </cell>
          <cell r="N7">
            <v>0</v>
          </cell>
        </row>
        <row r="8">
          <cell r="J8">
            <v>690620</v>
          </cell>
          <cell r="K8">
            <v>49330</v>
          </cell>
          <cell r="M8">
            <v>0</v>
          </cell>
          <cell r="N8">
            <v>0</v>
          </cell>
          <cell r="O8">
            <v>0.57314297537761227</v>
          </cell>
          <cell r="Q8">
            <v>0</v>
          </cell>
        </row>
        <row r="9">
          <cell r="I9" t="str">
            <v>October Pricing</v>
          </cell>
          <cell r="J9">
            <v>0</v>
          </cell>
          <cell r="K9">
            <v>96660</v>
          </cell>
          <cell r="M9">
            <v>0</v>
          </cell>
          <cell r="O9">
            <v>0.57314297537761227</v>
          </cell>
          <cell r="Q9">
            <v>0</v>
          </cell>
        </row>
        <row r="10">
          <cell r="I10" t="str">
            <v>DukeBCS2BS</v>
          </cell>
          <cell r="J10" t="str">
            <v>Duke1ABSTBS</v>
          </cell>
          <cell r="K10" t="str">
            <v>CoralABSTBS</v>
          </cell>
          <cell r="O10">
            <v>1</v>
          </cell>
        </row>
        <row r="11">
          <cell r="H11" t="str">
            <v>Mist Production</v>
          </cell>
          <cell r="I11" t="str">
            <v>DukeBCS2BS</v>
          </cell>
          <cell r="J11" t="str">
            <v>Duke1ABSTBS</v>
          </cell>
          <cell r="K11" t="str">
            <v>CoralABSTBS</v>
          </cell>
          <cell r="L11" t="str">
            <v>CoralBCS2BS</v>
          </cell>
          <cell r="M11" t="str">
            <v>SempraBCS2BS</v>
          </cell>
          <cell r="N11" t="str">
            <v>BPCanadaBCS2BS</v>
          </cell>
          <cell r="O11" t="str">
            <v>SempraABTCBS</v>
          </cell>
          <cell r="P11" t="str">
            <v>HuskeyABSTBS</v>
          </cell>
          <cell r="Q11" t="str">
            <v>BurlingtonABSTBS</v>
          </cell>
          <cell r="R11" t="str">
            <v>Unused "R"</v>
          </cell>
          <cell r="S11" t="str">
            <v>BPCanadaABTCBS</v>
          </cell>
          <cell r="T11" t="str">
            <v>Unused "T"</v>
          </cell>
          <cell r="U11" t="str">
            <v>BPCanadaABSTBS</v>
          </cell>
          <cell r="V11" t="str">
            <v>Unused "V"</v>
          </cell>
          <cell r="W11" t="str">
            <v>Load after annual</v>
          </cell>
          <cell r="X11" t="str">
            <v>Winter Only Load</v>
          </cell>
          <cell r="Y11" t="str">
            <v>Duke2ABSTBS</v>
          </cell>
          <cell r="Z11" t="str">
            <v>Duke3ABSTBS</v>
          </cell>
          <cell r="AA11" t="str">
            <v>SempraABSTBS</v>
          </cell>
          <cell r="AB11" t="str">
            <v>CanadianresABTCBS</v>
          </cell>
          <cell r="AC11" t="str">
            <v>NationalFuelRKBS</v>
          </cell>
          <cell r="AU11" t="str">
            <v>SEMPRAABSTSW</v>
          </cell>
        </row>
        <row r="12">
          <cell r="F12" t="str">
            <v>Total Flowing</v>
          </cell>
          <cell r="G12" t="str">
            <v>Total Storage</v>
          </cell>
          <cell r="H12" t="str">
            <v>Mist Production</v>
          </cell>
          <cell r="I12" t="str">
            <v>DukeBCS2BS</v>
          </cell>
          <cell r="J12" t="str">
            <v>Duke1ABSTBS</v>
          </cell>
          <cell r="K12" t="str">
            <v>CoralABSTBS</v>
          </cell>
          <cell r="L12" t="str">
            <v>CoralBCS2BS</v>
          </cell>
          <cell r="M12" t="str">
            <v>SempraBCS2BS</v>
          </cell>
          <cell r="N12" t="str">
            <v>BPCanadaBCS2BS</v>
          </cell>
          <cell r="O12" t="str">
            <v>SempraABTCBS</v>
          </cell>
          <cell r="P12" t="str">
            <v>HuskeyABSTBS</v>
          </cell>
          <cell r="Q12" t="str">
            <v>BurlingtonABSTBS</v>
          </cell>
          <cell r="R12" t="str">
            <v>Unused "R"</v>
          </cell>
          <cell r="S12" t="str">
            <v>BPCanadaABTCBS</v>
          </cell>
          <cell r="T12" t="str">
            <v>Unused "T"</v>
          </cell>
          <cell r="U12" t="str">
            <v>BPCanadaABSTBS</v>
          </cell>
          <cell r="V12" t="str">
            <v>Unused "V"</v>
          </cell>
          <cell r="W12" t="str">
            <v>Load after annual</v>
          </cell>
          <cell r="X12" t="str">
            <v>Winter Only Load</v>
          </cell>
          <cell r="Y12" t="str">
            <v>Duke2ABSTBS</v>
          </cell>
          <cell r="Z12" t="str">
            <v>Duke3ABSTBS</v>
          </cell>
          <cell r="AA12" t="str">
            <v>SempraABSTBS</v>
          </cell>
          <cell r="AB12" t="str">
            <v>CanadianresABTCBS</v>
          </cell>
          <cell r="AC12" t="str">
            <v>NationalFuelRKBS</v>
          </cell>
          <cell r="AD12" t="str">
            <v>OneokRKBS</v>
          </cell>
          <cell r="AE12" t="str">
            <v>EnsercoRKBS</v>
          </cell>
          <cell r="AF12" t="str">
            <v>WesternGasRKBS</v>
          </cell>
          <cell r="AG12" t="str">
            <v>ConocoPhRKBS</v>
          </cell>
          <cell r="AH12" t="str">
            <v>SempraRKBS</v>
          </cell>
          <cell r="AI12" t="str">
            <v>NationalFuelRKBS</v>
          </cell>
          <cell r="AJ12" t="str">
            <v>Unused "AJ"</v>
          </cell>
          <cell r="AK12" t="str">
            <v>Unused "AK"</v>
          </cell>
          <cell r="AL12" t="str">
            <v>Unused "AL"</v>
          </cell>
          <cell r="AM12" t="str">
            <v>Unused "AM"</v>
          </cell>
          <cell r="AN12" t="str">
            <v>Unused "AN"</v>
          </cell>
          <cell r="AO12" t="str">
            <v>Unused "AO"</v>
          </cell>
          <cell r="AP12" t="str">
            <v>Unused "AP"</v>
          </cell>
          <cell r="AQ12" t="str">
            <v>Unused "AQ"</v>
          </cell>
          <cell r="AR12" t="str">
            <v>Unused "AR"</v>
          </cell>
          <cell r="AS12" t="str">
            <v>Swing to Dispatch</v>
          </cell>
          <cell r="AT12" t="str">
            <v>Swing</v>
          </cell>
          <cell r="AU12" t="str">
            <v>SEMPRAABSTSW</v>
          </cell>
        </row>
        <row r="13">
          <cell r="H13" t="str">
            <v>Mist Production</v>
          </cell>
          <cell r="I13" t="str">
            <v>DukeBCS2BS</v>
          </cell>
          <cell r="J13" t="str">
            <v>Duke1ABSTBS</v>
          </cell>
          <cell r="K13" t="str">
            <v>CoralABSTBS</v>
          </cell>
          <cell r="L13" t="str">
            <v>CoralBCS2BS</v>
          </cell>
          <cell r="M13" t="str">
            <v>SempraBCS2BS</v>
          </cell>
          <cell r="N13" t="str">
            <v>BPCanadaBCS2BS</v>
          </cell>
          <cell r="O13" t="str">
            <v>SempraABTCBS</v>
          </cell>
          <cell r="P13" t="str">
            <v>HuskeyABSTBS</v>
          </cell>
          <cell r="Q13" t="str">
            <v>BurlingtonABSTBS</v>
          </cell>
          <cell r="R13" t="str">
            <v>Unused "R"</v>
          </cell>
          <cell r="S13" t="str">
            <v>BPCanadaABTCBS</v>
          </cell>
          <cell r="T13" t="str">
            <v>Unused "T"</v>
          </cell>
          <cell r="U13" t="str">
            <v>BPCanadaABSTBS</v>
          </cell>
          <cell r="V13" t="str">
            <v>Unused "V"</v>
          </cell>
          <cell r="Y13" t="str">
            <v>Duke2ABSTBS</v>
          </cell>
          <cell r="AU13" t="str">
            <v>swing</v>
          </cell>
        </row>
        <row r="15">
          <cell r="C15">
            <v>10</v>
          </cell>
          <cell r="D15">
            <v>1</v>
          </cell>
          <cell r="E15">
            <v>1</v>
          </cell>
          <cell r="F15">
            <v>982272.01963119593</v>
          </cell>
          <cell r="G15">
            <v>7000</v>
          </cell>
          <cell r="H15">
            <v>6420.5720000000001</v>
          </cell>
          <cell r="I15">
            <v>52531.083333333343</v>
          </cell>
          <cell r="J15">
            <v>44750</v>
          </cell>
          <cell r="K15">
            <v>45700.000000000007</v>
          </cell>
          <cell r="L15">
            <v>38790.541666666664</v>
          </cell>
          <cell r="M15">
            <v>37140.541666666672</v>
          </cell>
          <cell r="N15">
            <v>36440.541666666672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U15">
            <v>0</v>
          </cell>
        </row>
        <row r="16">
          <cell r="C16">
            <v>10</v>
          </cell>
          <cell r="D16">
            <v>2</v>
          </cell>
          <cell r="E16">
            <v>2</v>
          </cell>
          <cell r="F16">
            <v>1048117.82776624</v>
          </cell>
          <cell r="G16">
            <v>7000</v>
          </cell>
          <cell r="H16">
            <v>6420.5720000000001</v>
          </cell>
          <cell r="I16">
            <v>52531.083333333343</v>
          </cell>
          <cell r="J16">
            <v>44750</v>
          </cell>
          <cell r="K16">
            <v>45700.000000000007</v>
          </cell>
          <cell r="L16">
            <v>38790.541666666664</v>
          </cell>
          <cell r="M16">
            <v>37140.541666666672</v>
          </cell>
          <cell r="N16">
            <v>36440.541666666672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U16">
            <v>0</v>
          </cell>
        </row>
        <row r="17">
          <cell r="C17">
            <v>10</v>
          </cell>
          <cell r="D17">
            <v>3</v>
          </cell>
          <cell r="E17">
            <v>3</v>
          </cell>
          <cell r="F17">
            <v>957398.88890559191</v>
          </cell>
          <cell r="G17">
            <v>7000</v>
          </cell>
          <cell r="H17">
            <v>6420.5720000000001</v>
          </cell>
          <cell r="I17">
            <v>52531.083333333343</v>
          </cell>
          <cell r="J17">
            <v>44750</v>
          </cell>
          <cell r="K17">
            <v>45700.000000000007</v>
          </cell>
          <cell r="L17">
            <v>38790.541666666664</v>
          </cell>
          <cell r="M17">
            <v>37140.541666666672</v>
          </cell>
          <cell r="N17">
            <v>36440.541666666672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U17">
            <v>0</v>
          </cell>
        </row>
        <row r="18">
          <cell r="C18">
            <v>10</v>
          </cell>
          <cell r="D18">
            <v>4</v>
          </cell>
          <cell r="E18">
            <v>4</v>
          </cell>
          <cell r="F18">
            <v>934664.24441319995</v>
          </cell>
          <cell r="G18">
            <v>7000</v>
          </cell>
          <cell r="H18">
            <v>6420.5720000000001</v>
          </cell>
          <cell r="I18">
            <v>52531.083333333343</v>
          </cell>
          <cell r="J18">
            <v>44750</v>
          </cell>
          <cell r="K18">
            <v>45700.000000000007</v>
          </cell>
          <cell r="L18">
            <v>38790.541666666664</v>
          </cell>
          <cell r="M18">
            <v>37140.541666666672</v>
          </cell>
          <cell r="N18">
            <v>36440.541666666672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U18">
            <v>0</v>
          </cell>
        </row>
        <row r="19">
          <cell r="C19">
            <v>10</v>
          </cell>
          <cell r="D19">
            <v>5</v>
          </cell>
          <cell r="E19">
            <v>5</v>
          </cell>
          <cell r="F19">
            <v>891271.54336729599</v>
          </cell>
          <cell r="G19">
            <v>7000</v>
          </cell>
          <cell r="H19">
            <v>6420.5720000000001</v>
          </cell>
          <cell r="I19">
            <v>52531.083333333343</v>
          </cell>
          <cell r="J19">
            <v>44750</v>
          </cell>
          <cell r="K19">
            <v>45700.000000000007</v>
          </cell>
          <cell r="L19">
            <v>38790.541666666664</v>
          </cell>
          <cell r="M19">
            <v>37140.541666666672</v>
          </cell>
          <cell r="N19">
            <v>36440.541666666672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U19">
            <v>0</v>
          </cell>
        </row>
        <row r="20">
          <cell r="C20">
            <v>10</v>
          </cell>
          <cell r="D20">
            <v>6</v>
          </cell>
          <cell r="E20">
            <v>6</v>
          </cell>
          <cell r="F20">
            <v>1055407.8494632121</v>
          </cell>
          <cell r="G20">
            <v>7000</v>
          </cell>
          <cell r="H20">
            <v>6420.5720000000001</v>
          </cell>
          <cell r="I20">
            <v>52531.083333333343</v>
          </cell>
          <cell r="J20">
            <v>44750</v>
          </cell>
          <cell r="K20">
            <v>45700.000000000007</v>
          </cell>
          <cell r="L20">
            <v>38790.541666666664</v>
          </cell>
          <cell r="M20">
            <v>37140.541666666672</v>
          </cell>
          <cell r="N20">
            <v>36440.541666666672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U20">
            <v>0</v>
          </cell>
        </row>
        <row r="21">
          <cell r="C21">
            <v>10</v>
          </cell>
          <cell r="D21">
            <v>7</v>
          </cell>
          <cell r="E21">
            <v>7</v>
          </cell>
          <cell r="F21">
            <v>1078630.691793158</v>
          </cell>
          <cell r="G21">
            <v>7000</v>
          </cell>
          <cell r="H21">
            <v>6420.5720000000001</v>
          </cell>
          <cell r="I21">
            <v>52531.083333333343</v>
          </cell>
          <cell r="J21">
            <v>44750</v>
          </cell>
          <cell r="K21">
            <v>45700.000000000007</v>
          </cell>
          <cell r="L21">
            <v>38790.541666666664</v>
          </cell>
          <cell r="M21">
            <v>37140.541666666672</v>
          </cell>
          <cell r="N21">
            <v>36440.541666666672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U21">
            <v>0</v>
          </cell>
        </row>
        <row r="22">
          <cell r="C22">
            <v>10</v>
          </cell>
          <cell r="D22">
            <v>8</v>
          </cell>
          <cell r="E22">
            <v>8</v>
          </cell>
          <cell r="F22">
            <v>1281612.1710207479</v>
          </cell>
          <cell r="G22">
            <v>7000</v>
          </cell>
          <cell r="H22">
            <v>6420.5720000000001</v>
          </cell>
          <cell r="I22">
            <v>52531.083333333343</v>
          </cell>
          <cell r="J22">
            <v>44750</v>
          </cell>
          <cell r="K22">
            <v>45700.000000000007</v>
          </cell>
          <cell r="L22">
            <v>38790.541666666664</v>
          </cell>
          <cell r="M22">
            <v>37140.541666666672</v>
          </cell>
          <cell r="N22">
            <v>36440.541666666672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U22">
            <v>0</v>
          </cell>
        </row>
        <row r="23">
          <cell r="C23">
            <v>10</v>
          </cell>
          <cell r="D23">
            <v>9</v>
          </cell>
          <cell r="E23">
            <v>9</v>
          </cell>
          <cell r="F23">
            <v>1659473.3038492</v>
          </cell>
          <cell r="G23">
            <v>7000</v>
          </cell>
          <cell r="H23">
            <v>6420.5720000000001</v>
          </cell>
          <cell r="I23">
            <v>52531.083333333343</v>
          </cell>
          <cell r="J23">
            <v>44750</v>
          </cell>
          <cell r="K23">
            <v>45700.000000000007</v>
          </cell>
          <cell r="L23">
            <v>38790.541666666664</v>
          </cell>
          <cell r="M23">
            <v>37140.541666666672</v>
          </cell>
          <cell r="N23">
            <v>36440.541666666672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U23">
            <v>0</v>
          </cell>
        </row>
        <row r="24">
          <cell r="C24">
            <v>10</v>
          </cell>
          <cell r="D24">
            <v>10</v>
          </cell>
          <cell r="E24">
            <v>10</v>
          </cell>
          <cell r="F24">
            <v>1562010.4459851219</v>
          </cell>
          <cell r="G24">
            <v>7000</v>
          </cell>
          <cell r="H24">
            <v>6420.5720000000001</v>
          </cell>
          <cell r="I24">
            <v>52531.083333333343</v>
          </cell>
          <cell r="J24">
            <v>44750</v>
          </cell>
          <cell r="K24">
            <v>45700.000000000007</v>
          </cell>
          <cell r="L24">
            <v>38790.541666666664</v>
          </cell>
          <cell r="M24">
            <v>37140.541666666672</v>
          </cell>
          <cell r="N24">
            <v>36440.541666666672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U24">
            <v>0</v>
          </cell>
        </row>
        <row r="25">
          <cell r="C25">
            <v>10</v>
          </cell>
          <cell r="D25">
            <v>11</v>
          </cell>
          <cell r="E25">
            <v>11</v>
          </cell>
          <cell r="F25">
            <v>1752263.8388507979</v>
          </cell>
          <cell r="G25">
            <v>7000</v>
          </cell>
          <cell r="H25">
            <v>6420.5720000000001</v>
          </cell>
          <cell r="I25">
            <v>52531.083333333343</v>
          </cell>
          <cell r="J25">
            <v>44750</v>
          </cell>
          <cell r="K25">
            <v>45700.000000000007</v>
          </cell>
          <cell r="L25">
            <v>38790.541666666664</v>
          </cell>
          <cell r="M25">
            <v>37140.541666666672</v>
          </cell>
          <cell r="N25">
            <v>36440.541666666672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U25">
            <v>0</v>
          </cell>
        </row>
        <row r="26">
          <cell r="C26">
            <v>10</v>
          </cell>
          <cell r="D26">
            <v>12</v>
          </cell>
          <cell r="E26">
            <v>12</v>
          </cell>
          <cell r="F26">
            <v>1511440.537875464</v>
          </cell>
          <cell r="G26">
            <v>7000</v>
          </cell>
          <cell r="H26">
            <v>6420.5720000000001</v>
          </cell>
          <cell r="I26">
            <v>52531.083333333343</v>
          </cell>
          <cell r="J26">
            <v>44750</v>
          </cell>
          <cell r="K26">
            <v>45700.000000000007</v>
          </cell>
          <cell r="L26">
            <v>38790.541666666664</v>
          </cell>
          <cell r="M26">
            <v>37140.541666666672</v>
          </cell>
          <cell r="N26">
            <v>36440.541666666672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U26">
            <v>0</v>
          </cell>
        </row>
        <row r="27">
          <cell r="C27">
            <v>10</v>
          </cell>
          <cell r="D27">
            <v>13</v>
          </cell>
          <cell r="E27">
            <v>13</v>
          </cell>
          <cell r="F27">
            <v>1610839.2149767959</v>
          </cell>
          <cell r="G27">
            <v>7000</v>
          </cell>
          <cell r="H27">
            <v>6420.5720000000001</v>
          </cell>
          <cell r="I27">
            <v>52531.083333333343</v>
          </cell>
          <cell r="J27">
            <v>44750</v>
          </cell>
          <cell r="K27">
            <v>45700.000000000007</v>
          </cell>
          <cell r="L27">
            <v>38790.541666666664</v>
          </cell>
          <cell r="M27">
            <v>37140.541666666672</v>
          </cell>
          <cell r="N27">
            <v>36440.541666666672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U27">
            <v>0</v>
          </cell>
        </row>
        <row r="28">
          <cell r="C28">
            <v>10</v>
          </cell>
          <cell r="D28">
            <v>14</v>
          </cell>
          <cell r="E28">
            <v>14</v>
          </cell>
          <cell r="F28">
            <v>1634394.5110488799</v>
          </cell>
          <cell r="G28">
            <v>7000</v>
          </cell>
          <cell r="H28">
            <v>6420.5720000000001</v>
          </cell>
          <cell r="I28">
            <v>52531.083333333343</v>
          </cell>
          <cell r="J28">
            <v>44750</v>
          </cell>
          <cell r="K28">
            <v>45700.000000000007</v>
          </cell>
          <cell r="L28">
            <v>38790.541666666664</v>
          </cell>
          <cell r="M28">
            <v>37140.541666666672</v>
          </cell>
          <cell r="N28">
            <v>36440.541666666672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U28">
            <v>0</v>
          </cell>
        </row>
        <row r="29">
          <cell r="C29">
            <v>10</v>
          </cell>
          <cell r="D29">
            <v>15</v>
          </cell>
          <cell r="E29">
            <v>15</v>
          </cell>
          <cell r="F29">
            <v>1833445.448586388</v>
          </cell>
          <cell r="G29">
            <v>7000</v>
          </cell>
          <cell r="H29">
            <v>6420.5720000000001</v>
          </cell>
          <cell r="I29">
            <v>52531.083333333343</v>
          </cell>
          <cell r="J29">
            <v>44750</v>
          </cell>
          <cell r="K29">
            <v>45700.000000000007</v>
          </cell>
          <cell r="L29">
            <v>38790.541666666664</v>
          </cell>
          <cell r="M29">
            <v>37140.541666666672</v>
          </cell>
          <cell r="N29">
            <v>36440.541666666672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U29">
            <v>0</v>
          </cell>
        </row>
        <row r="30">
          <cell r="C30">
            <v>10</v>
          </cell>
          <cell r="D30">
            <v>16</v>
          </cell>
          <cell r="E30">
            <v>16</v>
          </cell>
          <cell r="F30">
            <v>1255294.413974202</v>
          </cell>
          <cell r="G30">
            <v>7000</v>
          </cell>
          <cell r="H30">
            <v>6420.5720000000001</v>
          </cell>
          <cell r="I30">
            <v>52531.083333333343</v>
          </cell>
          <cell r="J30">
            <v>44750</v>
          </cell>
          <cell r="K30">
            <v>45700.000000000007</v>
          </cell>
          <cell r="L30">
            <v>38790.541666666664</v>
          </cell>
          <cell r="M30">
            <v>37140.541666666672</v>
          </cell>
          <cell r="N30">
            <v>36440.541666666672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U30">
            <v>0</v>
          </cell>
        </row>
        <row r="31">
          <cell r="C31">
            <v>10</v>
          </cell>
          <cell r="D31">
            <v>17</v>
          </cell>
          <cell r="E31">
            <v>17</v>
          </cell>
          <cell r="F31">
            <v>1002537.72086741</v>
          </cell>
          <cell r="G31">
            <v>7000</v>
          </cell>
          <cell r="H31">
            <v>6420.5720000000001</v>
          </cell>
          <cell r="I31">
            <v>52531.083333333343</v>
          </cell>
          <cell r="J31">
            <v>44750</v>
          </cell>
          <cell r="K31">
            <v>45700.000000000007</v>
          </cell>
          <cell r="L31">
            <v>38790.541666666664</v>
          </cell>
          <cell r="M31">
            <v>37140.541666666672</v>
          </cell>
          <cell r="N31">
            <v>36440.541666666672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U31">
            <v>0</v>
          </cell>
        </row>
        <row r="32">
          <cell r="C32">
            <v>10</v>
          </cell>
          <cell r="D32">
            <v>18</v>
          </cell>
          <cell r="E32">
            <v>18</v>
          </cell>
          <cell r="F32">
            <v>976667.22891539196</v>
          </cell>
          <cell r="G32">
            <v>7000</v>
          </cell>
          <cell r="H32">
            <v>6420.5720000000001</v>
          </cell>
          <cell r="I32">
            <v>52531.083333333343</v>
          </cell>
          <cell r="J32">
            <v>44750</v>
          </cell>
          <cell r="K32">
            <v>45700.000000000007</v>
          </cell>
          <cell r="L32">
            <v>38790.541666666664</v>
          </cell>
          <cell r="M32">
            <v>37140.541666666672</v>
          </cell>
          <cell r="N32">
            <v>36440.541666666672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U32">
            <v>0</v>
          </cell>
        </row>
        <row r="33">
          <cell r="C33">
            <v>10</v>
          </cell>
          <cell r="D33">
            <v>19</v>
          </cell>
          <cell r="E33">
            <v>19</v>
          </cell>
          <cell r="F33">
            <v>952895.28881314595</v>
          </cell>
          <cell r="G33">
            <v>7000</v>
          </cell>
          <cell r="H33">
            <v>6420.5720000000001</v>
          </cell>
          <cell r="I33">
            <v>52531.083333333343</v>
          </cell>
          <cell r="J33">
            <v>44750</v>
          </cell>
          <cell r="K33">
            <v>45700.000000000007</v>
          </cell>
          <cell r="L33">
            <v>38790.541666666664</v>
          </cell>
          <cell r="M33">
            <v>37140.541666666672</v>
          </cell>
          <cell r="N33">
            <v>36440.541666666672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U33">
            <v>0</v>
          </cell>
        </row>
        <row r="34">
          <cell r="C34">
            <v>10</v>
          </cell>
          <cell r="D34">
            <v>20</v>
          </cell>
          <cell r="E34">
            <v>20</v>
          </cell>
          <cell r="F34">
            <v>932617.60726189998</v>
          </cell>
          <cell r="G34">
            <v>7000</v>
          </cell>
          <cell r="H34">
            <v>6420.5720000000001</v>
          </cell>
          <cell r="I34">
            <v>52531.083333333343</v>
          </cell>
          <cell r="J34">
            <v>44750</v>
          </cell>
          <cell r="K34">
            <v>45700.000000000007</v>
          </cell>
          <cell r="L34">
            <v>38790.541666666664</v>
          </cell>
          <cell r="M34">
            <v>37140.541666666672</v>
          </cell>
          <cell r="N34">
            <v>36440.541666666672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U34">
            <v>0</v>
          </cell>
        </row>
        <row r="35">
          <cell r="C35">
            <v>10</v>
          </cell>
          <cell r="D35">
            <v>21</v>
          </cell>
          <cell r="E35">
            <v>21</v>
          </cell>
          <cell r="F35">
            <v>866258.64229965198</v>
          </cell>
          <cell r="G35">
            <v>7000</v>
          </cell>
          <cell r="H35">
            <v>6420.5720000000001</v>
          </cell>
          <cell r="I35">
            <v>52531.083333333343</v>
          </cell>
          <cell r="J35">
            <v>44750</v>
          </cell>
          <cell r="K35">
            <v>45700.000000000007</v>
          </cell>
          <cell r="L35">
            <v>38790.541666666664</v>
          </cell>
          <cell r="M35">
            <v>37140.541666666672</v>
          </cell>
          <cell r="N35">
            <v>36440.541666666672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U35">
            <v>0</v>
          </cell>
        </row>
        <row r="36">
          <cell r="C36">
            <v>10</v>
          </cell>
          <cell r="D36">
            <v>22</v>
          </cell>
          <cell r="E36">
            <v>22</v>
          </cell>
          <cell r="F36">
            <v>1114410.9009958119</v>
          </cell>
          <cell r="G36">
            <v>7000</v>
          </cell>
          <cell r="H36">
            <v>6420.5720000000001</v>
          </cell>
          <cell r="I36">
            <v>52531.083333333343</v>
          </cell>
          <cell r="J36">
            <v>44750</v>
          </cell>
          <cell r="K36">
            <v>45700.000000000007</v>
          </cell>
          <cell r="L36">
            <v>38790.541666666664</v>
          </cell>
          <cell r="M36">
            <v>37140.541666666672</v>
          </cell>
          <cell r="N36">
            <v>36440.541666666672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U36">
            <v>0</v>
          </cell>
        </row>
        <row r="37">
          <cell r="C37">
            <v>10</v>
          </cell>
          <cell r="D37">
            <v>23</v>
          </cell>
          <cell r="E37">
            <v>23</v>
          </cell>
          <cell r="F37">
            <v>1613539.7776569258</v>
          </cell>
          <cell r="G37">
            <v>7000</v>
          </cell>
          <cell r="H37">
            <v>6420.5720000000001</v>
          </cell>
          <cell r="I37">
            <v>52531.083333333343</v>
          </cell>
          <cell r="J37">
            <v>44750</v>
          </cell>
          <cell r="K37">
            <v>45700.000000000007</v>
          </cell>
          <cell r="L37">
            <v>38790.541666666664</v>
          </cell>
          <cell r="M37">
            <v>37140.541666666672</v>
          </cell>
          <cell r="N37">
            <v>36440.541666666672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U37">
            <v>0</v>
          </cell>
        </row>
        <row r="38">
          <cell r="B38">
            <v>38284</v>
          </cell>
          <cell r="C38">
            <v>10</v>
          </cell>
          <cell r="D38">
            <v>24</v>
          </cell>
          <cell r="E38">
            <v>24</v>
          </cell>
          <cell r="F38">
            <v>1760394.479319182</v>
          </cell>
          <cell r="G38">
            <v>7000</v>
          </cell>
          <cell r="H38">
            <v>6420.5720000000001</v>
          </cell>
          <cell r="I38">
            <v>52531.083333333343</v>
          </cell>
          <cell r="J38">
            <v>44750</v>
          </cell>
          <cell r="K38">
            <v>45700.000000000007</v>
          </cell>
          <cell r="L38">
            <v>38790.541666666664</v>
          </cell>
          <cell r="M38">
            <v>37140.541666666672</v>
          </cell>
          <cell r="N38">
            <v>36440.541666666672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U38">
            <v>0</v>
          </cell>
        </row>
        <row r="39">
          <cell r="B39">
            <v>38285</v>
          </cell>
          <cell r="C39">
            <v>10</v>
          </cell>
          <cell r="D39">
            <v>25</v>
          </cell>
          <cell r="E39">
            <v>25</v>
          </cell>
          <cell r="F39">
            <v>1449538.25010512</v>
          </cell>
          <cell r="G39">
            <v>7000</v>
          </cell>
          <cell r="H39">
            <v>6420.5720000000001</v>
          </cell>
          <cell r="I39">
            <v>52531.083333333343</v>
          </cell>
          <cell r="J39">
            <v>44750</v>
          </cell>
          <cell r="K39">
            <v>45700.000000000007</v>
          </cell>
          <cell r="L39">
            <v>38790.541666666664</v>
          </cell>
          <cell r="M39">
            <v>37140.541666666672</v>
          </cell>
          <cell r="N39">
            <v>36440.541666666672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U39">
            <v>0</v>
          </cell>
        </row>
        <row r="40">
          <cell r="B40">
            <v>38286</v>
          </cell>
          <cell r="C40">
            <v>10</v>
          </cell>
          <cell r="D40">
            <v>26</v>
          </cell>
          <cell r="E40">
            <v>26</v>
          </cell>
          <cell r="F40">
            <v>1234108.2251996959</v>
          </cell>
          <cell r="G40">
            <v>7000</v>
          </cell>
          <cell r="H40">
            <v>6420.5720000000001</v>
          </cell>
          <cell r="I40">
            <v>52531.083333333343</v>
          </cell>
          <cell r="J40">
            <v>44750</v>
          </cell>
          <cell r="K40">
            <v>45700.000000000007</v>
          </cell>
          <cell r="L40">
            <v>38790.541666666664</v>
          </cell>
          <cell r="M40">
            <v>37140.541666666672</v>
          </cell>
          <cell r="N40">
            <v>36440.541666666672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U40">
            <v>0</v>
          </cell>
        </row>
        <row r="41">
          <cell r="B41">
            <v>38287</v>
          </cell>
          <cell r="C41">
            <v>10</v>
          </cell>
          <cell r="D41">
            <v>27</v>
          </cell>
          <cell r="E41">
            <v>27</v>
          </cell>
          <cell r="F41">
            <v>1241374.286266604</v>
          </cell>
          <cell r="G41">
            <v>7000</v>
          </cell>
          <cell r="H41">
            <v>6420.5720000000001</v>
          </cell>
          <cell r="I41">
            <v>52531.083333333343</v>
          </cell>
          <cell r="J41">
            <v>44750</v>
          </cell>
          <cell r="K41">
            <v>45700.000000000007</v>
          </cell>
          <cell r="L41">
            <v>38790.541666666664</v>
          </cell>
          <cell r="M41">
            <v>37140.541666666672</v>
          </cell>
          <cell r="N41">
            <v>36440.541666666672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U41">
            <v>0</v>
          </cell>
        </row>
        <row r="42">
          <cell r="B42">
            <v>38288</v>
          </cell>
          <cell r="C42">
            <v>10</v>
          </cell>
          <cell r="D42">
            <v>28</v>
          </cell>
          <cell r="E42">
            <v>28</v>
          </cell>
          <cell r="F42">
            <v>1319928.2135718421</v>
          </cell>
          <cell r="G42">
            <v>7000</v>
          </cell>
          <cell r="H42">
            <v>6420.5720000000001</v>
          </cell>
          <cell r="I42">
            <v>52531.083333333343</v>
          </cell>
          <cell r="J42">
            <v>44750</v>
          </cell>
          <cell r="K42">
            <v>45700.000000000007</v>
          </cell>
          <cell r="L42">
            <v>38790.541666666664</v>
          </cell>
          <cell r="M42">
            <v>37140.541666666672</v>
          </cell>
          <cell r="N42">
            <v>36440.541666666672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U42">
            <v>0</v>
          </cell>
        </row>
        <row r="43">
          <cell r="B43">
            <v>38289</v>
          </cell>
          <cell r="C43">
            <v>10</v>
          </cell>
          <cell r="D43">
            <v>29</v>
          </cell>
          <cell r="E43">
            <v>29</v>
          </cell>
          <cell r="F43">
            <v>1523456.79385256</v>
          </cell>
          <cell r="G43">
            <v>885516</v>
          </cell>
          <cell r="H43">
            <v>6420.5720000000001</v>
          </cell>
          <cell r="I43">
            <v>52531.083333333343</v>
          </cell>
          <cell r="J43">
            <v>44750</v>
          </cell>
          <cell r="K43">
            <v>45700.000000000007</v>
          </cell>
          <cell r="L43">
            <v>38790.541666666664</v>
          </cell>
          <cell r="M43">
            <v>37140.541666666672</v>
          </cell>
          <cell r="N43">
            <v>36440.541666666672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U43">
            <v>0</v>
          </cell>
        </row>
        <row r="44">
          <cell r="B44">
            <v>38290</v>
          </cell>
          <cell r="C44">
            <v>10</v>
          </cell>
          <cell r="D44">
            <v>30</v>
          </cell>
          <cell r="E44">
            <v>30</v>
          </cell>
          <cell r="F44">
            <v>1523456.79385256</v>
          </cell>
          <cell r="G44">
            <v>1813976</v>
          </cell>
          <cell r="H44">
            <v>6420.5720000000001</v>
          </cell>
          <cell r="I44">
            <v>52531.083333333343</v>
          </cell>
          <cell r="J44">
            <v>44750</v>
          </cell>
          <cell r="K44">
            <v>45700.000000000007</v>
          </cell>
          <cell r="L44">
            <v>38790.541666666664</v>
          </cell>
          <cell r="M44">
            <v>37140.541666666672</v>
          </cell>
          <cell r="N44">
            <v>36440.541666666672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U44">
            <v>0</v>
          </cell>
        </row>
        <row r="45">
          <cell r="B45">
            <v>38291</v>
          </cell>
          <cell r="C45">
            <v>10</v>
          </cell>
          <cell r="D45">
            <v>31</v>
          </cell>
          <cell r="E45">
            <v>31</v>
          </cell>
          <cell r="F45">
            <v>1523456.79385256</v>
          </cell>
          <cell r="G45">
            <v>2345879</v>
          </cell>
          <cell r="H45">
            <v>6420.5720000000001</v>
          </cell>
          <cell r="I45">
            <v>52531.083333333343</v>
          </cell>
          <cell r="J45">
            <v>44750</v>
          </cell>
          <cell r="K45">
            <v>45700.000000000007</v>
          </cell>
          <cell r="L45">
            <v>38790.541666666664</v>
          </cell>
          <cell r="M45">
            <v>37140.541666666672</v>
          </cell>
          <cell r="N45">
            <v>36440.541666666672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U45">
            <v>0</v>
          </cell>
        </row>
        <row r="46">
          <cell r="B46">
            <v>38292</v>
          </cell>
          <cell r="C46">
            <v>11</v>
          </cell>
          <cell r="D46">
            <v>1</v>
          </cell>
          <cell r="E46">
            <v>32</v>
          </cell>
          <cell r="F46">
            <v>2472667.1374337799</v>
          </cell>
          <cell r="G46">
            <v>888968</v>
          </cell>
          <cell r="H46">
            <v>6420.5720000000001</v>
          </cell>
          <cell r="I46">
            <v>94361.403902474252</v>
          </cell>
          <cell r="J46">
            <v>44775</v>
          </cell>
          <cell r="K46">
            <v>45700.000000000007</v>
          </cell>
          <cell r="L46">
            <v>36680.701951237126</v>
          </cell>
          <cell r="M46">
            <v>37080.701951237126</v>
          </cell>
          <cell r="N46">
            <v>36380.701951237126</v>
          </cell>
          <cell r="O46">
            <v>46980.701951237133</v>
          </cell>
          <cell r="P46">
            <v>53550</v>
          </cell>
          <cell r="Q46">
            <v>82275</v>
          </cell>
          <cell r="R46">
            <v>0</v>
          </cell>
          <cell r="S46">
            <v>43430.701951237126</v>
          </cell>
          <cell r="T46">
            <v>0</v>
          </cell>
          <cell r="U46">
            <v>55400</v>
          </cell>
          <cell r="V46">
            <v>0</v>
          </cell>
          <cell r="Y46">
            <v>27987.5</v>
          </cell>
          <cell r="Z46">
            <v>0</v>
          </cell>
          <cell r="AA46">
            <v>59899.999999999993</v>
          </cell>
          <cell r="AB46">
            <v>51930.701951237119</v>
          </cell>
          <cell r="AC46">
            <v>61500</v>
          </cell>
          <cell r="AD46">
            <v>89475</v>
          </cell>
          <cell r="AE46">
            <v>59449.999999999993</v>
          </cell>
          <cell r="AF46">
            <v>59599.999999999993</v>
          </cell>
          <cell r="AG46">
            <v>30200</v>
          </cell>
          <cell r="AH46">
            <v>47519.999999999993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U46">
            <v>70650</v>
          </cell>
        </row>
        <row r="47">
          <cell r="B47">
            <v>38293</v>
          </cell>
          <cell r="C47">
            <v>11</v>
          </cell>
          <cell r="D47">
            <v>2</v>
          </cell>
          <cell r="E47">
            <v>33</v>
          </cell>
          <cell r="F47">
            <v>2472667.1374337799</v>
          </cell>
          <cell r="G47">
            <v>1344069</v>
          </cell>
          <cell r="H47">
            <v>6420.5720000000001</v>
          </cell>
          <cell r="I47">
            <v>94361.403902474252</v>
          </cell>
          <cell r="J47">
            <v>44775</v>
          </cell>
          <cell r="K47">
            <v>45700.000000000007</v>
          </cell>
          <cell r="L47">
            <v>36680.701951237126</v>
          </cell>
          <cell r="M47">
            <v>37080.701951237126</v>
          </cell>
          <cell r="N47">
            <v>36380.701951237126</v>
          </cell>
          <cell r="O47">
            <v>46980.701951237133</v>
          </cell>
          <cell r="P47">
            <v>53550</v>
          </cell>
          <cell r="Q47">
            <v>82275</v>
          </cell>
          <cell r="R47">
            <v>0</v>
          </cell>
          <cell r="S47">
            <v>43430.701951237126</v>
          </cell>
          <cell r="T47">
            <v>0</v>
          </cell>
          <cell r="U47">
            <v>55400</v>
          </cell>
          <cell r="V47">
            <v>0</v>
          </cell>
          <cell r="Y47">
            <v>27987.5</v>
          </cell>
          <cell r="Z47">
            <v>0</v>
          </cell>
          <cell r="AA47">
            <v>59899.999999999993</v>
          </cell>
          <cell r="AB47">
            <v>51930.701951237119</v>
          </cell>
          <cell r="AC47">
            <v>61500</v>
          </cell>
          <cell r="AD47">
            <v>89475</v>
          </cell>
          <cell r="AE47">
            <v>59449.999999999993</v>
          </cell>
          <cell r="AF47">
            <v>59599.999999999993</v>
          </cell>
          <cell r="AG47">
            <v>30200</v>
          </cell>
          <cell r="AH47">
            <v>47519.999999999993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U47">
            <v>70650</v>
          </cell>
        </row>
        <row r="48">
          <cell r="B48">
            <v>38294</v>
          </cell>
          <cell r="C48">
            <v>11</v>
          </cell>
          <cell r="D48">
            <v>3</v>
          </cell>
          <cell r="E48">
            <v>34</v>
          </cell>
          <cell r="F48">
            <v>2472667.1374337799</v>
          </cell>
          <cell r="G48">
            <v>1147122</v>
          </cell>
          <cell r="H48">
            <v>6420.5720000000001</v>
          </cell>
          <cell r="I48">
            <v>94361.403902474252</v>
          </cell>
          <cell r="J48">
            <v>44775</v>
          </cell>
          <cell r="K48">
            <v>45700.000000000007</v>
          </cell>
          <cell r="L48">
            <v>36680.701951237126</v>
          </cell>
          <cell r="M48">
            <v>37080.701951237126</v>
          </cell>
          <cell r="N48">
            <v>36380.701951237126</v>
          </cell>
          <cell r="O48">
            <v>46980.701951237133</v>
          </cell>
          <cell r="P48">
            <v>53550</v>
          </cell>
          <cell r="Q48">
            <v>82275</v>
          </cell>
          <cell r="R48">
            <v>0</v>
          </cell>
          <cell r="S48">
            <v>43430.701951237126</v>
          </cell>
          <cell r="T48">
            <v>0</v>
          </cell>
          <cell r="U48">
            <v>55400</v>
          </cell>
          <cell r="V48">
            <v>0</v>
          </cell>
          <cell r="Y48">
            <v>27987.5</v>
          </cell>
          <cell r="Z48">
            <v>0</v>
          </cell>
          <cell r="AA48">
            <v>59899.999999999993</v>
          </cell>
          <cell r="AB48">
            <v>51930.701951237119</v>
          </cell>
          <cell r="AC48">
            <v>61500</v>
          </cell>
          <cell r="AD48">
            <v>89475</v>
          </cell>
          <cell r="AE48">
            <v>59449.999999999993</v>
          </cell>
          <cell r="AF48">
            <v>59599.999999999993</v>
          </cell>
          <cell r="AG48">
            <v>30200</v>
          </cell>
          <cell r="AH48">
            <v>47519.999999999993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U48">
            <v>70650</v>
          </cell>
        </row>
        <row r="49">
          <cell r="B49">
            <v>38295</v>
          </cell>
          <cell r="C49">
            <v>11</v>
          </cell>
          <cell r="D49">
            <v>4</v>
          </cell>
          <cell r="E49">
            <v>35</v>
          </cell>
          <cell r="F49">
            <v>2472667.1374337799</v>
          </cell>
          <cell r="G49">
            <v>1498130</v>
          </cell>
          <cell r="H49">
            <v>6420.5720000000001</v>
          </cell>
          <cell r="I49">
            <v>94361.403902474252</v>
          </cell>
          <cell r="J49">
            <v>44775</v>
          </cell>
          <cell r="K49">
            <v>45700.000000000007</v>
          </cell>
          <cell r="L49">
            <v>36680.701951237126</v>
          </cell>
          <cell r="M49">
            <v>37080.701951237126</v>
          </cell>
          <cell r="N49">
            <v>36380.701951237126</v>
          </cell>
          <cell r="O49">
            <v>46980.701951237133</v>
          </cell>
          <cell r="P49">
            <v>53550</v>
          </cell>
          <cell r="Q49">
            <v>82275</v>
          </cell>
          <cell r="R49">
            <v>0</v>
          </cell>
          <cell r="S49">
            <v>43430.701951237126</v>
          </cell>
          <cell r="T49">
            <v>0</v>
          </cell>
          <cell r="U49">
            <v>55400</v>
          </cell>
          <cell r="V49">
            <v>0</v>
          </cell>
          <cell r="Y49">
            <v>27987.5</v>
          </cell>
          <cell r="Z49">
            <v>0</v>
          </cell>
          <cell r="AA49">
            <v>59899.999999999993</v>
          </cell>
          <cell r="AB49">
            <v>51930.701951237119</v>
          </cell>
          <cell r="AC49">
            <v>61500</v>
          </cell>
          <cell r="AD49">
            <v>89475</v>
          </cell>
          <cell r="AE49">
            <v>59449.999999999993</v>
          </cell>
          <cell r="AF49">
            <v>59599.999999999993</v>
          </cell>
          <cell r="AG49">
            <v>30200</v>
          </cell>
          <cell r="AH49">
            <v>47519.999999999993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U49">
            <v>70650</v>
          </cell>
        </row>
        <row r="50">
          <cell r="B50">
            <v>38296</v>
          </cell>
          <cell r="C50">
            <v>11</v>
          </cell>
          <cell r="D50">
            <v>5</v>
          </cell>
          <cell r="E50">
            <v>36</v>
          </cell>
          <cell r="F50">
            <v>2472667.1374337799</v>
          </cell>
          <cell r="G50">
            <v>1256349</v>
          </cell>
          <cell r="H50">
            <v>6420.5720000000001</v>
          </cell>
          <cell r="I50">
            <v>94361.403902474252</v>
          </cell>
          <cell r="J50">
            <v>44775</v>
          </cell>
          <cell r="K50">
            <v>45700.000000000007</v>
          </cell>
          <cell r="L50">
            <v>36680.701951237126</v>
          </cell>
          <cell r="M50">
            <v>37080.701951237126</v>
          </cell>
          <cell r="N50">
            <v>36380.701951237126</v>
          </cell>
          <cell r="O50">
            <v>46980.701951237133</v>
          </cell>
          <cell r="P50">
            <v>53550</v>
          </cell>
          <cell r="Q50">
            <v>82275</v>
          </cell>
          <cell r="R50">
            <v>0</v>
          </cell>
          <cell r="S50">
            <v>43430.701951237126</v>
          </cell>
          <cell r="T50">
            <v>0</v>
          </cell>
          <cell r="U50">
            <v>55400</v>
          </cell>
          <cell r="V50">
            <v>0</v>
          </cell>
          <cell r="Y50">
            <v>27987.5</v>
          </cell>
          <cell r="Z50">
            <v>0</v>
          </cell>
          <cell r="AA50">
            <v>59899.999999999993</v>
          </cell>
          <cell r="AB50">
            <v>51930.701951237119</v>
          </cell>
          <cell r="AC50">
            <v>61500</v>
          </cell>
          <cell r="AD50">
            <v>89475</v>
          </cell>
          <cell r="AE50">
            <v>59449.999999999993</v>
          </cell>
          <cell r="AF50">
            <v>59599.999999999993</v>
          </cell>
          <cell r="AG50">
            <v>30200</v>
          </cell>
          <cell r="AH50">
            <v>47519.999999999993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U50">
            <v>70650</v>
          </cell>
        </row>
        <row r="51">
          <cell r="B51">
            <v>38297</v>
          </cell>
          <cell r="C51">
            <v>11</v>
          </cell>
          <cell r="D51">
            <v>6</v>
          </cell>
          <cell r="E51">
            <v>37</v>
          </cell>
          <cell r="F51">
            <v>2472667.1374337799</v>
          </cell>
          <cell r="G51">
            <v>886012</v>
          </cell>
          <cell r="H51">
            <v>6420.5720000000001</v>
          </cell>
          <cell r="I51">
            <v>94361.403902474252</v>
          </cell>
          <cell r="J51">
            <v>44775</v>
          </cell>
          <cell r="K51">
            <v>45700.000000000007</v>
          </cell>
          <cell r="L51">
            <v>36680.701951237126</v>
          </cell>
          <cell r="M51">
            <v>37080.701951237126</v>
          </cell>
          <cell r="N51">
            <v>36380.701951237126</v>
          </cell>
          <cell r="O51">
            <v>46980.701951237133</v>
          </cell>
          <cell r="P51">
            <v>53550</v>
          </cell>
          <cell r="Q51">
            <v>82275</v>
          </cell>
          <cell r="R51">
            <v>0</v>
          </cell>
          <cell r="S51">
            <v>43430.701951237126</v>
          </cell>
          <cell r="T51">
            <v>0</v>
          </cell>
          <cell r="U51">
            <v>55400</v>
          </cell>
          <cell r="V51">
            <v>0</v>
          </cell>
          <cell r="Y51">
            <v>27987.5</v>
          </cell>
          <cell r="Z51">
            <v>0</v>
          </cell>
          <cell r="AA51">
            <v>59899.999999999993</v>
          </cell>
          <cell r="AB51">
            <v>51930.701951237119</v>
          </cell>
          <cell r="AC51">
            <v>61500</v>
          </cell>
          <cell r="AD51">
            <v>89475</v>
          </cell>
          <cell r="AE51">
            <v>59449.999999999993</v>
          </cell>
          <cell r="AF51">
            <v>59599.999999999993</v>
          </cell>
          <cell r="AG51">
            <v>30200</v>
          </cell>
          <cell r="AH51">
            <v>47519.999999999993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U51">
            <v>70650</v>
          </cell>
        </row>
        <row r="52">
          <cell r="B52">
            <v>38298</v>
          </cell>
          <cell r="C52">
            <v>11</v>
          </cell>
          <cell r="D52">
            <v>7</v>
          </cell>
          <cell r="E52">
            <v>38</v>
          </cell>
          <cell r="F52">
            <v>2472667.1374337799</v>
          </cell>
          <cell r="G52">
            <v>574985</v>
          </cell>
          <cell r="H52">
            <v>6420.5720000000001</v>
          </cell>
          <cell r="I52">
            <v>94361.403902474252</v>
          </cell>
          <cell r="J52">
            <v>44775</v>
          </cell>
          <cell r="K52">
            <v>45700.000000000007</v>
          </cell>
          <cell r="L52">
            <v>36680.701951237126</v>
          </cell>
          <cell r="M52">
            <v>37080.701951237126</v>
          </cell>
          <cell r="N52">
            <v>36380.701951237126</v>
          </cell>
          <cell r="O52">
            <v>46980.701951237133</v>
          </cell>
          <cell r="P52">
            <v>53550</v>
          </cell>
          <cell r="Q52">
            <v>82275</v>
          </cell>
          <cell r="R52">
            <v>0</v>
          </cell>
          <cell r="S52">
            <v>43430.701951237126</v>
          </cell>
          <cell r="T52">
            <v>0</v>
          </cell>
          <cell r="U52">
            <v>55400</v>
          </cell>
          <cell r="V52">
            <v>0</v>
          </cell>
          <cell r="Y52">
            <v>27987.5</v>
          </cell>
          <cell r="Z52">
            <v>0</v>
          </cell>
          <cell r="AA52">
            <v>59899.999999999993</v>
          </cell>
          <cell r="AB52">
            <v>51930.701951237119</v>
          </cell>
          <cell r="AC52">
            <v>61500</v>
          </cell>
          <cell r="AD52">
            <v>89475</v>
          </cell>
          <cell r="AE52">
            <v>59449.999999999993</v>
          </cell>
          <cell r="AF52">
            <v>59599.999999999993</v>
          </cell>
          <cell r="AG52">
            <v>30200</v>
          </cell>
          <cell r="AH52">
            <v>47519.999999999993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U52">
            <v>70650</v>
          </cell>
        </row>
        <row r="53">
          <cell r="B53">
            <v>38299</v>
          </cell>
          <cell r="C53">
            <v>11</v>
          </cell>
          <cell r="D53">
            <v>8</v>
          </cell>
          <cell r="E53">
            <v>39</v>
          </cell>
          <cell r="F53">
            <v>2472667.1374337799</v>
          </cell>
          <cell r="G53">
            <v>226488</v>
          </cell>
          <cell r="H53">
            <v>6420.5720000000001</v>
          </cell>
          <cell r="I53">
            <v>94361.403902474252</v>
          </cell>
          <cell r="J53">
            <v>44775</v>
          </cell>
          <cell r="K53">
            <v>45700.000000000007</v>
          </cell>
          <cell r="L53">
            <v>36680.701951237126</v>
          </cell>
          <cell r="M53">
            <v>37080.701951237126</v>
          </cell>
          <cell r="N53">
            <v>36380.701951237126</v>
          </cell>
          <cell r="O53">
            <v>46980.701951237133</v>
          </cell>
          <cell r="P53">
            <v>53550</v>
          </cell>
          <cell r="Q53">
            <v>82275</v>
          </cell>
          <cell r="R53">
            <v>0</v>
          </cell>
          <cell r="S53">
            <v>43430.701951237126</v>
          </cell>
          <cell r="T53">
            <v>0</v>
          </cell>
          <cell r="U53">
            <v>55400</v>
          </cell>
          <cell r="V53">
            <v>0</v>
          </cell>
          <cell r="Y53">
            <v>27987.5</v>
          </cell>
          <cell r="Z53">
            <v>0</v>
          </cell>
          <cell r="AA53">
            <v>59899.999999999993</v>
          </cell>
          <cell r="AB53">
            <v>51930.701951237119</v>
          </cell>
          <cell r="AC53">
            <v>61500</v>
          </cell>
          <cell r="AD53">
            <v>89475</v>
          </cell>
          <cell r="AE53">
            <v>59449.999999999993</v>
          </cell>
          <cell r="AF53">
            <v>59599.999999999993</v>
          </cell>
          <cell r="AG53">
            <v>30200</v>
          </cell>
          <cell r="AH53">
            <v>47519.999999999993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U53">
            <v>70650</v>
          </cell>
        </row>
        <row r="54">
          <cell r="B54">
            <v>38300</v>
          </cell>
          <cell r="C54">
            <v>11</v>
          </cell>
          <cell r="D54">
            <v>9</v>
          </cell>
          <cell r="E54">
            <v>40</v>
          </cell>
          <cell r="F54">
            <v>2240117.2423476279</v>
          </cell>
          <cell r="G54">
            <v>7000</v>
          </cell>
          <cell r="H54">
            <v>6420.5720000000001</v>
          </cell>
          <cell r="I54">
            <v>94361.403902474252</v>
          </cell>
          <cell r="J54">
            <v>44775</v>
          </cell>
          <cell r="K54">
            <v>45700.000000000007</v>
          </cell>
          <cell r="L54">
            <v>36680.701951237126</v>
          </cell>
          <cell r="M54">
            <v>37080.701951237126</v>
          </cell>
          <cell r="N54">
            <v>36380.701951237126</v>
          </cell>
          <cell r="O54">
            <v>46980.701951237133</v>
          </cell>
          <cell r="P54">
            <v>53550</v>
          </cell>
          <cell r="Q54">
            <v>82275</v>
          </cell>
          <cell r="R54">
            <v>0</v>
          </cell>
          <cell r="S54">
            <v>43430.701951237126</v>
          </cell>
          <cell r="T54">
            <v>0</v>
          </cell>
          <cell r="U54">
            <v>55400</v>
          </cell>
          <cell r="V54">
            <v>0</v>
          </cell>
          <cell r="Y54">
            <v>27987.5</v>
          </cell>
          <cell r="Z54">
            <v>0</v>
          </cell>
          <cell r="AA54">
            <v>59899.999999999993</v>
          </cell>
          <cell r="AB54">
            <v>51930.701951237119</v>
          </cell>
          <cell r="AC54">
            <v>61500</v>
          </cell>
          <cell r="AD54">
            <v>89475</v>
          </cell>
          <cell r="AE54">
            <v>59449.999999999993</v>
          </cell>
          <cell r="AF54">
            <v>59599.999999999993</v>
          </cell>
          <cell r="AG54">
            <v>30200</v>
          </cell>
          <cell r="AH54">
            <v>47519.999999999993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U54">
            <v>70650</v>
          </cell>
        </row>
        <row r="55">
          <cell r="B55">
            <v>38301</v>
          </cell>
          <cell r="C55">
            <v>11</v>
          </cell>
          <cell r="D55">
            <v>10</v>
          </cell>
          <cell r="E55">
            <v>41</v>
          </cell>
          <cell r="F55">
            <v>2430037.1831115801</v>
          </cell>
          <cell r="G55">
            <v>7000</v>
          </cell>
          <cell r="H55">
            <v>6420.5720000000001</v>
          </cell>
          <cell r="I55">
            <v>94361.403902474252</v>
          </cell>
          <cell r="J55">
            <v>44775</v>
          </cell>
          <cell r="K55">
            <v>45700.000000000007</v>
          </cell>
          <cell r="L55">
            <v>36680.701951237126</v>
          </cell>
          <cell r="M55">
            <v>37080.701951237126</v>
          </cell>
          <cell r="N55">
            <v>36380.701951237126</v>
          </cell>
          <cell r="O55">
            <v>46980.701951237133</v>
          </cell>
          <cell r="P55">
            <v>53550</v>
          </cell>
          <cell r="Q55">
            <v>82275</v>
          </cell>
          <cell r="R55">
            <v>0</v>
          </cell>
          <cell r="S55">
            <v>43430.701951237126</v>
          </cell>
          <cell r="T55">
            <v>0</v>
          </cell>
          <cell r="U55">
            <v>55400</v>
          </cell>
          <cell r="V55">
            <v>0</v>
          </cell>
          <cell r="Y55">
            <v>27987.5</v>
          </cell>
          <cell r="Z55">
            <v>0</v>
          </cell>
          <cell r="AA55">
            <v>59899.999999999993</v>
          </cell>
          <cell r="AB55">
            <v>51930.701951237119</v>
          </cell>
          <cell r="AC55">
            <v>61500</v>
          </cell>
          <cell r="AD55">
            <v>89475</v>
          </cell>
          <cell r="AE55">
            <v>59449.999999999993</v>
          </cell>
          <cell r="AF55">
            <v>59599.999999999993</v>
          </cell>
          <cell r="AG55">
            <v>30200</v>
          </cell>
          <cell r="AH55">
            <v>47519.999999999993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U55">
            <v>70650</v>
          </cell>
        </row>
        <row r="56">
          <cell r="B56">
            <v>38302</v>
          </cell>
          <cell r="C56">
            <v>11</v>
          </cell>
          <cell r="D56">
            <v>11</v>
          </cell>
          <cell r="E56">
            <v>42</v>
          </cell>
          <cell r="F56">
            <v>2384897.3527901759</v>
          </cell>
          <cell r="G56">
            <v>7000</v>
          </cell>
          <cell r="H56">
            <v>6420.5720000000001</v>
          </cell>
          <cell r="I56">
            <v>94361.403902474252</v>
          </cell>
          <cell r="J56">
            <v>44775</v>
          </cell>
          <cell r="K56">
            <v>45700.000000000007</v>
          </cell>
          <cell r="L56">
            <v>36680.701951237126</v>
          </cell>
          <cell r="M56">
            <v>37080.701951237126</v>
          </cell>
          <cell r="N56">
            <v>36380.701951237126</v>
          </cell>
          <cell r="O56">
            <v>46980.701951237133</v>
          </cell>
          <cell r="P56">
            <v>53550</v>
          </cell>
          <cell r="Q56">
            <v>82275</v>
          </cell>
          <cell r="R56">
            <v>0</v>
          </cell>
          <cell r="S56">
            <v>43430.701951237126</v>
          </cell>
          <cell r="T56">
            <v>0</v>
          </cell>
          <cell r="U56">
            <v>55400</v>
          </cell>
          <cell r="V56">
            <v>0</v>
          </cell>
          <cell r="Y56">
            <v>27987.5</v>
          </cell>
          <cell r="Z56">
            <v>0</v>
          </cell>
          <cell r="AA56">
            <v>59899.999999999993</v>
          </cell>
          <cell r="AB56">
            <v>51930.701951237119</v>
          </cell>
          <cell r="AC56">
            <v>61500</v>
          </cell>
          <cell r="AD56">
            <v>89475</v>
          </cell>
          <cell r="AE56">
            <v>59449.999999999993</v>
          </cell>
          <cell r="AF56">
            <v>59599.999999999993</v>
          </cell>
          <cell r="AG56">
            <v>30200</v>
          </cell>
          <cell r="AH56">
            <v>47519.999999999993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U56">
            <v>70650</v>
          </cell>
        </row>
        <row r="57">
          <cell r="B57">
            <v>38303</v>
          </cell>
          <cell r="C57">
            <v>11</v>
          </cell>
          <cell r="D57">
            <v>12</v>
          </cell>
          <cell r="E57">
            <v>43</v>
          </cell>
          <cell r="F57">
            <v>2472667.1374337799</v>
          </cell>
          <cell r="G57">
            <v>575506</v>
          </cell>
          <cell r="H57">
            <v>6420.5720000000001</v>
          </cell>
          <cell r="I57">
            <v>94361.403902474252</v>
          </cell>
          <cell r="J57">
            <v>44775</v>
          </cell>
          <cell r="K57">
            <v>45700.000000000007</v>
          </cell>
          <cell r="L57">
            <v>36680.701951237126</v>
          </cell>
          <cell r="M57">
            <v>37080.701951237126</v>
          </cell>
          <cell r="N57">
            <v>36380.701951237126</v>
          </cell>
          <cell r="O57">
            <v>46980.701951237133</v>
          </cell>
          <cell r="P57">
            <v>53550</v>
          </cell>
          <cell r="Q57">
            <v>82275</v>
          </cell>
          <cell r="R57">
            <v>0</v>
          </cell>
          <cell r="S57">
            <v>43430.701951237126</v>
          </cell>
          <cell r="T57">
            <v>0</v>
          </cell>
          <cell r="U57">
            <v>55400</v>
          </cell>
          <cell r="V57">
            <v>0</v>
          </cell>
          <cell r="Y57">
            <v>27987.5</v>
          </cell>
          <cell r="Z57">
            <v>0</v>
          </cell>
          <cell r="AA57">
            <v>59899.999999999993</v>
          </cell>
          <cell r="AB57">
            <v>51930.701951237119</v>
          </cell>
          <cell r="AC57">
            <v>61500</v>
          </cell>
          <cell r="AD57">
            <v>89475</v>
          </cell>
          <cell r="AE57">
            <v>59449.999999999993</v>
          </cell>
          <cell r="AF57">
            <v>59599.999999999993</v>
          </cell>
          <cell r="AG57">
            <v>30200</v>
          </cell>
          <cell r="AH57">
            <v>47519.999999999993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U57">
            <v>70650</v>
          </cell>
        </row>
        <row r="58">
          <cell r="B58">
            <v>38304</v>
          </cell>
          <cell r="C58">
            <v>11</v>
          </cell>
          <cell r="D58">
            <v>13</v>
          </cell>
          <cell r="E58">
            <v>44</v>
          </cell>
          <cell r="F58">
            <v>2472667.1374337799</v>
          </cell>
          <cell r="G58">
            <v>179371</v>
          </cell>
          <cell r="H58">
            <v>6420.5720000000001</v>
          </cell>
          <cell r="I58">
            <v>94361.403902474252</v>
          </cell>
          <cell r="J58">
            <v>44775</v>
          </cell>
          <cell r="K58">
            <v>45700.000000000007</v>
          </cell>
          <cell r="L58">
            <v>36680.701951237126</v>
          </cell>
          <cell r="M58">
            <v>37080.701951237126</v>
          </cell>
          <cell r="N58">
            <v>36380.701951237126</v>
          </cell>
          <cell r="O58">
            <v>46980.701951237133</v>
          </cell>
          <cell r="P58">
            <v>53550</v>
          </cell>
          <cell r="Q58">
            <v>82275</v>
          </cell>
          <cell r="R58">
            <v>0</v>
          </cell>
          <cell r="S58">
            <v>43430.701951237126</v>
          </cell>
          <cell r="T58">
            <v>0</v>
          </cell>
          <cell r="U58">
            <v>55400</v>
          </cell>
          <cell r="V58">
            <v>0</v>
          </cell>
          <cell r="Y58">
            <v>27987.5</v>
          </cell>
          <cell r="Z58">
            <v>0</v>
          </cell>
          <cell r="AA58">
            <v>59899.999999999993</v>
          </cell>
          <cell r="AB58">
            <v>51930.701951237119</v>
          </cell>
          <cell r="AC58">
            <v>61500</v>
          </cell>
          <cell r="AD58">
            <v>89475</v>
          </cell>
          <cell r="AE58">
            <v>59449.999999999993</v>
          </cell>
          <cell r="AF58">
            <v>59599.999999999993</v>
          </cell>
          <cell r="AG58">
            <v>30200</v>
          </cell>
          <cell r="AH58">
            <v>47519.999999999993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U58">
            <v>70650</v>
          </cell>
        </row>
        <row r="59">
          <cell r="B59">
            <v>38305</v>
          </cell>
          <cell r="C59">
            <v>11</v>
          </cell>
          <cell r="D59">
            <v>14</v>
          </cell>
          <cell r="E59">
            <v>45</v>
          </cell>
          <cell r="F59">
            <v>2325834.3996824161</v>
          </cell>
          <cell r="G59">
            <v>7000</v>
          </cell>
          <cell r="H59">
            <v>6420.5720000000001</v>
          </cell>
          <cell r="I59">
            <v>94361.403902474252</v>
          </cell>
          <cell r="J59">
            <v>44775</v>
          </cell>
          <cell r="K59">
            <v>45700.000000000007</v>
          </cell>
          <cell r="L59">
            <v>36680.701951237126</v>
          </cell>
          <cell r="M59">
            <v>37080.701951237126</v>
          </cell>
          <cell r="N59">
            <v>36380.701951237126</v>
          </cell>
          <cell r="O59">
            <v>46980.701951237133</v>
          </cell>
          <cell r="P59">
            <v>53550</v>
          </cell>
          <cell r="Q59">
            <v>82275</v>
          </cell>
          <cell r="R59">
            <v>0</v>
          </cell>
          <cell r="S59">
            <v>43430.701951237126</v>
          </cell>
          <cell r="T59">
            <v>0</v>
          </cell>
          <cell r="U59">
            <v>55400</v>
          </cell>
          <cell r="V59">
            <v>0</v>
          </cell>
          <cell r="Y59">
            <v>27987.5</v>
          </cell>
          <cell r="Z59">
            <v>0</v>
          </cell>
          <cell r="AA59">
            <v>59899.999999999993</v>
          </cell>
          <cell r="AB59">
            <v>51930.701951237119</v>
          </cell>
          <cell r="AC59">
            <v>61500</v>
          </cell>
          <cell r="AD59">
            <v>89475</v>
          </cell>
          <cell r="AE59">
            <v>59449.999999999993</v>
          </cell>
          <cell r="AF59">
            <v>59599.999999999993</v>
          </cell>
          <cell r="AG59">
            <v>30200</v>
          </cell>
          <cell r="AH59">
            <v>47519.999999999993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U59">
            <v>70650</v>
          </cell>
        </row>
        <row r="60">
          <cell r="B60">
            <v>38306</v>
          </cell>
          <cell r="C60">
            <v>11</v>
          </cell>
          <cell r="D60">
            <v>15</v>
          </cell>
          <cell r="E60">
            <v>46</v>
          </cell>
          <cell r="F60">
            <v>2457690.7452841941</v>
          </cell>
          <cell r="G60">
            <v>7000</v>
          </cell>
          <cell r="H60">
            <v>6420.5720000000001</v>
          </cell>
          <cell r="I60">
            <v>94361.403902474252</v>
          </cell>
          <cell r="J60">
            <v>44775</v>
          </cell>
          <cell r="K60">
            <v>45700.000000000007</v>
          </cell>
          <cell r="L60">
            <v>36680.701951237126</v>
          </cell>
          <cell r="M60">
            <v>37080.701951237126</v>
          </cell>
          <cell r="N60">
            <v>36380.701951237126</v>
          </cell>
          <cell r="O60">
            <v>46980.701951237133</v>
          </cell>
          <cell r="P60">
            <v>53550</v>
          </cell>
          <cell r="Q60">
            <v>82275</v>
          </cell>
          <cell r="R60">
            <v>0</v>
          </cell>
          <cell r="S60">
            <v>43430.701951237126</v>
          </cell>
          <cell r="T60">
            <v>0</v>
          </cell>
          <cell r="U60">
            <v>55400</v>
          </cell>
          <cell r="V60">
            <v>0</v>
          </cell>
          <cell r="Y60">
            <v>27987.5</v>
          </cell>
          <cell r="Z60">
            <v>0</v>
          </cell>
          <cell r="AA60">
            <v>59899.999999999993</v>
          </cell>
          <cell r="AB60">
            <v>51930.701951237119</v>
          </cell>
          <cell r="AC60">
            <v>61500</v>
          </cell>
          <cell r="AD60">
            <v>89475</v>
          </cell>
          <cell r="AE60">
            <v>59449.999999999993</v>
          </cell>
          <cell r="AF60">
            <v>59599.999999999993</v>
          </cell>
          <cell r="AG60">
            <v>30200</v>
          </cell>
          <cell r="AH60">
            <v>47519.999999999993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U60">
            <v>70650</v>
          </cell>
        </row>
        <row r="61">
          <cell r="B61">
            <v>38307</v>
          </cell>
          <cell r="C61">
            <v>11</v>
          </cell>
          <cell r="D61">
            <v>16</v>
          </cell>
          <cell r="E61">
            <v>47</v>
          </cell>
          <cell r="F61">
            <v>2472667.1374337799</v>
          </cell>
          <cell r="G61">
            <v>249343</v>
          </cell>
          <cell r="H61">
            <v>6420.5720000000001</v>
          </cell>
          <cell r="I61">
            <v>94361.403902474252</v>
          </cell>
          <cell r="J61">
            <v>44775</v>
          </cell>
          <cell r="K61">
            <v>45700.000000000007</v>
          </cell>
          <cell r="L61">
            <v>36680.701951237126</v>
          </cell>
          <cell r="M61">
            <v>37080.701951237126</v>
          </cell>
          <cell r="N61">
            <v>36380.701951237126</v>
          </cell>
          <cell r="O61">
            <v>46980.701951237133</v>
          </cell>
          <cell r="P61">
            <v>53550</v>
          </cell>
          <cell r="Q61">
            <v>82275</v>
          </cell>
          <cell r="R61">
            <v>0</v>
          </cell>
          <cell r="S61">
            <v>43430.701951237126</v>
          </cell>
          <cell r="T61">
            <v>0</v>
          </cell>
          <cell r="U61">
            <v>55400</v>
          </cell>
          <cell r="V61">
            <v>0</v>
          </cell>
          <cell r="Y61">
            <v>27987.5</v>
          </cell>
          <cell r="Z61">
            <v>0</v>
          </cell>
          <cell r="AA61">
            <v>59899.999999999993</v>
          </cell>
          <cell r="AB61">
            <v>51930.701951237119</v>
          </cell>
          <cell r="AC61">
            <v>61500</v>
          </cell>
          <cell r="AD61">
            <v>89475</v>
          </cell>
          <cell r="AE61">
            <v>59449.999999999993</v>
          </cell>
          <cell r="AF61">
            <v>59599.999999999993</v>
          </cell>
          <cell r="AG61">
            <v>30200</v>
          </cell>
          <cell r="AH61">
            <v>47519.999999999993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U61">
            <v>70650</v>
          </cell>
        </row>
        <row r="62">
          <cell r="B62">
            <v>38308</v>
          </cell>
          <cell r="C62">
            <v>11</v>
          </cell>
          <cell r="D62">
            <v>17</v>
          </cell>
          <cell r="E62">
            <v>48</v>
          </cell>
          <cell r="F62">
            <v>2472667.1374337799</v>
          </cell>
          <cell r="G62">
            <v>238225</v>
          </cell>
          <cell r="H62">
            <v>6420.5720000000001</v>
          </cell>
          <cell r="I62">
            <v>94361.403902474252</v>
          </cell>
          <cell r="J62">
            <v>44775</v>
          </cell>
          <cell r="K62">
            <v>45700.000000000007</v>
          </cell>
          <cell r="L62">
            <v>36680.701951237126</v>
          </cell>
          <cell r="M62">
            <v>37080.701951237126</v>
          </cell>
          <cell r="N62">
            <v>36380.701951237126</v>
          </cell>
          <cell r="O62">
            <v>46980.701951237133</v>
          </cell>
          <cell r="P62">
            <v>53550</v>
          </cell>
          <cell r="Q62">
            <v>82275</v>
          </cell>
          <cell r="R62">
            <v>0</v>
          </cell>
          <cell r="S62">
            <v>43430.701951237126</v>
          </cell>
          <cell r="T62">
            <v>0</v>
          </cell>
          <cell r="U62">
            <v>55400</v>
          </cell>
          <cell r="V62">
            <v>0</v>
          </cell>
          <cell r="Y62">
            <v>27987.5</v>
          </cell>
          <cell r="Z62">
            <v>0</v>
          </cell>
          <cell r="AA62">
            <v>59899.999999999993</v>
          </cell>
          <cell r="AB62">
            <v>51930.701951237119</v>
          </cell>
          <cell r="AC62">
            <v>61500</v>
          </cell>
          <cell r="AD62">
            <v>89475</v>
          </cell>
          <cell r="AE62">
            <v>59449.999999999993</v>
          </cell>
          <cell r="AF62">
            <v>59599.999999999993</v>
          </cell>
          <cell r="AG62">
            <v>30200</v>
          </cell>
          <cell r="AH62">
            <v>47519.999999999993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U62">
            <v>70650</v>
          </cell>
        </row>
        <row r="63">
          <cell r="B63">
            <v>38309</v>
          </cell>
          <cell r="C63">
            <v>11</v>
          </cell>
          <cell r="D63">
            <v>18</v>
          </cell>
          <cell r="E63">
            <v>49</v>
          </cell>
          <cell r="F63">
            <v>2104664.8055170779</v>
          </cell>
          <cell r="G63">
            <v>7000</v>
          </cell>
          <cell r="H63">
            <v>6420.5720000000001</v>
          </cell>
          <cell r="I63">
            <v>94361.403902474252</v>
          </cell>
          <cell r="J63">
            <v>44775</v>
          </cell>
          <cell r="K63">
            <v>45700.000000000007</v>
          </cell>
          <cell r="L63">
            <v>36680.701951237126</v>
          </cell>
          <cell r="M63">
            <v>37080.701951237126</v>
          </cell>
          <cell r="N63">
            <v>36380.701951237126</v>
          </cell>
          <cell r="O63">
            <v>46980.701951237133</v>
          </cell>
          <cell r="P63">
            <v>53550</v>
          </cell>
          <cell r="Q63">
            <v>82275</v>
          </cell>
          <cell r="R63">
            <v>0</v>
          </cell>
          <cell r="S63">
            <v>43430.701951237126</v>
          </cell>
          <cell r="T63">
            <v>0</v>
          </cell>
          <cell r="U63">
            <v>55400</v>
          </cell>
          <cell r="V63">
            <v>0</v>
          </cell>
          <cell r="Y63">
            <v>27987.5</v>
          </cell>
          <cell r="Z63">
            <v>0</v>
          </cell>
          <cell r="AA63">
            <v>59899.999999999993</v>
          </cell>
          <cell r="AB63">
            <v>51930.701951237119</v>
          </cell>
          <cell r="AC63">
            <v>61500</v>
          </cell>
          <cell r="AD63">
            <v>89475</v>
          </cell>
          <cell r="AE63">
            <v>59449.999999999993</v>
          </cell>
          <cell r="AF63">
            <v>59599.999999999993</v>
          </cell>
          <cell r="AG63">
            <v>30200</v>
          </cell>
          <cell r="AH63">
            <v>47519.999999999993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U63">
            <v>55751.947524461277</v>
          </cell>
        </row>
        <row r="64">
          <cell r="B64">
            <v>38310</v>
          </cell>
          <cell r="C64">
            <v>11</v>
          </cell>
          <cell r="D64">
            <v>19</v>
          </cell>
          <cell r="E64">
            <v>50</v>
          </cell>
          <cell r="F64">
            <v>2472667.1374337799</v>
          </cell>
          <cell r="G64">
            <v>1458847</v>
          </cell>
          <cell r="H64">
            <v>6420.5720000000001</v>
          </cell>
          <cell r="I64">
            <v>94361.403902474252</v>
          </cell>
          <cell r="J64">
            <v>44775</v>
          </cell>
          <cell r="K64">
            <v>45700.000000000007</v>
          </cell>
          <cell r="L64">
            <v>36680.701951237126</v>
          </cell>
          <cell r="M64">
            <v>37080.701951237126</v>
          </cell>
          <cell r="N64">
            <v>36380.701951237126</v>
          </cell>
          <cell r="O64">
            <v>46980.701951237133</v>
          </cell>
          <cell r="P64">
            <v>53550</v>
          </cell>
          <cell r="Q64">
            <v>82275</v>
          </cell>
          <cell r="R64">
            <v>0</v>
          </cell>
          <cell r="S64">
            <v>43430.701951237126</v>
          </cell>
          <cell r="T64">
            <v>0</v>
          </cell>
          <cell r="U64">
            <v>55400</v>
          </cell>
          <cell r="V64">
            <v>0</v>
          </cell>
          <cell r="Y64">
            <v>27987.5</v>
          </cell>
          <cell r="Z64">
            <v>0</v>
          </cell>
          <cell r="AA64">
            <v>59899.999999999993</v>
          </cell>
          <cell r="AB64">
            <v>51930.701951237119</v>
          </cell>
          <cell r="AC64">
            <v>61500</v>
          </cell>
          <cell r="AD64">
            <v>89475</v>
          </cell>
          <cell r="AE64">
            <v>59449.999999999993</v>
          </cell>
          <cell r="AF64">
            <v>59599.999999999993</v>
          </cell>
          <cell r="AG64">
            <v>30200</v>
          </cell>
          <cell r="AH64">
            <v>47519.999999999993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U64">
            <v>70650</v>
          </cell>
        </row>
        <row r="65">
          <cell r="B65">
            <v>38311</v>
          </cell>
          <cell r="C65">
            <v>11</v>
          </cell>
          <cell r="D65">
            <v>20</v>
          </cell>
          <cell r="E65">
            <v>51</v>
          </cell>
          <cell r="F65">
            <v>2472667.1374337799</v>
          </cell>
          <cell r="G65">
            <v>1464446</v>
          </cell>
          <cell r="H65">
            <v>6420.5720000000001</v>
          </cell>
          <cell r="I65">
            <v>94361.403902474252</v>
          </cell>
          <cell r="J65">
            <v>44775</v>
          </cell>
          <cell r="K65">
            <v>45700.000000000007</v>
          </cell>
          <cell r="L65">
            <v>36680.701951237126</v>
          </cell>
          <cell r="M65">
            <v>37080.701951237126</v>
          </cell>
          <cell r="N65">
            <v>36380.701951237126</v>
          </cell>
          <cell r="O65">
            <v>46980.701951237133</v>
          </cell>
          <cell r="P65">
            <v>53550</v>
          </cell>
          <cell r="Q65">
            <v>82275</v>
          </cell>
          <cell r="R65">
            <v>0</v>
          </cell>
          <cell r="S65">
            <v>43430.701951237126</v>
          </cell>
          <cell r="T65">
            <v>0</v>
          </cell>
          <cell r="U65">
            <v>55400</v>
          </cell>
          <cell r="V65">
            <v>0</v>
          </cell>
          <cell r="Y65">
            <v>27987.5</v>
          </cell>
          <cell r="Z65">
            <v>0</v>
          </cell>
          <cell r="AA65">
            <v>59899.999999999993</v>
          </cell>
          <cell r="AB65">
            <v>51930.701951237119</v>
          </cell>
          <cell r="AC65">
            <v>61500</v>
          </cell>
          <cell r="AD65">
            <v>89475</v>
          </cell>
          <cell r="AE65">
            <v>59449.999999999993</v>
          </cell>
          <cell r="AF65">
            <v>59599.999999999993</v>
          </cell>
          <cell r="AG65">
            <v>30200</v>
          </cell>
          <cell r="AH65">
            <v>47519.999999999993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U65">
            <v>70650</v>
          </cell>
        </row>
        <row r="66">
          <cell r="B66">
            <v>38312</v>
          </cell>
          <cell r="C66">
            <v>11</v>
          </cell>
          <cell r="D66">
            <v>21</v>
          </cell>
          <cell r="E66">
            <v>52</v>
          </cell>
          <cell r="F66">
            <v>2472667.1374337799</v>
          </cell>
          <cell r="G66">
            <v>1848748</v>
          </cell>
          <cell r="H66">
            <v>6420.5720000000001</v>
          </cell>
          <cell r="I66">
            <v>94361.403902474252</v>
          </cell>
          <cell r="J66">
            <v>44775</v>
          </cell>
          <cell r="K66">
            <v>45700.000000000007</v>
          </cell>
          <cell r="L66">
            <v>36680.701951237126</v>
          </cell>
          <cell r="M66">
            <v>37080.701951237126</v>
          </cell>
          <cell r="N66">
            <v>36380.701951237126</v>
          </cell>
          <cell r="O66">
            <v>46980.701951237133</v>
          </cell>
          <cell r="P66">
            <v>53550</v>
          </cell>
          <cell r="Q66">
            <v>82275</v>
          </cell>
          <cell r="R66">
            <v>0</v>
          </cell>
          <cell r="S66">
            <v>43430.701951237126</v>
          </cell>
          <cell r="T66">
            <v>0</v>
          </cell>
          <cell r="U66">
            <v>55400</v>
          </cell>
          <cell r="V66">
            <v>0</v>
          </cell>
          <cell r="Y66">
            <v>27987.5</v>
          </cell>
          <cell r="Z66">
            <v>0</v>
          </cell>
          <cell r="AA66">
            <v>59899.999999999993</v>
          </cell>
          <cell r="AB66">
            <v>51930.701951237119</v>
          </cell>
          <cell r="AC66">
            <v>61500</v>
          </cell>
          <cell r="AD66">
            <v>89475</v>
          </cell>
          <cell r="AE66">
            <v>59449.999999999993</v>
          </cell>
          <cell r="AF66">
            <v>59599.999999999993</v>
          </cell>
          <cell r="AG66">
            <v>30200</v>
          </cell>
          <cell r="AH66">
            <v>47519.999999999993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U66">
            <v>70650</v>
          </cell>
        </row>
        <row r="67">
          <cell r="B67">
            <v>38313</v>
          </cell>
          <cell r="C67">
            <v>11</v>
          </cell>
          <cell r="D67">
            <v>22</v>
          </cell>
          <cell r="E67">
            <v>53</v>
          </cell>
          <cell r="F67">
            <v>2472667.1374337799</v>
          </cell>
          <cell r="G67">
            <v>1646125</v>
          </cell>
          <cell r="H67">
            <v>6420.5720000000001</v>
          </cell>
          <cell r="I67">
            <v>94361.403902474252</v>
          </cell>
          <cell r="J67">
            <v>44775</v>
          </cell>
          <cell r="K67">
            <v>45700.000000000007</v>
          </cell>
          <cell r="L67">
            <v>36680.701951237126</v>
          </cell>
          <cell r="M67">
            <v>37080.701951237126</v>
          </cell>
          <cell r="N67">
            <v>36380.701951237126</v>
          </cell>
          <cell r="O67">
            <v>46980.701951237133</v>
          </cell>
          <cell r="P67">
            <v>53550</v>
          </cell>
          <cell r="Q67">
            <v>82275</v>
          </cell>
          <cell r="R67">
            <v>0</v>
          </cell>
          <cell r="S67">
            <v>43430.701951237126</v>
          </cell>
          <cell r="T67">
            <v>0</v>
          </cell>
          <cell r="U67">
            <v>55400</v>
          </cell>
          <cell r="V67">
            <v>0</v>
          </cell>
          <cell r="Y67">
            <v>27987.5</v>
          </cell>
          <cell r="Z67">
            <v>0</v>
          </cell>
          <cell r="AA67">
            <v>59899.999999999993</v>
          </cell>
          <cell r="AB67">
            <v>51930.701951237119</v>
          </cell>
          <cell r="AC67">
            <v>61500</v>
          </cell>
          <cell r="AD67">
            <v>89475</v>
          </cell>
          <cell r="AE67">
            <v>59449.999999999993</v>
          </cell>
          <cell r="AF67">
            <v>59599.999999999993</v>
          </cell>
          <cell r="AG67">
            <v>30200</v>
          </cell>
          <cell r="AH67">
            <v>47519.999999999993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U67">
            <v>70650</v>
          </cell>
        </row>
        <row r="68">
          <cell r="B68">
            <v>38314</v>
          </cell>
          <cell r="C68">
            <v>11</v>
          </cell>
          <cell r="D68">
            <v>23</v>
          </cell>
          <cell r="E68">
            <v>54</v>
          </cell>
          <cell r="F68">
            <v>2472667.1374337799</v>
          </cell>
          <cell r="G68">
            <v>904160</v>
          </cell>
          <cell r="H68">
            <v>6420.5720000000001</v>
          </cell>
          <cell r="I68">
            <v>94361.403902474252</v>
          </cell>
          <cell r="J68">
            <v>44775</v>
          </cell>
          <cell r="K68">
            <v>45700.000000000007</v>
          </cell>
          <cell r="L68">
            <v>36680.701951237126</v>
          </cell>
          <cell r="M68">
            <v>37080.701951237126</v>
          </cell>
          <cell r="N68">
            <v>36380.701951237126</v>
          </cell>
          <cell r="O68">
            <v>46980.701951237133</v>
          </cell>
          <cell r="P68">
            <v>53550</v>
          </cell>
          <cell r="Q68">
            <v>82275</v>
          </cell>
          <cell r="R68">
            <v>0</v>
          </cell>
          <cell r="S68">
            <v>43430.701951237126</v>
          </cell>
          <cell r="T68">
            <v>0</v>
          </cell>
          <cell r="U68">
            <v>55400</v>
          </cell>
          <cell r="V68">
            <v>0</v>
          </cell>
          <cell r="Y68">
            <v>27987.5</v>
          </cell>
          <cell r="Z68">
            <v>0</v>
          </cell>
          <cell r="AA68">
            <v>59899.999999999993</v>
          </cell>
          <cell r="AB68">
            <v>51930.701951237119</v>
          </cell>
          <cell r="AC68">
            <v>61500</v>
          </cell>
          <cell r="AD68">
            <v>89475</v>
          </cell>
          <cell r="AE68">
            <v>59449.999999999993</v>
          </cell>
          <cell r="AF68">
            <v>59599.999999999993</v>
          </cell>
          <cell r="AG68">
            <v>30200</v>
          </cell>
          <cell r="AH68">
            <v>47519.999999999993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U68">
            <v>70650</v>
          </cell>
        </row>
        <row r="69">
          <cell r="B69">
            <v>38315</v>
          </cell>
          <cell r="C69">
            <v>11</v>
          </cell>
          <cell r="D69">
            <v>24</v>
          </cell>
          <cell r="E69">
            <v>55</v>
          </cell>
          <cell r="F69">
            <v>2472667.1374337799</v>
          </cell>
          <cell r="G69">
            <v>1262205</v>
          </cell>
          <cell r="H69">
            <v>6420.5720000000001</v>
          </cell>
          <cell r="I69">
            <v>94361.403902474252</v>
          </cell>
          <cell r="J69">
            <v>44775</v>
          </cell>
          <cell r="K69">
            <v>45700.000000000007</v>
          </cell>
          <cell r="L69">
            <v>36680.701951237126</v>
          </cell>
          <cell r="M69">
            <v>37080.701951237126</v>
          </cell>
          <cell r="N69">
            <v>36380.701951237126</v>
          </cell>
          <cell r="O69">
            <v>46980.701951237133</v>
          </cell>
          <cell r="P69">
            <v>53550</v>
          </cell>
          <cell r="Q69">
            <v>82275</v>
          </cell>
          <cell r="R69">
            <v>0</v>
          </cell>
          <cell r="S69">
            <v>43430.701951237126</v>
          </cell>
          <cell r="T69">
            <v>0</v>
          </cell>
          <cell r="U69">
            <v>55400</v>
          </cell>
          <cell r="V69">
            <v>0</v>
          </cell>
          <cell r="Y69">
            <v>27987.5</v>
          </cell>
          <cell r="Z69">
            <v>0</v>
          </cell>
          <cell r="AA69">
            <v>59899.999999999993</v>
          </cell>
          <cell r="AB69">
            <v>51930.701951237119</v>
          </cell>
          <cell r="AC69">
            <v>61500</v>
          </cell>
          <cell r="AD69">
            <v>89475</v>
          </cell>
          <cell r="AE69">
            <v>59449.999999999993</v>
          </cell>
          <cell r="AF69">
            <v>59599.999999999993</v>
          </cell>
          <cell r="AG69">
            <v>30200</v>
          </cell>
          <cell r="AH69">
            <v>47519.999999999993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U69">
            <v>70650</v>
          </cell>
        </row>
        <row r="70">
          <cell r="B70">
            <v>38316</v>
          </cell>
          <cell r="C70">
            <v>11</v>
          </cell>
          <cell r="D70">
            <v>25</v>
          </cell>
          <cell r="E70">
            <v>56</v>
          </cell>
          <cell r="F70">
            <v>2472667.1374337799</v>
          </cell>
          <cell r="G70">
            <v>1065832</v>
          </cell>
          <cell r="H70">
            <v>6420.5720000000001</v>
          </cell>
          <cell r="I70">
            <v>94361.403902474252</v>
          </cell>
          <cell r="J70">
            <v>44775</v>
          </cell>
          <cell r="K70">
            <v>45700.000000000007</v>
          </cell>
          <cell r="L70">
            <v>36680.701951237126</v>
          </cell>
          <cell r="M70">
            <v>37080.701951237126</v>
          </cell>
          <cell r="N70">
            <v>36380.701951237126</v>
          </cell>
          <cell r="O70">
            <v>46980.701951237133</v>
          </cell>
          <cell r="P70">
            <v>53550</v>
          </cell>
          <cell r="Q70">
            <v>82275</v>
          </cell>
          <cell r="R70">
            <v>0</v>
          </cell>
          <cell r="S70">
            <v>43430.701951237126</v>
          </cell>
          <cell r="T70">
            <v>0</v>
          </cell>
          <cell r="U70">
            <v>55400</v>
          </cell>
          <cell r="V70">
            <v>0</v>
          </cell>
          <cell r="Y70">
            <v>27987.5</v>
          </cell>
          <cell r="Z70">
            <v>0</v>
          </cell>
          <cell r="AA70">
            <v>59899.999999999993</v>
          </cell>
          <cell r="AB70">
            <v>51930.701951237119</v>
          </cell>
          <cell r="AC70">
            <v>61500</v>
          </cell>
          <cell r="AD70">
            <v>89475</v>
          </cell>
          <cell r="AE70">
            <v>59449.999999999993</v>
          </cell>
          <cell r="AF70">
            <v>59599.999999999993</v>
          </cell>
          <cell r="AG70">
            <v>30200</v>
          </cell>
          <cell r="AH70">
            <v>47519.999999999993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U70">
            <v>70650</v>
          </cell>
        </row>
        <row r="71">
          <cell r="B71">
            <v>38317</v>
          </cell>
          <cell r="C71">
            <v>11</v>
          </cell>
          <cell r="D71">
            <v>26</v>
          </cell>
          <cell r="E71">
            <v>57</v>
          </cell>
          <cell r="F71">
            <v>2472667.1374337799</v>
          </cell>
          <cell r="G71">
            <v>780512</v>
          </cell>
          <cell r="H71">
            <v>6420.5720000000001</v>
          </cell>
          <cell r="I71">
            <v>94361.403902474252</v>
          </cell>
          <cell r="J71">
            <v>44775</v>
          </cell>
          <cell r="K71">
            <v>45700.000000000007</v>
          </cell>
          <cell r="L71">
            <v>36680.701951237126</v>
          </cell>
          <cell r="M71">
            <v>37080.701951237126</v>
          </cell>
          <cell r="N71">
            <v>36380.701951237126</v>
          </cell>
          <cell r="O71">
            <v>46980.701951237133</v>
          </cell>
          <cell r="P71">
            <v>53550</v>
          </cell>
          <cell r="Q71">
            <v>82275</v>
          </cell>
          <cell r="R71">
            <v>0</v>
          </cell>
          <cell r="S71">
            <v>43430.701951237126</v>
          </cell>
          <cell r="T71">
            <v>0</v>
          </cell>
          <cell r="U71">
            <v>55400</v>
          </cell>
          <cell r="V71">
            <v>0</v>
          </cell>
          <cell r="Y71">
            <v>27987.5</v>
          </cell>
          <cell r="Z71">
            <v>0</v>
          </cell>
          <cell r="AA71">
            <v>59899.999999999993</v>
          </cell>
          <cell r="AB71">
            <v>51930.701951237119</v>
          </cell>
          <cell r="AC71">
            <v>61500</v>
          </cell>
          <cell r="AD71">
            <v>89475</v>
          </cell>
          <cell r="AE71">
            <v>59449.999999999993</v>
          </cell>
          <cell r="AF71">
            <v>59599.999999999993</v>
          </cell>
          <cell r="AG71">
            <v>30200</v>
          </cell>
          <cell r="AH71">
            <v>47519.999999999993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U71">
            <v>70650</v>
          </cell>
        </row>
        <row r="72">
          <cell r="B72">
            <v>38318</v>
          </cell>
          <cell r="C72">
            <v>11</v>
          </cell>
          <cell r="D72">
            <v>27</v>
          </cell>
          <cell r="E72">
            <v>58</v>
          </cell>
          <cell r="F72">
            <v>2472667.1374337799</v>
          </cell>
          <cell r="G72">
            <v>492929</v>
          </cell>
          <cell r="H72">
            <v>6420.5720000000001</v>
          </cell>
          <cell r="I72">
            <v>94361.403902474252</v>
          </cell>
          <cell r="J72">
            <v>44775</v>
          </cell>
          <cell r="K72">
            <v>45700.000000000007</v>
          </cell>
          <cell r="L72">
            <v>36680.701951237126</v>
          </cell>
          <cell r="M72">
            <v>37080.701951237126</v>
          </cell>
          <cell r="N72">
            <v>36380.701951237126</v>
          </cell>
          <cell r="O72">
            <v>46980.701951237133</v>
          </cell>
          <cell r="P72">
            <v>53550</v>
          </cell>
          <cell r="Q72">
            <v>82275</v>
          </cell>
          <cell r="R72">
            <v>0</v>
          </cell>
          <cell r="S72">
            <v>43430.701951237126</v>
          </cell>
          <cell r="T72">
            <v>0</v>
          </cell>
          <cell r="U72">
            <v>55400</v>
          </cell>
          <cell r="V72">
            <v>0</v>
          </cell>
          <cell r="Y72">
            <v>27987.5</v>
          </cell>
          <cell r="Z72">
            <v>0</v>
          </cell>
          <cell r="AA72">
            <v>59899.999999999993</v>
          </cell>
          <cell r="AB72">
            <v>51930.701951237119</v>
          </cell>
          <cell r="AC72">
            <v>61500</v>
          </cell>
          <cell r="AD72">
            <v>89475</v>
          </cell>
          <cell r="AE72">
            <v>59449.999999999993</v>
          </cell>
          <cell r="AF72">
            <v>59599.999999999993</v>
          </cell>
          <cell r="AG72">
            <v>30200</v>
          </cell>
          <cell r="AH72">
            <v>47519.999999999993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U72">
            <v>70650</v>
          </cell>
        </row>
        <row r="73">
          <cell r="B73">
            <v>38319</v>
          </cell>
          <cell r="C73">
            <v>11</v>
          </cell>
          <cell r="D73">
            <v>28</v>
          </cell>
          <cell r="E73">
            <v>59</v>
          </cell>
          <cell r="F73">
            <v>2456880.0773003618</v>
          </cell>
          <cell r="G73">
            <v>7000</v>
          </cell>
          <cell r="H73">
            <v>6420.5720000000001</v>
          </cell>
          <cell r="I73">
            <v>94361.403902474252</v>
          </cell>
          <cell r="J73">
            <v>44775</v>
          </cell>
          <cell r="K73">
            <v>45700.000000000007</v>
          </cell>
          <cell r="L73">
            <v>36680.701951237126</v>
          </cell>
          <cell r="M73">
            <v>37080.701951237126</v>
          </cell>
          <cell r="N73">
            <v>36380.701951237126</v>
          </cell>
          <cell r="O73">
            <v>46980.701951237133</v>
          </cell>
          <cell r="P73">
            <v>53550</v>
          </cell>
          <cell r="Q73">
            <v>82275</v>
          </cell>
          <cell r="R73">
            <v>0</v>
          </cell>
          <cell r="S73">
            <v>43430.701951237126</v>
          </cell>
          <cell r="T73">
            <v>0</v>
          </cell>
          <cell r="U73">
            <v>55400</v>
          </cell>
          <cell r="V73">
            <v>0</v>
          </cell>
          <cell r="Y73">
            <v>27987.5</v>
          </cell>
          <cell r="Z73">
            <v>0</v>
          </cell>
          <cell r="AA73">
            <v>59899.999999999993</v>
          </cell>
          <cell r="AB73">
            <v>51930.701951237119</v>
          </cell>
          <cell r="AC73">
            <v>61500</v>
          </cell>
          <cell r="AD73">
            <v>89475</v>
          </cell>
          <cell r="AE73">
            <v>59449.999999999993</v>
          </cell>
          <cell r="AF73">
            <v>59599.999999999993</v>
          </cell>
          <cell r="AG73">
            <v>30200</v>
          </cell>
          <cell r="AH73">
            <v>47519.999999999993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U73">
            <v>70650</v>
          </cell>
        </row>
        <row r="74">
          <cell r="B74">
            <v>38320</v>
          </cell>
          <cell r="C74">
            <v>11</v>
          </cell>
          <cell r="D74">
            <v>29</v>
          </cell>
          <cell r="E74">
            <v>60</v>
          </cell>
          <cell r="F74">
            <v>2286816.5103423637</v>
          </cell>
          <cell r="G74">
            <v>7000</v>
          </cell>
          <cell r="H74">
            <v>6420.5720000000001</v>
          </cell>
          <cell r="I74">
            <v>94361.403902474252</v>
          </cell>
          <cell r="J74">
            <v>44775</v>
          </cell>
          <cell r="K74">
            <v>45700.000000000007</v>
          </cell>
          <cell r="L74">
            <v>36680.701951237126</v>
          </cell>
          <cell r="M74">
            <v>37080.701951237126</v>
          </cell>
          <cell r="N74">
            <v>36380.701951237126</v>
          </cell>
          <cell r="O74">
            <v>46980.701951237133</v>
          </cell>
          <cell r="P74">
            <v>53550</v>
          </cell>
          <cell r="Q74">
            <v>82275</v>
          </cell>
          <cell r="R74">
            <v>0</v>
          </cell>
          <cell r="S74">
            <v>43430.701951237126</v>
          </cell>
          <cell r="T74">
            <v>0</v>
          </cell>
          <cell r="U74">
            <v>55400</v>
          </cell>
          <cell r="V74">
            <v>0</v>
          </cell>
          <cell r="Y74">
            <v>27987.5</v>
          </cell>
          <cell r="Z74">
            <v>0</v>
          </cell>
          <cell r="AA74">
            <v>59899.999999999993</v>
          </cell>
          <cell r="AB74">
            <v>51930.701951237119</v>
          </cell>
          <cell r="AC74">
            <v>61500</v>
          </cell>
          <cell r="AD74">
            <v>89475</v>
          </cell>
          <cell r="AE74">
            <v>59449.999999999993</v>
          </cell>
          <cell r="AF74">
            <v>59599.999999999993</v>
          </cell>
          <cell r="AG74">
            <v>30200</v>
          </cell>
          <cell r="AH74">
            <v>47519.999999999993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U74">
            <v>70650</v>
          </cell>
        </row>
        <row r="75">
          <cell r="B75">
            <v>38321</v>
          </cell>
          <cell r="C75">
            <v>11</v>
          </cell>
          <cell r="D75">
            <v>30</v>
          </cell>
          <cell r="E75">
            <v>61</v>
          </cell>
          <cell r="F75">
            <v>2472667.1374337799</v>
          </cell>
          <cell r="G75">
            <v>406729</v>
          </cell>
          <cell r="H75">
            <v>6420.5720000000001</v>
          </cell>
          <cell r="I75">
            <v>94361.403902474252</v>
          </cell>
          <cell r="J75">
            <v>44775</v>
          </cell>
          <cell r="K75">
            <v>45700.000000000007</v>
          </cell>
          <cell r="L75">
            <v>36680.701951237126</v>
          </cell>
          <cell r="M75">
            <v>37080.701951237126</v>
          </cell>
          <cell r="N75">
            <v>36380.701951237126</v>
          </cell>
          <cell r="O75">
            <v>46980.701951237133</v>
          </cell>
          <cell r="P75">
            <v>53550</v>
          </cell>
          <cell r="Q75">
            <v>82275</v>
          </cell>
          <cell r="R75">
            <v>0</v>
          </cell>
          <cell r="S75">
            <v>43430.701951237126</v>
          </cell>
          <cell r="T75">
            <v>0</v>
          </cell>
          <cell r="U75">
            <v>55400</v>
          </cell>
          <cell r="V75">
            <v>0</v>
          </cell>
          <cell r="Y75">
            <v>27987.5</v>
          </cell>
          <cell r="Z75">
            <v>0</v>
          </cell>
          <cell r="AA75">
            <v>59899.999999999993</v>
          </cell>
          <cell r="AB75">
            <v>51930.701951237119</v>
          </cell>
          <cell r="AC75">
            <v>61500</v>
          </cell>
          <cell r="AD75">
            <v>89475</v>
          </cell>
          <cell r="AE75">
            <v>59449.999999999993</v>
          </cell>
          <cell r="AF75">
            <v>59599.999999999993</v>
          </cell>
          <cell r="AG75">
            <v>30200</v>
          </cell>
          <cell r="AH75">
            <v>47519.999999999993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U75">
            <v>70650</v>
          </cell>
        </row>
        <row r="76">
          <cell r="B76">
            <v>38322</v>
          </cell>
          <cell r="C76">
            <v>12</v>
          </cell>
          <cell r="D76">
            <v>1</v>
          </cell>
          <cell r="E76">
            <v>62</v>
          </cell>
          <cell r="F76">
            <v>2617559.0641499599</v>
          </cell>
          <cell r="G76">
            <v>551086</v>
          </cell>
          <cell r="H76">
            <v>6420.5720000000001</v>
          </cell>
          <cell r="I76">
            <v>94361.403902474252</v>
          </cell>
          <cell r="J76">
            <v>44775</v>
          </cell>
          <cell r="K76">
            <v>45700.000000000007</v>
          </cell>
          <cell r="L76">
            <v>36680.701951237126</v>
          </cell>
          <cell r="M76">
            <v>37080.701951237126</v>
          </cell>
          <cell r="N76">
            <v>36380.701951237126</v>
          </cell>
          <cell r="O76">
            <v>46980.701951237133</v>
          </cell>
          <cell r="P76">
            <v>53550</v>
          </cell>
          <cell r="Q76">
            <v>82275</v>
          </cell>
          <cell r="R76">
            <v>0</v>
          </cell>
          <cell r="S76">
            <v>43430.701951237126</v>
          </cell>
          <cell r="T76">
            <v>0</v>
          </cell>
          <cell r="U76">
            <v>55400</v>
          </cell>
          <cell r="V76">
            <v>0</v>
          </cell>
          <cell r="Y76">
            <v>27987.5</v>
          </cell>
          <cell r="Z76">
            <v>90262.499999999985</v>
          </cell>
          <cell r="AA76">
            <v>59899.999999999993</v>
          </cell>
          <cell r="AB76">
            <v>51930.701951237119</v>
          </cell>
          <cell r="AC76">
            <v>61500</v>
          </cell>
          <cell r="AD76">
            <v>89475</v>
          </cell>
          <cell r="AE76">
            <v>59449.999999999993</v>
          </cell>
          <cell r="AF76">
            <v>59599.999999999993</v>
          </cell>
          <cell r="AG76">
            <v>30200</v>
          </cell>
          <cell r="AH76">
            <v>47519.999999999993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U76">
            <v>70650</v>
          </cell>
        </row>
        <row r="77">
          <cell r="B77">
            <v>38323</v>
          </cell>
          <cell r="C77">
            <v>12</v>
          </cell>
          <cell r="D77">
            <v>2</v>
          </cell>
          <cell r="E77">
            <v>63</v>
          </cell>
          <cell r="F77">
            <v>2617559.0641499599</v>
          </cell>
          <cell r="G77">
            <v>983063</v>
          </cell>
          <cell r="H77">
            <v>6420.5720000000001</v>
          </cell>
          <cell r="I77">
            <v>94361.403902474252</v>
          </cell>
          <cell r="J77">
            <v>44775</v>
          </cell>
          <cell r="K77">
            <v>45700.000000000007</v>
          </cell>
          <cell r="L77">
            <v>36680.701951237126</v>
          </cell>
          <cell r="M77">
            <v>37080.701951237126</v>
          </cell>
          <cell r="N77">
            <v>36380.701951237126</v>
          </cell>
          <cell r="O77">
            <v>46980.701951237133</v>
          </cell>
          <cell r="P77">
            <v>53550</v>
          </cell>
          <cell r="Q77">
            <v>82275</v>
          </cell>
          <cell r="R77">
            <v>0</v>
          </cell>
          <cell r="S77">
            <v>43430.701951237126</v>
          </cell>
          <cell r="T77">
            <v>0</v>
          </cell>
          <cell r="U77">
            <v>55400</v>
          </cell>
          <cell r="V77">
            <v>0</v>
          </cell>
          <cell r="Y77">
            <v>27987.5</v>
          </cell>
          <cell r="Z77">
            <v>90262.499999999985</v>
          </cell>
          <cell r="AA77">
            <v>59899.999999999993</v>
          </cell>
          <cell r="AB77">
            <v>51930.701951237119</v>
          </cell>
          <cell r="AC77">
            <v>61500</v>
          </cell>
          <cell r="AD77">
            <v>89475</v>
          </cell>
          <cell r="AE77">
            <v>59449.999999999993</v>
          </cell>
          <cell r="AF77">
            <v>59599.999999999993</v>
          </cell>
          <cell r="AG77">
            <v>30200</v>
          </cell>
          <cell r="AH77">
            <v>47519.999999999993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U77">
            <v>70650</v>
          </cell>
        </row>
        <row r="78">
          <cell r="B78">
            <v>38324</v>
          </cell>
          <cell r="C78">
            <v>12</v>
          </cell>
          <cell r="D78">
            <v>3</v>
          </cell>
          <cell r="E78">
            <v>64</v>
          </cell>
          <cell r="F78">
            <v>2617559.0641499599</v>
          </cell>
          <cell r="G78">
            <v>954031</v>
          </cell>
          <cell r="H78">
            <v>6420.5720000000001</v>
          </cell>
          <cell r="I78">
            <v>94361.403902474252</v>
          </cell>
          <cell r="J78">
            <v>44775</v>
          </cell>
          <cell r="K78">
            <v>45700.000000000007</v>
          </cell>
          <cell r="L78">
            <v>36680.701951237126</v>
          </cell>
          <cell r="M78">
            <v>37080.701951237126</v>
          </cell>
          <cell r="N78">
            <v>36380.701951237126</v>
          </cell>
          <cell r="O78">
            <v>46980.701951237133</v>
          </cell>
          <cell r="P78">
            <v>53550</v>
          </cell>
          <cell r="Q78">
            <v>82275</v>
          </cell>
          <cell r="R78">
            <v>0</v>
          </cell>
          <cell r="S78">
            <v>43430.701951237126</v>
          </cell>
          <cell r="T78">
            <v>0</v>
          </cell>
          <cell r="U78">
            <v>55400</v>
          </cell>
          <cell r="V78">
            <v>0</v>
          </cell>
          <cell r="Y78">
            <v>27987.5</v>
          </cell>
          <cell r="Z78">
            <v>90262.499999999985</v>
          </cell>
          <cell r="AA78">
            <v>59899.999999999993</v>
          </cell>
          <cell r="AB78">
            <v>51930.701951237119</v>
          </cell>
          <cell r="AC78">
            <v>61500</v>
          </cell>
          <cell r="AD78">
            <v>89475</v>
          </cell>
          <cell r="AE78">
            <v>59449.999999999993</v>
          </cell>
          <cell r="AF78">
            <v>59599.999999999993</v>
          </cell>
          <cell r="AG78">
            <v>30200</v>
          </cell>
          <cell r="AH78">
            <v>47519.999999999993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U78">
            <v>70650</v>
          </cell>
        </row>
        <row r="79">
          <cell r="B79">
            <v>38325</v>
          </cell>
          <cell r="C79">
            <v>12</v>
          </cell>
          <cell r="D79">
            <v>4</v>
          </cell>
          <cell r="E79">
            <v>65</v>
          </cell>
          <cell r="F79">
            <v>2617559.0641499599</v>
          </cell>
          <cell r="G79">
            <v>950066</v>
          </cell>
          <cell r="H79">
            <v>6420.5720000000001</v>
          </cell>
          <cell r="I79">
            <v>94361.403902474252</v>
          </cell>
          <cell r="J79">
            <v>44775</v>
          </cell>
          <cell r="K79">
            <v>45700.000000000007</v>
          </cell>
          <cell r="L79">
            <v>36680.701951237126</v>
          </cell>
          <cell r="M79">
            <v>37080.701951237126</v>
          </cell>
          <cell r="N79">
            <v>36380.701951237126</v>
          </cell>
          <cell r="O79">
            <v>46980.701951237133</v>
          </cell>
          <cell r="P79">
            <v>53550</v>
          </cell>
          <cell r="Q79">
            <v>82275</v>
          </cell>
          <cell r="R79">
            <v>0</v>
          </cell>
          <cell r="S79">
            <v>43430.701951237126</v>
          </cell>
          <cell r="T79">
            <v>0</v>
          </cell>
          <cell r="U79">
            <v>55400</v>
          </cell>
          <cell r="V79">
            <v>0</v>
          </cell>
          <cell r="Y79">
            <v>27987.5</v>
          </cell>
          <cell r="Z79">
            <v>90262.499999999985</v>
          </cell>
          <cell r="AA79">
            <v>59899.999999999993</v>
          </cell>
          <cell r="AB79">
            <v>51930.701951237119</v>
          </cell>
          <cell r="AC79">
            <v>61500</v>
          </cell>
          <cell r="AD79">
            <v>89475</v>
          </cell>
          <cell r="AE79">
            <v>59449.999999999993</v>
          </cell>
          <cell r="AF79">
            <v>59599.999999999993</v>
          </cell>
          <cell r="AG79">
            <v>30200</v>
          </cell>
          <cell r="AH79">
            <v>47519.999999999993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U79">
            <v>70650</v>
          </cell>
        </row>
        <row r="80">
          <cell r="B80">
            <v>38326</v>
          </cell>
          <cell r="C80">
            <v>12</v>
          </cell>
          <cell r="D80">
            <v>5</v>
          </cell>
          <cell r="E80">
            <v>66</v>
          </cell>
          <cell r="F80">
            <v>2617559.0641499599</v>
          </cell>
          <cell r="G80">
            <v>274591</v>
          </cell>
          <cell r="H80">
            <v>6420.5720000000001</v>
          </cell>
          <cell r="I80">
            <v>94361.403902474252</v>
          </cell>
          <cell r="J80">
            <v>44775</v>
          </cell>
          <cell r="K80">
            <v>45700.000000000007</v>
          </cell>
          <cell r="L80">
            <v>36680.701951237126</v>
          </cell>
          <cell r="M80">
            <v>37080.701951237126</v>
          </cell>
          <cell r="N80">
            <v>36380.701951237126</v>
          </cell>
          <cell r="O80">
            <v>46980.701951237133</v>
          </cell>
          <cell r="P80">
            <v>53550</v>
          </cell>
          <cell r="Q80">
            <v>82275</v>
          </cell>
          <cell r="R80">
            <v>0</v>
          </cell>
          <cell r="S80">
            <v>43430.701951237126</v>
          </cell>
          <cell r="T80">
            <v>0</v>
          </cell>
          <cell r="U80">
            <v>55400</v>
          </cell>
          <cell r="V80">
            <v>0</v>
          </cell>
          <cell r="Y80">
            <v>27987.5</v>
          </cell>
          <cell r="Z80">
            <v>90262.499999999985</v>
          </cell>
          <cell r="AA80">
            <v>59899.999999999993</v>
          </cell>
          <cell r="AB80">
            <v>51930.701951237119</v>
          </cell>
          <cell r="AC80">
            <v>61500</v>
          </cell>
          <cell r="AD80">
            <v>89475</v>
          </cell>
          <cell r="AE80">
            <v>59449.999999999993</v>
          </cell>
          <cell r="AF80">
            <v>59599.999999999993</v>
          </cell>
          <cell r="AG80">
            <v>30200</v>
          </cell>
          <cell r="AH80">
            <v>47519.999999999993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U80">
            <v>70650</v>
          </cell>
        </row>
        <row r="81">
          <cell r="B81">
            <v>38327</v>
          </cell>
          <cell r="C81">
            <v>12</v>
          </cell>
          <cell r="D81">
            <v>6</v>
          </cell>
          <cell r="E81">
            <v>67</v>
          </cell>
          <cell r="F81">
            <v>2617559.0641499599</v>
          </cell>
          <cell r="G81">
            <v>419216</v>
          </cell>
          <cell r="H81">
            <v>6420.5720000000001</v>
          </cell>
          <cell r="I81">
            <v>94361.403902474252</v>
          </cell>
          <cell r="J81">
            <v>44775</v>
          </cell>
          <cell r="K81">
            <v>45700.000000000007</v>
          </cell>
          <cell r="L81">
            <v>36680.701951237126</v>
          </cell>
          <cell r="M81">
            <v>37080.701951237126</v>
          </cell>
          <cell r="N81">
            <v>36380.701951237126</v>
          </cell>
          <cell r="O81">
            <v>46980.701951237133</v>
          </cell>
          <cell r="P81">
            <v>53550</v>
          </cell>
          <cell r="Q81">
            <v>82275</v>
          </cell>
          <cell r="R81">
            <v>0</v>
          </cell>
          <cell r="S81">
            <v>43430.701951237126</v>
          </cell>
          <cell r="T81">
            <v>0</v>
          </cell>
          <cell r="U81">
            <v>55400</v>
          </cell>
          <cell r="V81">
            <v>0</v>
          </cell>
          <cell r="Y81">
            <v>27987.5</v>
          </cell>
          <cell r="Z81">
            <v>90262.499999999985</v>
          </cell>
          <cell r="AA81">
            <v>59899.999999999993</v>
          </cell>
          <cell r="AB81">
            <v>51930.701951237119</v>
          </cell>
          <cell r="AC81">
            <v>61500</v>
          </cell>
          <cell r="AD81">
            <v>89475</v>
          </cell>
          <cell r="AE81">
            <v>59449.999999999993</v>
          </cell>
          <cell r="AF81">
            <v>59599.999999999993</v>
          </cell>
          <cell r="AG81">
            <v>30200</v>
          </cell>
          <cell r="AH81">
            <v>47519.999999999993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U81">
            <v>70650</v>
          </cell>
        </row>
        <row r="82">
          <cell r="B82">
            <v>38328</v>
          </cell>
          <cell r="C82">
            <v>12</v>
          </cell>
          <cell r="D82">
            <v>7</v>
          </cell>
          <cell r="E82">
            <v>68</v>
          </cell>
          <cell r="F82">
            <v>2617559.0641499599</v>
          </cell>
          <cell r="G82">
            <v>708252</v>
          </cell>
          <cell r="H82">
            <v>6420.5720000000001</v>
          </cell>
          <cell r="I82">
            <v>94361.403902474252</v>
          </cell>
          <cell r="J82">
            <v>44775</v>
          </cell>
          <cell r="K82">
            <v>45700.000000000007</v>
          </cell>
          <cell r="L82">
            <v>36680.701951237126</v>
          </cell>
          <cell r="M82">
            <v>37080.701951237126</v>
          </cell>
          <cell r="N82">
            <v>36380.701951237126</v>
          </cell>
          <cell r="O82">
            <v>46980.701951237133</v>
          </cell>
          <cell r="P82">
            <v>53550</v>
          </cell>
          <cell r="Q82">
            <v>82275</v>
          </cell>
          <cell r="R82">
            <v>0</v>
          </cell>
          <cell r="S82">
            <v>43430.701951237126</v>
          </cell>
          <cell r="T82">
            <v>0</v>
          </cell>
          <cell r="U82">
            <v>55400</v>
          </cell>
          <cell r="V82">
            <v>0</v>
          </cell>
          <cell r="Y82">
            <v>27987.5</v>
          </cell>
          <cell r="Z82">
            <v>90262.499999999985</v>
          </cell>
          <cell r="AA82">
            <v>59899.999999999993</v>
          </cell>
          <cell r="AB82">
            <v>51930.701951237119</v>
          </cell>
          <cell r="AC82">
            <v>61500</v>
          </cell>
          <cell r="AD82">
            <v>89475</v>
          </cell>
          <cell r="AE82">
            <v>59449.999999999993</v>
          </cell>
          <cell r="AF82">
            <v>59599.999999999993</v>
          </cell>
          <cell r="AG82">
            <v>30200</v>
          </cell>
          <cell r="AH82">
            <v>47519.999999999993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U82">
            <v>70650</v>
          </cell>
        </row>
        <row r="83">
          <cell r="B83">
            <v>38329</v>
          </cell>
          <cell r="C83">
            <v>12</v>
          </cell>
          <cell r="D83">
            <v>8</v>
          </cell>
          <cell r="E83">
            <v>69</v>
          </cell>
          <cell r="F83">
            <v>2617559.0641499599</v>
          </cell>
          <cell r="G83">
            <v>794241</v>
          </cell>
          <cell r="H83">
            <v>6420.5720000000001</v>
          </cell>
          <cell r="I83">
            <v>94361.403902474252</v>
          </cell>
          <cell r="J83">
            <v>44775</v>
          </cell>
          <cell r="K83">
            <v>45700.000000000007</v>
          </cell>
          <cell r="L83">
            <v>36680.701951237126</v>
          </cell>
          <cell r="M83">
            <v>37080.701951237126</v>
          </cell>
          <cell r="N83">
            <v>36380.701951237126</v>
          </cell>
          <cell r="O83">
            <v>46980.701951237133</v>
          </cell>
          <cell r="P83">
            <v>53550</v>
          </cell>
          <cell r="Q83">
            <v>82275</v>
          </cell>
          <cell r="R83">
            <v>0</v>
          </cell>
          <cell r="S83">
            <v>43430.701951237126</v>
          </cell>
          <cell r="T83">
            <v>0</v>
          </cell>
          <cell r="U83">
            <v>55400</v>
          </cell>
          <cell r="V83">
            <v>0</v>
          </cell>
          <cell r="Y83">
            <v>27987.5</v>
          </cell>
          <cell r="Z83">
            <v>90262.499999999985</v>
          </cell>
          <cell r="AA83">
            <v>59899.999999999993</v>
          </cell>
          <cell r="AB83">
            <v>51930.701951237119</v>
          </cell>
          <cell r="AC83">
            <v>61500</v>
          </cell>
          <cell r="AD83">
            <v>89475</v>
          </cell>
          <cell r="AE83">
            <v>59449.999999999993</v>
          </cell>
          <cell r="AF83">
            <v>59599.999999999993</v>
          </cell>
          <cell r="AG83">
            <v>30200</v>
          </cell>
          <cell r="AH83">
            <v>47519.999999999993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U83">
            <v>70650</v>
          </cell>
        </row>
        <row r="84">
          <cell r="B84">
            <v>38330</v>
          </cell>
          <cell r="C84">
            <v>12</v>
          </cell>
          <cell r="D84">
            <v>9</v>
          </cell>
          <cell r="E84">
            <v>70</v>
          </cell>
          <cell r="F84">
            <v>2617559.0641499599</v>
          </cell>
          <cell r="G84">
            <v>1293144</v>
          </cell>
          <cell r="H84">
            <v>6420.5720000000001</v>
          </cell>
          <cell r="I84">
            <v>94361.403902474252</v>
          </cell>
          <cell r="J84">
            <v>44775</v>
          </cell>
          <cell r="K84">
            <v>45700.000000000007</v>
          </cell>
          <cell r="L84">
            <v>36680.701951237126</v>
          </cell>
          <cell r="M84">
            <v>37080.701951237126</v>
          </cell>
          <cell r="N84">
            <v>36380.701951237126</v>
          </cell>
          <cell r="O84">
            <v>46980.701951237133</v>
          </cell>
          <cell r="P84">
            <v>53550</v>
          </cell>
          <cell r="Q84">
            <v>82275</v>
          </cell>
          <cell r="R84">
            <v>0</v>
          </cell>
          <cell r="S84">
            <v>43430.701951237126</v>
          </cell>
          <cell r="T84">
            <v>0</v>
          </cell>
          <cell r="U84">
            <v>55400</v>
          </cell>
          <cell r="V84">
            <v>0</v>
          </cell>
          <cell r="Y84">
            <v>27987.5</v>
          </cell>
          <cell r="Z84">
            <v>90262.499999999985</v>
          </cell>
          <cell r="AA84">
            <v>59899.999999999993</v>
          </cell>
          <cell r="AB84">
            <v>51930.701951237119</v>
          </cell>
          <cell r="AC84">
            <v>61500</v>
          </cell>
          <cell r="AD84">
            <v>89475</v>
          </cell>
          <cell r="AE84">
            <v>59449.999999999993</v>
          </cell>
          <cell r="AF84">
            <v>59599.999999999993</v>
          </cell>
          <cell r="AG84">
            <v>30200</v>
          </cell>
          <cell r="AH84">
            <v>47519.999999999993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U84">
            <v>70650</v>
          </cell>
        </row>
        <row r="85">
          <cell r="B85">
            <v>38331</v>
          </cell>
          <cell r="C85">
            <v>12</v>
          </cell>
          <cell r="D85">
            <v>10</v>
          </cell>
          <cell r="E85">
            <v>71</v>
          </cell>
          <cell r="F85">
            <v>2617559.0641499599</v>
          </cell>
          <cell r="G85">
            <v>1123791</v>
          </cell>
          <cell r="H85">
            <v>6420.5720000000001</v>
          </cell>
          <cell r="I85">
            <v>94361.403902474252</v>
          </cell>
          <cell r="J85">
            <v>44775</v>
          </cell>
          <cell r="K85">
            <v>45700.000000000007</v>
          </cell>
          <cell r="L85">
            <v>36680.701951237126</v>
          </cell>
          <cell r="M85">
            <v>37080.701951237126</v>
          </cell>
          <cell r="N85">
            <v>36380.701951237126</v>
          </cell>
          <cell r="O85">
            <v>46980.701951237133</v>
          </cell>
          <cell r="P85">
            <v>53550</v>
          </cell>
          <cell r="Q85">
            <v>82275</v>
          </cell>
          <cell r="R85">
            <v>0</v>
          </cell>
          <cell r="S85">
            <v>43430.701951237126</v>
          </cell>
          <cell r="T85">
            <v>0</v>
          </cell>
          <cell r="U85">
            <v>55400</v>
          </cell>
          <cell r="V85">
            <v>0</v>
          </cell>
          <cell r="Y85">
            <v>27987.5</v>
          </cell>
          <cell r="Z85">
            <v>90262.499999999985</v>
          </cell>
          <cell r="AA85">
            <v>59899.999999999993</v>
          </cell>
          <cell r="AB85">
            <v>51930.701951237119</v>
          </cell>
          <cell r="AC85">
            <v>61500</v>
          </cell>
          <cell r="AD85">
            <v>89475</v>
          </cell>
          <cell r="AE85">
            <v>59449.999999999993</v>
          </cell>
          <cell r="AF85">
            <v>59599.999999999993</v>
          </cell>
          <cell r="AG85">
            <v>30200</v>
          </cell>
          <cell r="AH85">
            <v>47519.999999999993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U85">
            <v>70650</v>
          </cell>
        </row>
        <row r="86">
          <cell r="B86">
            <v>38332</v>
          </cell>
          <cell r="C86">
            <v>12</v>
          </cell>
          <cell r="D86">
            <v>11</v>
          </cell>
          <cell r="E86">
            <v>72</v>
          </cell>
          <cell r="F86">
            <v>2617559.0641499599</v>
          </cell>
          <cell r="G86">
            <v>861037</v>
          </cell>
          <cell r="H86">
            <v>6420.5720000000001</v>
          </cell>
          <cell r="I86">
            <v>94361.403902474252</v>
          </cell>
          <cell r="J86">
            <v>44775</v>
          </cell>
          <cell r="K86">
            <v>45700.000000000007</v>
          </cell>
          <cell r="L86">
            <v>36680.701951237126</v>
          </cell>
          <cell r="M86">
            <v>37080.701951237126</v>
          </cell>
          <cell r="N86">
            <v>36380.701951237126</v>
          </cell>
          <cell r="O86">
            <v>46980.701951237133</v>
          </cell>
          <cell r="P86">
            <v>53550</v>
          </cell>
          <cell r="Q86">
            <v>82275</v>
          </cell>
          <cell r="R86">
            <v>0</v>
          </cell>
          <cell r="S86">
            <v>43430.701951237126</v>
          </cell>
          <cell r="T86">
            <v>0</v>
          </cell>
          <cell r="U86">
            <v>55400</v>
          </cell>
          <cell r="V86">
            <v>0</v>
          </cell>
          <cell r="Y86">
            <v>27987.5</v>
          </cell>
          <cell r="Z86">
            <v>90262.499999999985</v>
          </cell>
          <cell r="AA86">
            <v>59899.999999999993</v>
          </cell>
          <cell r="AB86">
            <v>51930.701951237119</v>
          </cell>
          <cell r="AC86">
            <v>61500</v>
          </cell>
          <cell r="AD86">
            <v>89475</v>
          </cell>
          <cell r="AE86">
            <v>59449.999999999993</v>
          </cell>
          <cell r="AF86">
            <v>59599.999999999993</v>
          </cell>
          <cell r="AG86">
            <v>30200</v>
          </cell>
          <cell r="AH86">
            <v>47519.999999999993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U86">
            <v>70650</v>
          </cell>
        </row>
        <row r="87">
          <cell r="B87">
            <v>38333</v>
          </cell>
          <cell r="C87">
            <v>12</v>
          </cell>
          <cell r="D87">
            <v>12</v>
          </cell>
          <cell r="E87">
            <v>73</v>
          </cell>
          <cell r="F87">
            <v>2617559.0641499599</v>
          </cell>
          <cell r="G87">
            <v>334699</v>
          </cell>
          <cell r="H87">
            <v>6420.5720000000001</v>
          </cell>
          <cell r="I87">
            <v>94361.403902474252</v>
          </cell>
          <cell r="J87">
            <v>44775</v>
          </cell>
          <cell r="K87">
            <v>45700.000000000007</v>
          </cell>
          <cell r="L87">
            <v>36680.701951237126</v>
          </cell>
          <cell r="M87">
            <v>37080.701951237126</v>
          </cell>
          <cell r="N87">
            <v>36380.701951237126</v>
          </cell>
          <cell r="O87">
            <v>46980.701951237133</v>
          </cell>
          <cell r="P87">
            <v>53550</v>
          </cell>
          <cell r="Q87">
            <v>82275</v>
          </cell>
          <cell r="R87">
            <v>0</v>
          </cell>
          <cell r="S87">
            <v>43430.701951237126</v>
          </cell>
          <cell r="T87">
            <v>0</v>
          </cell>
          <cell r="U87">
            <v>55400</v>
          </cell>
          <cell r="V87">
            <v>0</v>
          </cell>
          <cell r="Y87">
            <v>27987.5</v>
          </cell>
          <cell r="Z87">
            <v>90262.499999999985</v>
          </cell>
          <cell r="AA87">
            <v>59899.999999999993</v>
          </cell>
          <cell r="AB87">
            <v>51930.701951237119</v>
          </cell>
          <cell r="AC87">
            <v>61500</v>
          </cell>
          <cell r="AD87">
            <v>89475</v>
          </cell>
          <cell r="AE87">
            <v>59449.999999999993</v>
          </cell>
          <cell r="AF87">
            <v>59599.999999999993</v>
          </cell>
          <cell r="AG87">
            <v>30200</v>
          </cell>
          <cell r="AH87">
            <v>47519.999999999993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U87">
            <v>70650</v>
          </cell>
        </row>
        <row r="88">
          <cell r="B88">
            <v>38334</v>
          </cell>
          <cell r="C88">
            <v>12</v>
          </cell>
          <cell r="D88">
            <v>13</v>
          </cell>
          <cell r="E88">
            <v>74</v>
          </cell>
          <cell r="F88">
            <v>2617559.0641499599</v>
          </cell>
          <cell r="G88">
            <v>678005</v>
          </cell>
          <cell r="H88">
            <v>6420.5720000000001</v>
          </cell>
          <cell r="I88">
            <v>94361.403902474252</v>
          </cell>
          <cell r="J88">
            <v>44775</v>
          </cell>
          <cell r="K88">
            <v>45700.000000000007</v>
          </cell>
          <cell r="L88">
            <v>36680.701951237126</v>
          </cell>
          <cell r="M88">
            <v>37080.701951237126</v>
          </cell>
          <cell r="N88">
            <v>36380.701951237126</v>
          </cell>
          <cell r="O88">
            <v>46980.701951237133</v>
          </cell>
          <cell r="P88">
            <v>53550</v>
          </cell>
          <cell r="Q88">
            <v>82275</v>
          </cell>
          <cell r="R88">
            <v>0</v>
          </cell>
          <cell r="S88">
            <v>43430.701951237126</v>
          </cell>
          <cell r="T88">
            <v>0</v>
          </cell>
          <cell r="U88">
            <v>55400</v>
          </cell>
          <cell r="V88">
            <v>0</v>
          </cell>
          <cell r="Y88">
            <v>27987.5</v>
          </cell>
          <cell r="Z88">
            <v>90262.499999999985</v>
          </cell>
          <cell r="AA88">
            <v>59899.999999999993</v>
          </cell>
          <cell r="AB88">
            <v>51930.701951237119</v>
          </cell>
          <cell r="AC88">
            <v>61500</v>
          </cell>
          <cell r="AD88">
            <v>89475</v>
          </cell>
          <cell r="AE88">
            <v>59449.999999999993</v>
          </cell>
          <cell r="AF88">
            <v>59599.999999999993</v>
          </cell>
          <cell r="AG88">
            <v>30200</v>
          </cell>
          <cell r="AH88">
            <v>47519.999999999993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U88">
            <v>70650</v>
          </cell>
        </row>
        <row r="89">
          <cell r="B89">
            <v>38335</v>
          </cell>
          <cell r="C89">
            <v>12</v>
          </cell>
          <cell r="D89">
            <v>14</v>
          </cell>
          <cell r="E89">
            <v>75</v>
          </cell>
          <cell r="F89">
            <v>2617559.0641499599</v>
          </cell>
          <cell r="G89">
            <v>1162337</v>
          </cell>
          <cell r="H89">
            <v>6420.5720000000001</v>
          </cell>
          <cell r="I89">
            <v>94361.403902474252</v>
          </cell>
          <cell r="J89">
            <v>44775</v>
          </cell>
          <cell r="K89">
            <v>45700.000000000007</v>
          </cell>
          <cell r="L89">
            <v>36680.701951237126</v>
          </cell>
          <cell r="M89">
            <v>37080.701951237126</v>
          </cell>
          <cell r="N89">
            <v>36380.701951237126</v>
          </cell>
          <cell r="O89">
            <v>46980.701951237133</v>
          </cell>
          <cell r="P89">
            <v>53550</v>
          </cell>
          <cell r="Q89">
            <v>82275</v>
          </cell>
          <cell r="R89">
            <v>0</v>
          </cell>
          <cell r="S89">
            <v>43430.701951237126</v>
          </cell>
          <cell r="T89">
            <v>0</v>
          </cell>
          <cell r="U89">
            <v>55400</v>
          </cell>
          <cell r="V89">
            <v>0</v>
          </cell>
          <cell r="Y89">
            <v>27987.5</v>
          </cell>
          <cell r="Z89">
            <v>90262.499999999985</v>
          </cell>
          <cell r="AA89">
            <v>59899.999999999993</v>
          </cell>
          <cell r="AB89">
            <v>51930.701951237119</v>
          </cell>
          <cell r="AC89">
            <v>61500</v>
          </cell>
          <cell r="AD89">
            <v>89475</v>
          </cell>
          <cell r="AE89">
            <v>59449.999999999993</v>
          </cell>
          <cell r="AF89">
            <v>59599.999999999993</v>
          </cell>
          <cell r="AG89">
            <v>30200</v>
          </cell>
          <cell r="AH89">
            <v>47519.999999999993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U89">
            <v>70650</v>
          </cell>
        </row>
        <row r="90">
          <cell r="B90">
            <v>38336</v>
          </cell>
          <cell r="C90">
            <v>12</v>
          </cell>
          <cell r="D90">
            <v>15</v>
          </cell>
          <cell r="E90">
            <v>76</v>
          </cell>
          <cell r="F90">
            <v>2617559.0641499599</v>
          </cell>
          <cell r="G90">
            <v>1431404</v>
          </cell>
          <cell r="H90">
            <v>6420.5720000000001</v>
          </cell>
          <cell r="I90">
            <v>94361.403902474252</v>
          </cell>
          <cell r="J90">
            <v>44775</v>
          </cell>
          <cell r="K90">
            <v>45700.000000000007</v>
          </cell>
          <cell r="L90">
            <v>36680.701951237126</v>
          </cell>
          <cell r="M90">
            <v>37080.701951237126</v>
          </cell>
          <cell r="N90">
            <v>36380.701951237126</v>
          </cell>
          <cell r="O90">
            <v>46980.701951237133</v>
          </cell>
          <cell r="P90">
            <v>53550</v>
          </cell>
          <cell r="Q90">
            <v>82275</v>
          </cell>
          <cell r="R90">
            <v>0</v>
          </cell>
          <cell r="S90">
            <v>43430.701951237126</v>
          </cell>
          <cell r="T90">
            <v>0</v>
          </cell>
          <cell r="U90">
            <v>55400</v>
          </cell>
          <cell r="V90">
            <v>0</v>
          </cell>
          <cell r="Y90">
            <v>27987.5</v>
          </cell>
          <cell r="Z90">
            <v>90262.499999999985</v>
          </cell>
          <cell r="AA90">
            <v>59899.999999999993</v>
          </cell>
          <cell r="AB90">
            <v>51930.701951237119</v>
          </cell>
          <cell r="AC90">
            <v>61500</v>
          </cell>
          <cell r="AD90">
            <v>89475</v>
          </cell>
          <cell r="AE90">
            <v>59449.999999999993</v>
          </cell>
          <cell r="AF90">
            <v>59599.999999999993</v>
          </cell>
          <cell r="AG90">
            <v>30200</v>
          </cell>
          <cell r="AH90">
            <v>47519.999999999993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U90">
            <v>70650</v>
          </cell>
        </row>
        <row r="91">
          <cell r="B91">
            <v>38337</v>
          </cell>
          <cell r="C91">
            <v>12</v>
          </cell>
          <cell r="D91">
            <v>16</v>
          </cell>
          <cell r="E91">
            <v>77</v>
          </cell>
          <cell r="F91">
            <v>2617559.0641499599</v>
          </cell>
          <cell r="G91">
            <v>983063</v>
          </cell>
          <cell r="H91">
            <v>6420.5720000000001</v>
          </cell>
          <cell r="I91">
            <v>94361.403902474252</v>
          </cell>
          <cell r="J91">
            <v>44775</v>
          </cell>
          <cell r="K91">
            <v>45700.000000000007</v>
          </cell>
          <cell r="L91">
            <v>36680.701951237126</v>
          </cell>
          <cell r="M91">
            <v>37080.701951237126</v>
          </cell>
          <cell r="N91">
            <v>36380.701951237126</v>
          </cell>
          <cell r="O91">
            <v>46980.701951237133</v>
          </cell>
          <cell r="P91">
            <v>53550</v>
          </cell>
          <cell r="Q91">
            <v>82275</v>
          </cell>
          <cell r="R91">
            <v>0</v>
          </cell>
          <cell r="S91">
            <v>43430.701951237126</v>
          </cell>
          <cell r="T91">
            <v>0</v>
          </cell>
          <cell r="U91">
            <v>55400</v>
          </cell>
          <cell r="V91">
            <v>0</v>
          </cell>
          <cell r="Y91">
            <v>27987.5</v>
          </cell>
          <cell r="Z91">
            <v>90262.499999999985</v>
          </cell>
          <cell r="AA91">
            <v>59899.999999999993</v>
          </cell>
          <cell r="AB91">
            <v>51930.701951237119</v>
          </cell>
          <cell r="AC91">
            <v>61500</v>
          </cell>
          <cell r="AD91">
            <v>89475</v>
          </cell>
          <cell r="AE91">
            <v>59449.999999999993</v>
          </cell>
          <cell r="AF91">
            <v>59599.999999999993</v>
          </cell>
          <cell r="AG91">
            <v>30200</v>
          </cell>
          <cell r="AH91">
            <v>47519.999999999993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U91">
            <v>70650</v>
          </cell>
        </row>
        <row r="92">
          <cell r="B92">
            <v>38338</v>
          </cell>
          <cell r="C92">
            <v>12</v>
          </cell>
          <cell r="D92">
            <v>17</v>
          </cell>
          <cell r="E92">
            <v>78</v>
          </cell>
          <cell r="F92">
            <v>2617559.0641499599</v>
          </cell>
          <cell r="G92">
            <v>908964</v>
          </cell>
          <cell r="H92">
            <v>6420.5720000000001</v>
          </cell>
          <cell r="I92">
            <v>94361.403902474252</v>
          </cell>
          <cell r="J92">
            <v>44775</v>
          </cell>
          <cell r="K92">
            <v>45700.000000000007</v>
          </cell>
          <cell r="L92">
            <v>36680.701951237126</v>
          </cell>
          <cell r="M92">
            <v>37080.701951237126</v>
          </cell>
          <cell r="N92">
            <v>36380.701951237126</v>
          </cell>
          <cell r="O92">
            <v>46980.701951237133</v>
          </cell>
          <cell r="P92">
            <v>53550</v>
          </cell>
          <cell r="Q92">
            <v>82275</v>
          </cell>
          <cell r="R92">
            <v>0</v>
          </cell>
          <cell r="S92">
            <v>43430.701951237126</v>
          </cell>
          <cell r="T92">
            <v>0</v>
          </cell>
          <cell r="U92">
            <v>55400</v>
          </cell>
          <cell r="V92">
            <v>0</v>
          </cell>
          <cell r="Y92">
            <v>27987.5</v>
          </cell>
          <cell r="Z92">
            <v>90262.499999999985</v>
          </cell>
          <cell r="AA92">
            <v>59899.999999999993</v>
          </cell>
          <cell r="AB92">
            <v>51930.701951237119</v>
          </cell>
          <cell r="AC92">
            <v>61500</v>
          </cell>
          <cell r="AD92">
            <v>89475</v>
          </cell>
          <cell r="AE92">
            <v>59449.999999999993</v>
          </cell>
          <cell r="AF92">
            <v>59599.999999999993</v>
          </cell>
          <cell r="AG92">
            <v>30200</v>
          </cell>
          <cell r="AH92">
            <v>47519.999999999993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U92">
            <v>70650</v>
          </cell>
        </row>
        <row r="93">
          <cell r="B93">
            <v>38339</v>
          </cell>
          <cell r="C93">
            <v>12</v>
          </cell>
          <cell r="D93">
            <v>18</v>
          </cell>
          <cell r="E93">
            <v>79</v>
          </cell>
          <cell r="F93">
            <v>2617559.0641499599</v>
          </cell>
          <cell r="G93">
            <v>1082162</v>
          </cell>
          <cell r="H93">
            <v>6420.5720000000001</v>
          </cell>
          <cell r="I93">
            <v>94361.403902474252</v>
          </cell>
          <cell r="J93">
            <v>44775</v>
          </cell>
          <cell r="K93">
            <v>45700.000000000007</v>
          </cell>
          <cell r="L93">
            <v>36680.701951237126</v>
          </cell>
          <cell r="M93">
            <v>37080.701951237126</v>
          </cell>
          <cell r="N93">
            <v>36380.701951237126</v>
          </cell>
          <cell r="O93">
            <v>46980.701951237133</v>
          </cell>
          <cell r="P93">
            <v>53550</v>
          </cell>
          <cell r="Q93">
            <v>82275</v>
          </cell>
          <cell r="R93">
            <v>0</v>
          </cell>
          <cell r="S93">
            <v>43430.701951237126</v>
          </cell>
          <cell r="T93">
            <v>0</v>
          </cell>
          <cell r="U93">
            <v>55400</v>
          </cell>
          <cell r="V93">
            <v>0</v>
          </cell>
          <cell r="Y93">
            <v>27987.5</v>
          </cell>
          <cell r="Z93">
            <v>90262.499999999985</v>
          </cell>
          <cell r="AA93">
            <v>59899.999999999993</v>
          </cell>
          <cell r="AB93">
            <v>51930.701951237119</v>
          </cell>
          <cell r="AC93">
            <v>61500</v>
          </cell>
          <cell r="AD93">
            <v>89475</v>
          </cell>
          <cell r="AE93">
            <v>59449.999999999993</v>
          </cell>
          <cell r="AF93">
            <v>59599.999999999993</v>
          </cell>
          <cell r="AG93">
            <v>30200</v>
          </cell>
          <cell r="AH93">
            <v>47519.999999999993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U93">
            <v>70650</v>
          </cell>
        </row>
        <row r="94">
          <cell r="B94">
            <v>38340</v>
          </cell>
          <cell r="C94">
            <v>12</v>
          </cell>
          <cell r="D94">
            <v>19</v>
          </cell>
          <cell r="E94">
            <v>80</v>
          </cell>
          <cell r="F94">
            <v>2617559.0641499599</v>
          </cell>
          <cell r="G94">
            <v>889058</v>
          </cell>
          <cell r="H94">
            <v>6420.5720000000001</v>
          </cell>
          <cell r="I94">
            <v>94361.403902474252</v>
          </cell>
          <cell r="J94">
            <v>44775</v>
          </cell>
          <cell r="K94">
            <v>45700.000000000007</v>
          </cell>
          <cell r="L94">
            <v>36680.701951237126</v>
          </cell>
          <cell r="M94">
            <v>37080.701951237126</v>
          </cell>
          <cell r="N94">
            <v>36380.701951237126</v>
          </cell>
          <cell r="O94">
            <v>46980.701951237133</v>
          </cell>
          <cell r="P94">
            <v>53550</v>
          </cell>
          <cell r="Q94">
            <v>82275</v>
          </cell>
          <cell r="R94">
            <v>0</v>
          </cell>
          <cell r="S94">
            <v>43430.701951237126</v>
          </cell>
          <cell r="T94">
            <v>0</v>
          </cell>
          <cell r="U94">
            <v>55400</v>
          </cell>
          <cell r="V94">
            <v>0</v>
          </cell>
          <cell r="Y94">
            <v>27987.5</v>
          </cell>
          <cell r="Z94">
            <v>90262.499999999985</v>
          </cell>
          <cell r="AA94">
            <v>59899.999999999993</v>
          </cell>
          <cell r="AB94">
            <v>51930.701951237119</v>
          </cell>
          <cell r="AC94">
            <v>61500</v>
          </cell>
          <cell r="AD94">
            <v>89475</v>
          </cell>
          <cell r="AE94">
            <v>59449.999999999993</v>
          </cell>
          <cell r="AF94">
            <v>59599.999999999993</v>
          </cell>
          <cell r="AG94">
            <v>30200</v>
          </cell>
          <cell r="AH94">
            <v>47519.999999999993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U94">
            <v>70650</v>
          </cell>
        </row>
        <row r="95">
          <cell r="B95">
            <v>38341</v>
          </cell>
          <cell r="C95">
            <v>12</v>
          </cell>
          <cell r="D95">
            <v>20</v>
          </cell>
          <cell r="E95">
            <v>81</v>
          </cell>
          <cell r="F95">
            <v>2617559.0641499599</v>
          </cell>
          <cell r="G95">
            <v>175875</v>
          </cell>
          <cell r="H95">
            <v>6420.5720000000001</v>
          </cell>
          <cell r="I95">
            <v>94361.403902474252</v>
          </cell>
          <cell r="J95">
            <v>44775</v>
          </cell>
          <cell r="K95">
            <v>45700.000000000007</v>
          </cell>
          <cell r="L95">
            <v>36680.701951237126</v>
          </cell>
          <cell r="M95">
            <v>37080.701951237126</v>
          </cell>
          <cell r="N95">
            <v>36380.701951237126</v>
          </cell>
          <cell r="O95">
            <v>46980.701951237133</v>
          </cell>
          <cell r="P95">
            <v>53550</v>
          </cell>
          <cell r="Q95">
            <v>82275</v>
          </cell>
          <cell r="R95">
            <v>0</v>
          </cell>
          <cell r="S95">
            <v>43430.701951237126</v>
          </cell>
          <cell r="T95">
            <v>0</v>
          </cell>
          <cell r="U95">
            <v>55400</v>
          </cell>
          <cell r="V95">
            <v>0</v>
          </cell>
          <cell r="Y95">
            <v>27987.5</v>
          </cell>
          <cell r="Z95">
            <v>90262.499999999985</v>
          </cell>
          <cell r="AA95">
            <v>59899.999999999993</v>
          </cell>
          <cell r="AB95">
            <v>51930.701951237119</v>
          </cell>
          <cell r="AC95">
            <v>61500</v>
          </cell>
          <cell r="AD95">
            <v>89475</v>
          </cell>
          <cell r="AE95">
            <v>59449.999999999993</v>
          </cell>
          <cell r="AF95">
            <v>59599.999999999993</v>
          </cell>
          <cell r="AG95">
            <v>30200</v>
          </cell>
          <cell r="AH95">
            <v>47519.999999999993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U95">
            <v>70650</v>
          </cell>
        </row>
        <row r="96">
          <cell r="B96">
            <v>38342</v>
          </cell>
          <cell r="C96">
            <v>12</v>
          </cell>
          <cell r="D96">
            <v>21</v>
          </cell>
          <cell r="E96">
            <v>82</v>
          </cell>
          <cell r="F96">
            <v>2617559.0641499599</v>
          </cell>
          <cell r="G96">
            <v>217762</v>
          </cell>
          <cell r="H96">
            <v>6420.5720000000001</v>
          </cell>
          <cell r="I96">
            <v>94361.403902474252</v>
          </cell>
          <cell r="J96">
            <v>44775</v>
          </cell>
          <cell r="K96">
            <v>45700.000000000007</v>
          </cell>
          <cell r="L96">
            <v>36680.701951237126</v>
          </cell>
          <cell r="M96">
            <v>37080.701951237126</v>
          </cell>
          <cell r="N96">
            <v>36380.701951237126</v>
          </cell>
          <cell r="O96">
            <v>46980.701951237133</v>
          </cell>
          <cell r="P96">
            <v>53550</v>
          </cell>
          <cell r="Q96">
            <v>82275</v>
          </cell>
          <cell r="R96">
            <v>0</v>
          </cell>
          <cell r="S96">
            <v>43430.701951237126</v>
          </cell>
          <cell r="T96">
            <v>0</v>
          </cell>
          <cell r="U96">
            <v>55400</v>
          </cell>
          <cell r="V96">
            <v>0</v>
          </cell>
          <cell r="Y96">
            <v>27987.5</v>
          </cell>
          <cell r="Z96">
            <v>90262.499999999985</v>
          </cell>
          <cell r="AA96">
            <v>59899.999999999993</v>
          </cell>
          <cell r="AB96">
            <v>51930.701951237119</v>
          </cell>
          <cell r="AC96">
            <v>61500</v>
          </cell>
          <cell r="AD96">
            <v>89475</v>
          </cell>
          <cell r="AE96">
            <v>59449.999999999993</v>
          </cell>
          <cell r="AF96">
            <v>59599.999999999993</v>
          </cell>
          <cell r="AG96">
            <v>30200</v>
          </cell>
          <cell r="AH96">
            <v>47519.999999999993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U96">
            <v>70650</v>
          </cell>
        </row>
        <row r="97">
          <cell r="B97">
            <v>38343</v>
          </cell>
          <cell r="C97">
            <v>12</v>
          </cell>
          <cell r="D97">
            <v>22</v>
          </cell>
          <cell r="E97">
            <v>83</v>
          </cell>
          <cell r="F97">
            <v>2617559.0641499599</v>
          </cell>
          <cell r="G97">
            <v>1104307</v>
          </cell>
          <cell r="H97">
            <v>6420.5720000000001</v>
          </cell>
          <cell r="I97">
            <v>94361.403902474252</v>
          </cell>
          <cell r="J97">
            <v>44775</v>
          </cell>
          <cell r="K97">
            <v>45700.000000000007</v>
          </cell>
          <cell r="L97">
            <v>36680.701951237126</v>
          </cell>
          <cell r="M97">
            <v>37080.701951237126</v>
          </cell>
          <cell r="N97">
            <v>36380.701951237126</v>
          </cell>
          <cell r="O97">
            <v>46980.701951237133</v>
          </cell>
          <cell r="P97">
            <v>53550</v>
          </cell>
          <cell r="Q97">
            <v>82275</v>
          </cell>
          <cell r="R97">
            <v>0</v>
          </cell>
          <cell r="S97">
            <v>43430.701951237126</v>
          </cell>
          <cell r="T97">
            <v>0</v>
          </cell>
          <cell r="U97">
            <v>55400</v>
          </cell>
          <cell r="V97">
            <v>0</v>
          </cell>
          <cell r="Y97">
            <v>27987.5</v>
          </cell>
          <cell r="Z97">
            <v>90262.499999999985</v>
          </cell>
          <cell r="AA97">
            <v>59899.999999999993</v>
          </cell>
          <cell r="AB97">
            <v>51930.701951237119</v>
          </cell>
          <cell r="AC97">
            <v>61500</v>
          </cell>
          <cell r="AD97">
            <v>89475</v>
          </cell>
          <cell r="AE97">
            <v>59449.999999999993</v>
          </cell>
          <cell r="AF97">
            <v>59599.999999999993</v>
          </cell>
          <cell r="AG97">
            <v>30200</v>
          </cell>
          <cell r="AH97">
            <v>47519.999999999993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U97">
            <v>70650</v>
          </cell>
        </row>
        <row r="98">
          <cell r="B98">
            <v>38344</v>
          </cell>
          <cell r="C98">
            <v>12</v>
          </cell>
          <cell r="D98">
            <v>23</v>
          </cell>
          <cell r="E98">
            <v>84</v>
          </cell>
          <cell r="F98">
            <v>2617559.0641499599</v>
          </cell>
          <cell r="G98">
            <v>760706</v>
          </cell>
          <cell r="H98">
            <v>6420.5720000000001</v>
          </cell>
          <cell r="I98">
            <v>94361.403902474252</v>
          </cell>
          <cell r="J98">
            <v>44775</v>
          </cell>
          <cell r="K98">
            <v>45700.000000000007</v>
          </cell>
          <cell r="L98">
            <v>36680.701951237126</v>
          </cell>
          <cell r="M98">
            <v>37080.701951237126</v>
          </cell>
          <cell r="N98">
            <v>36380.701951237126</v>
          </cell>
          <cell r="O98">
            <v>46980.701951237133</v>
          </cell>
          <cell r="P98">
            <v>53550</v>
          </cell>
          <cell r="Q98">
            <v>82275</v>
          </cell>
          <cell r="R98">
            <v>0</v>
          </cell>
          <cell r="S98">
            <v>43430.701951237126</v>
          </cell>
          <cell r="T98">
            <v>0</v>
          </cell>
          <cell r="U98">
            <v>55400</v>
          </cell>
          <cell r="V98">
            <v>0</v>
          </cell>
          <cell r="Y98">
            <v>27987.5</v>
          </cell>
          <cell r="Z98">
            <v>90262.499999999985</v>
          </cell>
          <cell r="AA98">
            <v>59899.999999999993</v>
          </cell>
          <cell r="AB98">
            <v>51930.701951237119</v>
          </cell>
          <cell r="AC98">
            <v>61500</v>
          </cell>
          <cell r="AD98">
            <v>89475</v>
          </cell>
          <cell r="AE98">
            <v>59449.999999999993</v>
          </cell>
          <cell r="AF98">
            <v>59599.999999999993</v>
          </cell>
          <cell r="AG98">
            <v>30200</v>
          </cell>
          <cell r="AH98">
            <v>47519.999999999993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U98">
            <v>70650</v>
          </cell>
        </row>
        <row r="99">
          <cell r="B99">
            <v>38345</v>
          </cell>
          <cell r="C99">
            <v>12</v>
          </cell>
          <cell r="D99">
            <v>24</v>
          </cell>
          <cell r="E99">
            <v>85</v>
          </cell>
          <cell r="F99">
            <v>2617559.0641499599</v>
          </cell>
          <cell r="G99">
            <v>464026</v>
          </cell>
          <cell r="H99">
            <v>6420.5720000000001</v>
          </cell>
          <cell r="I99">
            <v>94361.403902474252</v>
          </cell>
          <cell r="J99">
            <v>44775</v>
          </cell>
          <cell r="K99">
            <v>45700.000000000007</v>
          </cell>
          <cell r="L99">
            <v>36680.701951237126</v>
          </cell>
          <cell r="M99">
            <v>37080.701951237126</v>
          </cell>
          <cell r="N99">
            <v>36380.701951237126</v>
          </cell>
          <cell r="O99">
            <v>46980.701951237133</v>
          </cell>
          <cell r="P99">
            <v>53550</v>
          </cell>
          <cell r="Q99">
            <v>82275</v>
          </cell>
          <cell r="R99">
            <v>0</v>
          </cell>
          <cell r="S99">
            <v>43430.701951237126</v>
          </cell>
          <cell r="T99">
            <v>0</v>
          </cell>
          <cell r="U99">
            <v>55400</v>
          </cell>
          <cell r="V99">
            <v>0</v>
          </cell>
          <cell r="Y99">
            <v>27987.5</v>
          </cell>
          <cell r="Z99">
            <v>90262.499999999985</v>
          </cell>
          <cell r="AA99">
            <v>59899.999999999993</v>
          </cell>
          <cell r="AB99">
            <v>51930.701951237119</v>
          </cell>
          <cell r="AC99">
            <v>61500</v>
          </cell>
          <cell r="AD99">
            <v>89475</v>
          </cell>
          <cell r="AE99">
            <v>59449.999999999993</v>
          </cell>
          <cell r="AF99">
            <v>59599.999999999993</v>
          </cell>
          <cell r="AG99">
            <v>30200</v>
          </cell>
          <cell r="AH99">
            <v>47519.999999999993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U99">
            <v>70650</v>
          </cell>
        </row>
        <row r="100">
          <cell r="B100">
            <v>38346</v>
          </cell>
          <cell r="C100">
            <v>12</v>
          </cell>
          <cell r="D100">
            <v>25</v>
          </cell>
          <cell r="E100">
            <v>86</v>
          </cell>
          <cell r="F100">
            <v>2617559.0641499599</v>
          </cell>
          <cell r="G100">
            <v>716335</v>
          </cell>
          <cell r="H100">
            <v>6420.5720000000001</v>
          </cell>
          <cell r="I100">
            <v>94361.403902474252</v>
          </cell>
          <cell r="J100">
            <v>44775</v>
          </cell>
          <cell r="K100">
            <v>45700.000000000007</v>
          </cell>
          <cell r="L100">
            <v>36680.701951237126</v>
          </cell>
          <cell r="M100">
            <v>37080.701951237126</v>
          </cell>
          <cell r="N100">
            <v>36380.701951237126</v>
          </cell>
          <cell r="O100">
            <v>46980.701951237133</v>
          </cell>
          <cell r="P100">
            <v>53550</v>
          </cell>
          <cell r="Q100">
            <v>82275</v>
          </cell>
          <cell r="R100">
            <v>0</v>
          </cell>
          <cell r="S100">
            <v>43430.701951237126</v>
          </cell>
          <cell r="T100">
            <v>0</v>
          </cell>
          <cell r="U100">
            <v>55400</v>
          </cell>
          <cell r="V100">
            <v>0</v>
          </cell>
          <cell r="Y100">
            <v>27987.5</v>
          </cell>
          <cell r="Z100">
            <v>90262.499999999985</v>
          </cell>
          <cell r="AA100">
            <v>59899.999999999993</v>
          </cell>
          <cell r="AB100">
            <v>51930.701951237119</v>
          </cell>
          <cell r="AC100">
            <v>61500</v>
          </cell>
          <cell r="AD100">
            <v>89475</v>
          </cell>
          <cell r="AE100">
            <v>59449.999999999993</v>
          </cell>
          <cell r="AF100">
            <v>59599.999999999993</v>
          </cell>
          <cell r="AG100">
            <v>30200</v>
          </cell>
          <cell r="AH100">
            <v>47519.999999999993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U100">
            <v>70650</v>
          </cell>
        </row>
        <row r="101">
          <cell r="B101">
            <v>38347</v>
          </cell>
          <cell r="C101">
            <v>12</v>
          </cell>
          <cell r="D101">
            <v>26</v>
          </cell>
          <cell r="E101">
            <v>87</v>
          </cell>
          <cell r="F101">
            <v>2617559.0641499599</v>
          </cell>
          <cell r="G101">
            <v>1248057</v>
          </cell>
          <cell r="H101">
            <v>6420.5720000000001</v>
          </cell>
          <cell r="I101">
            <v>94361.403902474252</v>
          </cell>
          <cell r="J101">
            <v>44775</v>
          </cell>
          <cell r="K101">
            <v>45700.000000000007</v>
          </cell>
          <cell r="L101">
            <v>36680.701951237126</v>
          </cell>
          <cell r="M101">
            <v>37080.701951237126</v>
          </cell>
          <cell r="N101">
            <v>36380.701951237126</v>
          </cell>
          <cell r="O101">
            <v>46980.701951237133</v>
          </cell>
          <cell r="P101">
            <v>53550</v>
          </cell>
          <cell r="Q101">
            <v>82275</v>
          </cell>
          <cell r="R101">
            <v>0</v>
          </cell>
          <cell r="S101">
            <v>43430.701951237126</v>
          </cell>
          <cell r="T101">
            <v>0</v>
          </cell>
          <cell r="U101">
            <v>55400</v>
          </cell>
          <cell r="V101">
            <v>0</v>
          </cell>
          <cell r="Y101">
            <v>27987.5</v>
          </cell>
          <cell r="Z101">
            <v>90262.499999999985</v>
          </cell>
          <cell r="AA101">
            <v>59899.999999999993</v>
          </cell>
          <cell r="AB101">
            <v>51930.701951237119</v>
          </cell>
          <cell r="AC101">
            <v>61500</v>
          </cell>
          <cell r="AD101">
            <v>89475</v>
          </cell>
          <cell r="AE101">
            <v>59449.999999999993</v>
          </cell>
          <cell r="AF101">
            <v>59599.999999999993</v>
          </cell>
          <cell r="AG101">
            <v>30200</v>
          </cell>
          <cell r="AH101">
            <v>47519.999999999993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U101">
            <v>70650</v>
          </cell>
        </row>
        <row r="102">
          <cell r="B102">
            <v>38348</v>
          </cell>
          <cell r="C102">
            <v>12</v>
          </cell>
          <cell r="D102">
            <v>27</v>
          </cell>
          <cell r="E102">
            <v>88</v>
          </cell>
          <cell r="F102">
            <v>2617559.0641499599</v>
          </cell>
          <cell r="G102">
            <v>1230818</v>
          </cell>
          <cell r="H102">
            <v>6420.5720000000001</v>
          </cell>
          <cell r="I102">
            <v>94361.403902474252</v>
          </cell>
          <cell r="J102">
            <v>44775</v>
          </cell>
          <cell r="K102">
            <v>45700.000000000007</v>
          </cell>
          <cell r="L102">
            <v>36680.701951237126</v>
          </cell>
          <cell r="M102">
            <v>37080.701951237126</v>
          </cell>
          <cell r="N102">
            <v>36380.701951237126</v>
          </cell>
          <cell r="O102">
            <v>46980.701951237133</v>
          </cell>
          <cell r="P102">
            <v>53550</v>
          </cell>
          <cell r="Q102">
            <v>82275</v>
          </cell>
          <cell r="R102">
            <v>0</v>
          </cell>
          <cell r="S102">
            <v>43430.701951237126</v>
          </cell>
          <cell r="T102">
            <v>0</v>
          </cell>
          <cell r="U102">
            <v>55400</v>
          </cell>
          <cell r="V102">
            <v>0</v>
          </cell>
          <cell r="Y102">
            <v>27987.5</v>
          </cell>
          <cell r="Z102">
            <v>90262.499999999985</v>
          </cell>
          <cell r="AA102">
            <v>59899.999999999993</v>
          </cell>
          <cell r="AB102">
            <v>51930.701951237119</v>
          </cell>
          <cell r="AC102">
            <v>61500</v>
          </cell>
          <cell r="AD102">
            <v>89475</v>
          </cell>
          <cell r="AE102">
            <v>59449.999999999993</v>
          </cell>
          <cell r="AF102">
            <v>59599.999999999993</v>
          </cell>
          <cell r="AG102">
            <v>30200</v>
          </cell>
          <cell r="AH102">
            <v>47519.999999999993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U102">
            <v>70650</v>
          </cell>
        </row>
        <row r="103">
          <cell r="B103">
            <v>38349</v>
          </cell>
          <cell r="C103">
            <v>12</v>
          </cell>
          <cell r="D103">
            <v>28</v>
          </cell>
          <cell r="E103">
            <v>89</v>
          </cell>
          <cell r="F103">
            <v>2617559.0641499599</v>
          </cell>
          <cell r="G103">
            <v>1336627</v>
          </cell>
          <cell r="H103">
            <v>6420.5720000000001</v>
          </cell>
          <cell r="I103">
            <v>94361.403902474252</v>
          </cell>
          <cell r="J103">
            <v>44775</v>
          </cell>
          <cell r="K103">
            <v>45700.000000000007</v>
          </cell>
          <cell r="L103">
            <v>36680.701951237126</v>
          </cell>
          <cell r="M103">
            <v>37080.701951237126</v>
          </cell>
          <cell r="N103">
            <v>36380.701951237126</v>
          </cell>
          <cell r="O103">
            <v>46980.701951237133</v>
          </cell>
          <cell r="P103">
            <v>53550</v>
          </cell>
          <cell r="Q103">
            <v>82275</v>
          </cell>
          <cell r="R103">
            <v>0</v>
          </cell>
          <cell r="S103">
            <v>43430.701951237126</v>
          </cell>
          <cell r="T103">
            <v>0</v>
          </cell>
          <cell r="U103">
            <v>55400</v>
          </cell>
          <cell r="V103">
            <v>0</v>
          </cell>
          <cell r="Y103">
            <v>27987.5</v>
          </cell>
          <cell r="Z103">
            <v>90262.499999999985</v>
          </cell>
          <cell r="AA103">
            <v>59899.999999999993</v>
          </cell>
          <cell r="AB103">
            <v>51930.701951237119</v>
          </cell>
          <cell r="AC103">
            <v>61500</v>
          </cell>
          <cell r="AD103">
            <v>89475</v>
          </cell>
          <cell r="AE103">
            <v>59449.999999999993</v>
          </cell>
          <cell r="AF103">
            <v>59599.999999999993</v>
          </cell>
          <cell r="AG103">
            <v>30200</v>
          </cell>
          <cell r="AH103">
            <v>47519.999999999993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U103">
            <v>70650</v>
          </cell>
        </row>
        <row r="104">
          <cell r="B104">
            <v>38350</v>
          </cell>
          <cell r="C104">
            <v>12</v>
          </cell>
          <cell r="D104">
            <v>29</v>
          </cell>
          <cell r="E104">
            <v>90</v>
          </cell>
          <cell r="F104">
            <v>2617559.0641499599</v>
          </cell>
          <cell r="G104">
            <v>2319538</v>
          </cell>
          <cell r="H104">
            <v>6420.5720000000001</v>
          </cell>
          <cell r="I104">
            <v>94361.403902474252</v>
          </cell>
          <cell r="J104">
            <v>44775</v>
          </cell>
          <cell r="K104">
            <v>45700.000000000007</v>
          </cell>
          <cell r="L104">
            <v>36680.701951237126</v>
          </cell>
          <cell r="M104">
            <v>37080.701951237126</v>
          </cell>
          <cell r="N104">
            <v>36380.701951237126</v>
          </cell>
          <cell r="O104">
            <v>46980.701951237133</v>
          </cell>
          <cell r="P104">
            <v>53550</v>
          </cell>
          <cell r="Q104">
            <v>82275</v>
          </cell>
          <cell r="R104">
            <v>0</v>
          </cell>
          <cell r="S104">
            <v>43430.701951237126</v>
          </cell>
          <cell r="T104">
            <v>0</v>
          </cell>
          <cell r="U104">
            <v>55400</v>
          </cell>
          <cell r="V104">
            <v>0</v>
          </cell>
          <cell r="Y104">
            <v>27987.5</v>
          </cell>
          <cell r="Z104">
            <v>90262.499999999985</v>
          </cell>
          <cell r="AA104">
            <v>59899.999999999993</v>
          </cell>
          <cell r="AB104">
            <v>51930.701951237119</v>
          </cell>
          <cell r="AC104">
            <v>61500</v>
          </cell>
          <cell r="AD104">
            <v>89475</v>
          </cell>
          <cell r="AE104">
            <v>59449.999999999993</v>
          </cell>
          <cell r="AF104">
            <v>59599.999999999993</v>
          </cell>
          <cell r="AG104">
            <v>30200</v>
          </cell>
          <cell r="AH104">
            <v>47519.999999999993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U104">
            <v>70650</v>
          </cell>
        </row>
        <row r="105">
          <cell r="B105">
            <v>38351</v>
          </cell>
          <cell r="C105">
            <v>12</v>
          </cell>
          <cell r="D105">
            <v>30</v>
          </cell>
          <cell r="E105">
            <v>91</v>
          </cell>
          <cell r="F105">
            <v>2819780.7917326037</v>
          </cell>
          <cell r="G105">
            <v>2286102</v>
          </cell>
          <cell r="H105">
            <v>6420.5720000000001</v>
          </cell>
          <cell r="I105">
            <v>94361.403902474252</v>
          </cell>
          <cell r="J105">
            <v>44775</v>
          </cell>
          <cell r="K105">
            <v>45700.000000000007</v>
          </cell>
          <cell r="L105">
            <v>36680.701951237126</v>
          </cell>
          <cell r="M105">
            <v>37080.701951237126</v>
          </cell>
          <cell r="N105">
            <v>36380.701951237126</v>
          </cell>
          <cell r="O105">
            <v>46980.701951237133</v>
          </cell>
          <cell r="P105">
            <v>53550</v>
          </cell>
          <cell r="Q105">
            <v>82275</v>
          </cell>
          <cell r="R105">
            <v>0</v>
          </cell>
          <cell r="S105">
            <v>43430.701951237126</v>
          </cell>
          <cell r="T105">
            <v>0</v>
          </cell>
          <cell r="U105">
            <v>55400</v>
          </cell>
          <cell r="V105">
            <v>0</v>
          </cell>
          <cell r="Y105">
            <v>27987.5</v>
          </cell>
          <cell r="Z105">
            <v>90262.499999999985</v>
          </cell>
          <cell r="AA105">
            <v>59899.999999999993</v>
          </cell>
          <cell r="AB105">
            <v>51930.701951237119</v>
          </cell>
          <cell r="AC105">
            <v>61500</v>
          </cell>
          <cell r="AD105">
            <v>89475</v>
          </cell>
          <cell r="AE105">
            <v>59449.999999999993</v>
          </cell>
          <cell r="AF105">
            <v>59599.999999999993</v>
          </cell>
          <cell r="AG105">
            <v>30200</v>
          </cell>
          <cell r="AH105">
            <v>47519.999999999993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U105">
            <v>70650</v>
          </cell>
        </row>
        <row r="106">
          <cell r="B106">
            <v>38352</v>
          </cell>
          <cell r="C106">
            <v>12</v>
          </cell>
          <cell r="D106">
            <v>31</v>
          </cell>
          <cell r="E106">
            <v>92</v>
          </cell>
          <cell r="F106">
            <v>2617559.0641499599</v>
          </cell>
          <cell r="G106">
            <v>1792516</v>
          </cell>
          <cell r="H106">
            <v>6420.5720000000001</v>
          </cell>
          <cell r="I106">
            <v>94361.403902474252</v>
          </cell>
          <cell r="J106">
            <v>44775</v>
          </cell>
          <cell r="K106">
            <v>45700.000000000007</v>
          </cell>
          <cell r="L106">
            <v>36680.701951237126</v>
          </cell>
          <cell r="M106">
            <v>37080.701951237126</v>
          </cell>
          <cell r="N106">
            <v>36380.701951237126</v>
          </cell>
          <cell r="O106">
            <v>46980.701951237133</v>
          </cell>
          <cell r="P106">
            <v>53550</v>
          </cell>
          <cell r="Q106">
            <v>82275</v>
          </cell>
          <cell r="R106">
            <v>0</v>
          </cell>
          <cell r="S106">
            <v>43430.701951237126</v>
          </cell>
          <cell r="T106">
            <v>0</v>
          </cell>
          <cell r="U106">
            <v>55400</v>
          </cell>
          <cell r="V106">
            <v>0</v>
          </cell>
          <cell r="Y106">
            <v>27987.5</v>
          </cell>
          <cell r="Z106">
            <v>90262.499999999985</v>
          </cell>
          <cell r="AA106">
            <v>59899.999999999993</v>
          </cell>
          <cell r="AB106">
            <v>51930.701951237119</v>
          </cell>
          <cell r="AC106">
            <v>61500</v>
          </cell>
          <cell r="AD106">
            <v>89475</v>
          </cell>
          <cell r="AE106">
            <v>59449.999999999993</v>
          </cell>
          <cell r="AF106">
            <v>59599.999999999993</v>
          </cell>
          <cell r="AG106">
            <v>30200</v>
          </cell>
          <cell r="AH106">
            <v>47519.999999999993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U106">
            <v>70650</v>
          </cell>
        </row>
        <row r="107">
          <cell r="B107">
            <v>38353</v>
          </cell>
          <cell r="C107">
            <v>1</v>
          </cell>
          <cell r="D107">
            <v>1</v>
          </cell>
          <cell r="E107">
            <v>93</v>
          </cell>
          <cell r="F107">
            <v>2617559.0641499599</v>
          </cell>
          <cell r="G107">
            <v>1971260</v>
          </cell>
          <cell r="H107">
            <v>6420.5720000000001</v>
          </cell>
          <cell r="I107">
            <v>94361.403902474252</v>
          </cell>
          <cell r="J107">
            <v>44775</v>
          </cell>
          <cell r="K107">
            <v>45700.000000000007</v>
          </cell>
          <cell r="L107">
            <v>36680.701951237126</v>
          </cell>
          <cell r="M107">
            <v>37080.701951237126</v>
          </cell>
          <cell r="N107">
            <v>36380.701951237126</v>
          </cell>
          <cell r="O107">
            <v>46980.701951237133</v>
          </cell>
          <cell r="P107">
            <v>53550</v>
          </cell>
          <cell r="Q107">
            <v>82275</v>
          </cell>
          <cell r="R107">
            <v>0</v>
          </cell>
          <cell r="S107">
            <v>43430.701951237126</v>
          </cell>
          <cell r="T107">
            <v>0</v>
          </cell>
          <cell r="U107">
            <v>55400</v>
          </cell>
          <cell r="V107">
            <v>0</v>
          </cell>
          <cell r="Y107">
            <v>27987.5</v>
          </cell>
          <cell r="Z107">
            <v>90262.499999999985</v>
          </cell>
          <cell r="AA107">
            <v>59899.999999999993</v>
          </cell>
          <cell r="AB107">
            <v>51930.701951237119</v>
          </cell>
          <cell r="AC107">
            <v>61500</v>
          </cell>
          <cell r="AD107">
            <v>89475</v>
          </cell>
          <cell r="AE107">
            <v>59449.999999999993</v>
          </cell>
          <cell r="AF107">
            <v>59599.999999999993</v>
          </cell>
          <cell r="AG107">
            <v>30200</v>
          </cell>
          <cell r="AH107">
            <v>47519.999999999993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U107">
            <v>70650</v>
          </cell>
        </row>
        <row r="108">
          <cell r="B108">
            <v>38354</v>
          </cell>
          <cell r="C108">
            <v>1</v>
          </cell>
          <cell r="D108">
            <v>2</v>
          </cell>
          <cell r="E108">
            <v>94</v>
          </cell>
          <cell r="F108">
            <v>2617559.0641499599</v>
          </cell>
          <cell r="G108">
            <v>705994</v>
          </cell>
          <cell r="H108">
            <v>6420.5720000000001</v>
          </cell>
          <cell r="I108">
            <v>94361.403902474252</v>
          </cell>
          <cell r="J108">
            <v>44775</v>
          </cell>
          <cell r="K108">
            <v>45700.000000000007</v>
          </cell>
          <cell r="L108">
            <v>36680.701951237126</v>
          </cell>
          <cell r="M108">
            <v>37080.701951237126</v>
          </cell>
          <cell r="N108">
            <v>36380.701951237126</v>
          </cell>
          <cell r="O108">
            <v>46980.701951237133</v>
          </cell>
          <cell r="P108">
            <v>53550</v>
          </cell>
          <cell r="Q108">
            <v>82275</v>
          </cell>
          <cell r="R108">
            <v>0</v>
          </cell>
          <cell r="S108">
            <v>43430.701951237126</v>
          </cell>
          <cell r="T108">
            <v>0</v>
          </cell>
          <cell r="U108">
            <v>55400</v>
          </cell>
          <cell r="V108">
            <v>0</v>
          </cell>
          <cell r="Y108">
            <v>27987.5</v>
          </cell>
          <cell r="Z108">
            <v>90262.499999999985</v>
          </cell>
          <cell r="AA108">
            <v>59899.999999999993</v>
          </cell>
          <cell r="AB108">
            <v>51930.701951237119</v>
          </cell>
          <cell r="AC108">
            <v>61500</v>
          </cell>
          <cell r="AD108">
            <v>89475</v>
          </cell>
          <cell r="AE108">
            <v>59449.999999999993</v>
          </cell>
          <cell r="AF108">
            <v>59599.999999999993</v>
          </cell>
          <cell r="AG108">
            <v>30200</v>
          </cell>
          <cell r="AH108">
            <v>47519.999999999993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U108">
            <v>70650</v>
          </cell>
        </row>
        <row r="109">
          <cell r="B109">
            <v>38355</v>
          </cell>
          <cell r="C109">
            <v>1</v>
          </cell>
          <cell r="D109">
            <v>3</v>
          </cell>
          <cell r="E109">
            <v>95</v>
          </cell>
          <cell r="F109">
            <v>2617559.0641499599</v>
          </cell>
          <cell r="G109">
            <v>1763755</v>
          </cell>
          <cell r="H109">
            <v>6420.5720000000001</v>
          </cell>
          <cell r="I109">
            <v>94361.403902474252</v>
          </cell>
          <cell r="J109">
            <v>44775</v>
          </cell>
          <cell r="K109">
            <v>45700.000000000007</v>
          </cell>
          <cell r="L109">
            <v>36680.701951237126</v>
          </cell>
          <cell r="M109">
            <v>37080.701951237126</v>
          </cell>
          <cell r="N109">
            <v>36380.701951237126</v>
          </cell>
          <cell r="O109">
            <v>46980.701951237133</v>
          </cell>
          <cell r="P109">
            <v>53550</v>
          </cell>
          <cell r="Q109">
            <v>82275</v>
          </cell>
          <cell r="R109">
            <v>0</v>
          </cell>
          <cell r="S109">
            <v>43430.701951237126</v>
          </cell>
          <cell r="T109">
            <v>0</v>
          </cell>
          <cell r="U109">
            <v>55400</v>
          </cell>
          <cell r="V109">
            <v>0</v>
          </cell>
          <cell r="Y109">
            <v>27987.5</v>
          </cell>
          <cell r="Z109">
            <v>90262.499999999985</v>
          </cell>
          <cell r="AA109">
            <v>59899.999999999993</v>
          </cell>
          <cell r="AB109">
            <v>51930.701951237119</v>
          </cell>
          <cell r="AC109">
            <v>61500</v>
          </cell>
          <cell r="AD109">
            <v>89475</v>
          </cell>
          <cell r="AE109">
            <v>59449.999999999993</v>
          </cell>
          <cell r="AF109">
            <v>59599.999999999993</v>
          </cell>
          <cell r="AG109">
            <v>30200</v>
          </cell>
          <cell r="AH109">
            <v>47519.999999999993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U109">
            <v>70650</v>
          </cell>
        </row>
        <row r="110">
          <cell r="B110">
            <v>38356</v>
          </cell>
          <cell r="C110">
            <v>1</v>
          </cell>
          <cell r="D110">
            <v>4</v>
          </cell>
          <cell r="E110">
            <v>96</v>
          </cell>
          <cell r="F110">
            <v>3610410.7003139979</v>
          </cell>
          <cell r="G110">
            <v>2209232</v>
          </cell>
          <cell r="H110">
            <v>6420.5720000000001</v>
          </cell>
          <cell r="I110">
            <v>94361.403902474252</v>
          </cell>
          <cell r="J110">
            <v>44775</v>
          </cell>
          <cell r="K110">
            <v>45700.000000000007</v>
          </cell>
          <cell r="L110">
            <v>36680.701951237126</v>
          </cell>
          <cell r="M110">
            <v>37080.701951237126</v>
          </cell>
          <cell r="N110">
            <v>36380.701951237126</v>
          </cell>
          <cell r="O110">
            <v>46980.701951237133</v>
          </cell>
          <cell r="P110">
            <v>53550</v>
          </cell>
          <cell r="Q110">
            <v>82275</v>
          </cell>
          <cell r="R110">
            <v>0</v>
          </cell>
          <cell r="S110">
            <v>43430.701951237126</v>
          </cell>
          <cell r="T110">
            <v>0</v>
          </cell>
          <cell r="U110">
            <v>55400</v>
          </cell>
          <cell r="V110">
            <v>0</v>
          </cell>
          <cell r="Y110">
            <v>27987.5</v>
          </cell>
          <cell r="Z110">
            <v>90262.499999999985</v>
          </cell>
          <cell r="AA110">
            <v>59899.999999999993</v>
          </cell>
          <cell r="AB110">
            <v>51930.701951237119</v>
          </cell>
          <cell r="AC110">
            <v>61500</v>
          </cell>
          <cell r="AD110">
            <v>89475</v>
          </cell>
          <cell r="AE110">
            <v>59449.999999999993</v>
          </cell>
          <cell r="AF110">
            <v>59599.999999999993</v>
          </cell>
          <cell r="AG110">
            <v>30200</v>
          </cell>
          <cell r="AH110">
            <v>47519.999999999993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U110">
            <v>70650</v>
          </cell>
        </row>
        <row r="111">
          <cell r="B111">
            <v>38357</v>
          </cell>
          <cell r="C111">
            <v>1</v>
          </cell>
          <cell r="D111">
            <v>5</v>
          </cell>
          <cell r="E111">
            <v>97</v>
          </cell>
          <cell r="F111">
            <v>3823224.0247445158</v>
          </cell>
          <cell r="G111">
            <v>3639722</v>
          </cell>
          <cell r="H111">
            <v>6420.5720000000001</v>
          </cell>
          <cell r="I111">
            <v>94361.403902474252</v>
          </cell>
          <cell r="J111">
            <v>44775</v>
          </cell>
          <cell r="K111">
            <v>45700.000000000007</v>
          </cell>
          <cell r="L111">
            <v>36680.701951237126</v>
          </cell>
          <cell r="M111">
            <v>37080.701951237126</v>
          </cell>
          <cell r="N111">
            <v>36380.701951237126</v>
          </cell>
          <cell r="O111">
            <v>46980.701951237133</v>
          </cell>
          <cell r="P111">
            <v>53550</v>
          </cell>
          <cell r="Q111">
            <v>82275</v>
          </cell>
          <cell r="R111">
            <v>0</v>
          </cell>
          <cell r="S111">
            <v>43430.701951237126</v>
          </cell>
          <cell r="T111">
            <v>0</v>
          </cell>
          <cell r="U111">
            <v>55400</v>
          </cell>
          <cell r="V111">
            <v>0</v>
          </cell>
          <cell r="Y111">
            <v>27987.5</v>
          </cell>
          <cell r="Z111">
            <v>90262.499999999985</v>
          </cell>
          <cell r="AA111">
            <v>59899.999999999993</v>
          </cell>
          <cell r="AB111">
            <v>51930.701951237119</v>
          </cell>
          <cell r="AC111">
            <v>61500</v>
          </cell>
          <cell r="AD111">
            <v>89475</v>
          </cell>
          <cell r="AE111">
            <v>59449.999999999993</v>
          </cell>
          <cell r="AF111">
            <v>59599.999999999993</v>
          </cell>
          <cell r="AG111">
            <v>30200</v>
          </cell>
          <cell r="AH111">
            <v>47519.999999999993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U111">
            <v>70650</v>
          </cell>
        </row>
        <row r="112">
          <cell r="B112">
            <v>38358</v>
          </cell>
          <cell r="C112">
            <v>1</v>
          </cell>
          <cell r="D112">
            <v>6</v>
          </cell>
          <cell r="E112">
            <v>98</v>
          </cell>
          <cell r="F112">
            <v>3479347.0522235041</v>
          </cell>
          <cell r="G112">
            <v>3360153</v>
          </cell>
          <cell r="H112">
            <v>6420.5720000000001</v>
          </cell>
          <cell r="I112">
            <v>94361.403902474252</v>
          </cell>
          <cell r="J112">
            <v>44775</v>
          </cell>
          <cell r="K112">
            <v>45700.000000000007</v>
          </cell>
          <cell r="L112">
            <v>36680.701951237126</v>
          </cell>
          <cell r="M112">
            <v>37080.701951237126</v>
          </cell>
          <cell r="N112">
            <v>36380.701951237126</v>
          </cell>
          <cell r="O112">
            <v>46980.701951237133</v>
          </cell>
          <cell r="P112">
            <v>53550</v>
          </cell>
          <cell r="Q112">
            <v>82275</v>
          </cell>
          <cell r="R112">
            <v>0</v>
          </cell>
          <cell r="S112">
            <v>43430.701951237126</v>
          </cell>
          <cell r="T112">
            <v>0</v>
          </cell>
          <cell r="U112">
            <v>55400</v>
          </cell>
          <cell r="V112">
            <v>0</v>
          </cell>
          <cell r="Y112">
            <v>27987.5</v>
          </cell>
          <cell r="Z112">
            <v>90262.499999999985</v>
          </cell>
          <cell r="AA112">
            <v>59899.999999999993</v>
          </cell>
          <cell r="AB112">
            <v>51930.701951237119</v>
          </cell>
          <cell r="AC112">
            <v>61500</v>
          </cell>
          <cell r="AD112">
            <v>89475</v>
          </cell>
          <cell r="AE112">
            <v>59449.999999999993</v>
          </cell>
          <cell r="AF112">
            <v>59599.999999999993</v>
          </cell>
          <cell r="AG112">
            <v>30200</v>
          </cell>
          <cell r="AH112">
            <v>47519.999999999993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U112">
            <v>70650</v>
          </cell>
        </row>
        <row r="113">
          <cell r="B113">
            <v>38359</v>
          </cell>
          <cell r="C113">
            <v>1</v>
          </cell>
          <cell r="D113">
            <v>7</v>
          </cell>
          <cell r="E113">
            <v>99</v>
          </cell>
          <cell r="F113">
            <v>3996834.7633115719</v>
          </cell>
          <cell r="G113">
            <v>1506377</v>
          </cell>
          <cell r="H113">
            <v>6420.5720000000001</v>
          </cell>
          <cell r="I113">
            <v>94361.403902474252</v>
          </cell>
          <cell r="J113">
            <v>44775</v>
          </cell>
          <cell r="K113">
            <v>45700.000000000007</v>
          </cell>
          <cell r="L113">
            <v>36680.701951237126</v>
          </cell>
          <cell r="M113">
            <v>37080.701951237126</v>
          </cell>
          <cell r="N113">
            <v>36380.701951237126</v>
          </cell>
          <cell r="O113">
            <v>46980.701951237133</v>
          </cell>
          <cell r="P113">
            <v>53550</v>
          </cell>
          <cell r="Q113">
            <v>82275</v>
          </cell>
          <cell r="R113">
            <v>0</v>
          </cell>
          <cell r="S113">
            <v>43430.701951237126</v>
          </cell>
          <cell r="T113">
            <v>0</v>
          </cell>
          <cell r="U113">
            <v>55400</v>
          </cell>
          <cell r="V113">
            <v>0</v>
          </cell>
          <cell r="Y113">
            <v>27987.5</v>
          </cell>
          <cell r="Z113">
            <v>90262.499999999985</v>
          </cell>
          <cell r="AA113">
            <v>59899.999999999993</v>
          </cell>
          <cell r="AB113">
            <v>51930.701951237119</v>
          </cell>
          <cell r="AC113">
            <v>61500</v>
          </cell>
          <cell r="AD113">
            <v>89475</v>
          </cell>
          <cell r="AE113">
            <v>59449.999999999993</v>
          </cell>
          <cell r="AF113">
            <v>59599.999999999993</v>
          </cell>
          <cell r="AG113">
            <v>30200</v>
          </cell>
          <cell r="AH113">
            <v>47519.999999999993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U113">
            <v>70650</v>
          </cell>
        </row>
        <row r="114">
          <cell r="B114">
            <v>38360</v>
          </cell>
          <cell r="C114">
            <v>1</v>
          </cell>
          <cell r="D114">
            <v>8</v>
          </cell>
          <cell r="E114">
            <v>100</v>
          </cell>
          <cell r="F114">
            <v>3632501.4028734197</v>
          </cell>
          <cell r="G114">
            <v>1445829</v>
          </cell>
          <cell r="H114">
            <v>6420.5720000000001</v>
          </cell>
          <cell r="I114">
            <v>94361.403902474252</v>
          </cell>
          <cell r="J114">
            <v>44775</v>
          </cell>
          <cell r="K114">
            <v>45700.000000000007</v>
          </cell>
          <cell r="L114">
            <v>36680.701951237126</v>
          </cell>
          <cell r="M114">
            <v>37080.701951237126</v>
          </cell>
          <cell r="N114">
            <v>36380.701951237126</v>
          </cell>
          <cell r="O114">
            <v>46980.701951237133</v>
          </cell>
          <cell r="P114">
            <v>53550</v>
          </cell>
          <cell r="Q114">
            <v>82275</v>
          </cell>
          <cell r="R114">
            <v>0</v>
          </cell>
          <cell r="S114">
            <v>43430.701951237126</v>
          </cell>
          <cell r="T114">
            <v>0</v>
          </cell>
          <cell r="U114">
            <v>55400</v>
          </cell>
          <cell r="V114">
            <v>0</v>
          </cell>
          <cell r="Y114">
            <v>27987.5</v>
          </cell>
          <cell r="Z114">
            <v>90262.499999999985</v>
          </cell>
          <cell r="AA114">
            <v>59899.999999999993</v>
          </cell>
          <cell r="AB114">
            <v>51930.701951237119</v>
          </cell>
          <cell r="AC114">
            <v>61500</v>
          </cell>
          <cell r="AD114">
            <v>89475</v>
          </cell>
          <cell r="AE114">
            <v>59449.999999999993</v>
          </cell>
          <cell r="AF114">
            <v>59599.999999999993</v>
          </cell>
          <cell r="AG114">
            <v>30200</v>
          </cell>
          <cell r="AH114">
            <v>47519.999999999993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U114">
            <v>70650</v>
          </cell>
        </row>
        <row r="115">
          <cell r="B115">
            <v>38361</v>
          </cell>
          <cell r="C115">
            <v>1</v>
          </cell>
          <cell r="D115">
            <v>9</v>
          </cell>
          <cell r="E115">
            <v>101</v>
          </cell>
          <cell r="F115">
            <v>2954672.1504758219</v>
          </cell>
          <cell r="G115">
            <v>1387726</v>
          </cell>
          <cell r="H115">
            <v>6420.5720000000001</v>
          </cell>
          <cell r="I115">
            <v>94361.403902474252</v>
          </cell>
          <cell r="J115">
            <v>44775</v>
          </cell>
          <cell r="K115">
            <v>45700.000000000007</v>
          </cell>
          <cell r="L115">
            <v>36680.701951237126</v>
          </cell>
          <cell r="M115">
            <v>37080.701951237126</v>
          </cell>
          <cell r="N115">
            <v>36380.701951237126</v>
          </cell>
          <cell r="O115">
            <v>46980.701951237133</v>
          </cell>
          <cell r="P115">
            <v>53550</v>
          </cell>
          <cell r="Q115">
            <v>82275</v>
          </cell>
          <cell r="R115">
            <v>0</v>
          </cell>
          <cell r="S115">
            <v>43430.701951237126</v>
          </cell>
          <cell r="T115">
            <v>0</v>
          </cell>
          <cell r="U115">
            <v>55400</v>
          </cell>
          <cell r="V115">
            <v>0</v>
          </cell>
          <cell r="Y115">
            <v>27987.5</v>
          </cell>
          <cell r="Z115">
            <v>90262.499999999985</v>
          </cell>
          <cell r="AA115">
            <v>59899.999999999993</v>
          </cell>
          <cell r="AB115">
            <v>51930.701951237119</v>
          </cell>
          <cell r="AC115">
            <v>61500</v>
          </cell>
          <cell r="AD115">
            <v>89475</v>
          </cell>
          <cell r="AE115">
            <v>59449.999999999993</v>
          </cell>
          <cell r="AF115">
            <v>59599.999999999993</v>
          </cell>
          <cell r="AG115">
            <v>30200</v>
          </cell>
          <cell r="AH115">
            <v>47519.999999999993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U115">
            <v>70650</v>
          </cell>
        </row>
        <row r="116">
          <cell r="B116">
            <v>38362</v>
          </cell>
          <cell r="C116">
            <v>1</v>
          </cell>
          <cell r="D116">
            <v>10</v>
          </cell>
          <cell r="E116">
            <v>102</v>
          </cell>
          <cell r="F116">
            <v>2644432.9074859079</v>
          </cell>
          <cell r="G116">
            <v>1411773</v>
          </cell>
          <cell r="H116">
            <v>6420.5720000000001</v>
          </cell>
          <cell r="I116">
            <v>94361.403902474252</v>
          </cell>
          <cell r="J116">
            <v>44775</v>
          </cell>
          <cell r="K116">
            <v>45700.000000000007</v>
          </cell>
          <cell r="L116">
            <v>36680.701951237126</v>
          </cell>
          <cell r="M116">
            <v>37080.701951237126</v>
          </cell>
          <cell r="N116">
            <v>36380.701951237126</v>
          </cell>
          <cell r="O116">
            <v>46980.701951237133</v>
          </cell>
          <cell r="P116">
            <v>53550</v>
          </cell>
          <cell r="Q116">
            <v>82275</v>
          </cell>
          <cell r="R116">
            <v>0</v>
          </cell>
          <cell r="S116">
            <v>43430.701951237126</v>
          </cell>
          <cell r="T116">
            <v>0</v>
          </cell>
          <cell r="U116">
            <v>55400</v>
          </cell>
          <cell r="V116">
            <v>0</v>
          </cell>
          <cell r="Y116">
            <v>27987.5</v>
          </cell>
          <cell r="Z116">
            <v>90262.499999999985</v>
          </cell>
          <cell r="AA116">
            <v>59899.999999999993</v>
          </cell>
          <cell r="AB116">
            <v>51930.701951237119</v>
          </cell>
          <cell r="AC116">
            <v>61500</v>
          </cell>
          <cell r="AD116">
            <v>89475</v>
          </cell>
          <cell r="AE116">
            <v>59449.999999999993</v>
          </cell>
          <cell r="AF116">
            <v>59599.999999999993</v>
          </cell>
          <cell r="AG116">
            <v>30200</v>
          </cell>
          <cell r="AH116">
            <v>47519.999999999993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U116">
            <v>70650</v>
          </cell>
        </row>
        <row r="117">
          <cell r="B117">
            <v>38363</v>
          </cell>
          <cell r="C117">
            <v>1</v>
          </cell>
          <cell r="D117">
            <v>11</v>
          </cell>
          <cell r="E117">
            <v>103</v>
          </cell>
          <cell r="F117">
            <v>2767993.8832876119</v>
          </cell>
          <cell r="G117">
            <v>1437472</v>
          </cell>
          <cell r="H117">
            <v>6420.5720000000001</v>
          </cell>
          <cell r="I117">
            <v>94361.403902474252</v>
          </cell>
          <cell r="J117">
            <v>44775</v>
          </cell>
          <cell r="K117">
            <v>45700.000000000007</v>
          </cell>
          <cell r="L117">
            <v>36680.701951237126</v>
          </cell>
          <cell r="M117">
            <v>37080.701951237126</v>
          </cell>
          <cell r="N117">
            <v>36380.701951237126</v>
          </cell>
          <cell r="O117">
            <v>46980.701951237133</v>
          </cell>
          <cell r="P117">
            <v>53550</v>
          </cell>
          <cell r="Q117">
            <v>82275</v>
          </cell>
          <cell r="R117">
            <v>0</v>
          </cell>
          <cell r="S117">
            <v>43430.701951237126</v>
          </cell>
          <cell r="T117">
            <v>0</v>
          </cell>
          <cell r="U117">
            <v>55400</v>
          </cell>
          <cell r="V117">
            <v>0</v>
          </cell>
          <cell r="Y117">
            <v>27987.5</v>
          </cell>
          <cell r="Z117">
            <v>90262.499999999985</v>
          </cell>
          <cell r="AA117">
            <v>59899.999999999993</v>
          </cell>
          <cell r="AB117">
            <v>51930.701951237119</v>
          </cell>
          <cell r="AC117">
            <v>61500</v>
          </cell>
          <cell r="AD117">
            <v>89475</v>
          </cell>
          <cell r="AE117">
            <v>59449.999999999993</v>
          </cell>
          <cell r="AF117">
            <v>59599.999999999993</v>
          </cell>
          <cell r="AG117">
            <v>30200</v>
          </cell>
          <cell r="AH117">
            <v>47519.999999999993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U117">
            <v>70650</v>
          </cell>
        </row>
        <row r="118">
          <cell r="B118">
            <v>38364</v>
          </cell>
          <cell r="C118">
            <v>1</v>
          </cell>
          <cell r="D118">
            <v>12</v>
          </cell>
          <cell r="E118">
            <v>104</v>
          </cell>
          <cell r="F118">
            <v>2906798.8116079499</v>
          </cell>
          <cell r="G118">
            <v>1386127</v>
          </cell>
          <cell r="H118">
            <v>6420.5720000000001</v>
          </cell>
          <cell r="I118">
            <v>94361.403902474252</v>
          </cell>
          <cell r="J118">
            <v>44775</v>
          </cell>
          <cell r="K118">
            <v>45700.000000000007</v>
          </cell>
          <cell r="L118">
            <v>36680.701951237126</v>
          </cell>
          <cell r="M118">
            <v>37080.701951237126</v>
          </cell>
          <cell r="N118">
            <v>36380.701951237126</v>
          </cell>
          <cell r="O118">
            <v>46980.701951237133</v>
          </cell>
          <cell r="P118">
            <v>53550</v>
          </cell>
          <cell r="Q118">
            <v>82275</v>
          </cell>
          <cell r="R118">
            <v>0</v>
          </cell>
          <cell r="S118">
            <v>43430.701951237126</v>
          </cell>
          <cell r="T118">
            <v>0</v>
          </cell>
          <cell r="U118">
            <v>55400</v>
          </cell>
          <cell r="V118">
            <v>0</v>
          </cell>
          <cell r="Y118">
            <v>27987.5</v>
          </cell>
          <cell r="Z118">
            <v>90262.499999999985</v>
          </cell>
          <cell r="AA118">
            <v>59899.999999999993</v>
          </cell>
          <cell r="AB118">
            <v>51930.701951237119</v>
          </cell>
          <cell r="AC118">
            <v>61500</v>
          </cell>
          <cell r="AD118">
            <v>89475</v>
          </cell>
          <cell r="AE118">
            <v>59449.999999999993</v>
          </cell>
          <cell r="AF118">
            <v>59599.999999999993</v>
          </cell>
          <cell r="AG118">
            <v>30200</v>
          </cell>
          <cell r="AH118">
            <v>47519.999999999993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U118">
            <v>70650</v>
          </cell>
        </row>
        <row r="119">
          <cell r="B119">
            <v>38365</v>
          </cell>
          <cell r="C119">
            <v>1</v>
          </cell>
          <cell r="D119">
            <v>13</v>
          </cell>
          <cell r="E119">
            <v>105</v>
          </cell>
          <cell r="F119">
            <v>2617559.0641499599</v>
          </cell>
          <cell r="G119">
            <v>1067164</v>
          </cell>
          <cell r="H119">
            <v>6420.5720000000001</v>
          </cell>
          <cell r="I119">
            <v>94361.403902474252</v>
          </cell>
          <cell r="J119">
            <v>44775</v>
          </cell>
          <cell r="K119">
            <v>45700.000000000007</v>
          </cell>
          <cell r="L119">
            <v>36680.701951237126</v>
          </cell>
          <cell r="M119">
            <v>37080.701951237126</v>
          </cell>
          <cell r="N119">
            <v>36380.701951237126</v>
          </cell>
          <cell r="O119">
            <v>46980.701951237133</v>
          </cell>
          <cell r="P119">
            <v>53550</v>
          </cell>
          <cell r="Q119">
            <v>82275</v>
          </cell>
          <cell r="R119">
            <v>0</v>
          </cell>
          <cell r="S119">
            <v>43430.701951237126</v>
          </cell>
          <cell r="T119">
            <v>0</v>
          </cell>
          <cell r="U119">
            <v>55400</v>
          </cell>
          <cell r="V119">
            <v>0</v>
          </cell>
          <cell r="Y119">
            <v>27987.5</v>
          </cell>
          <cell r="Z119">
            <v>90262.499999999985</v>
          </cell>
          <cell r="AA119">
            <v>59899.999999999993</v>
          </cell>
          <cell r="AB119">
            <v>51930.701951237119</v>
          </cell>
          <cell r="AC119">
            <v>61500</v>
          </cell>
          <cell r="AD119">
            <v>89475</v>
          </cell>
          <cell r="AE119">
            <v>59449.999999999993</v>
          </cell>
          <cell r="AF119">
            <v>59599.999999999993</v>
          </cell>
          <cell r="AG119">
            <v>30200</v>
          </cell>
          <cell r="AH119">
            <v>47519.999999999993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U119">
            <v>70650</v>
          </cell>
        </row>
        <row r="120">
          <cell r="B120">
            <v>38366</v>
          </cell>
          <cell r="C120">
            <v>1</v>
          </cell>
          <cell r="D120">
            <v>14</v>
          </cell>
          <cell r="E120">
            <v>106</v>
          </cell>
          <cell r="F120">
            <v>2617559.0641499599</v>
          </cell>
          <cell r="G120">
            <v>977314</v>
          </cell>
          <cell r="H120">
            <v>6420.5720000000001</v>
          </cell>
          <cell r="I120">
            <v>94361.403902474252</v>
          </cell>
          <cell r="J120">
            <v>44775</v>
          </cell>
          <cell r="K120">
            <v>45700.000000000007</v>
          </cell>
          <cell r="L120">
            <v>36680.701951237126</v>
          </cell>
          <cell r="M120">
            <v>37080.701951237126</v>
          </cell>
          <cell r="N120">
            <v>36380.701951237126</v>
          </cell>
          <cell r="O120">
            <v>46980.701951237133</v>
          </cell>
          <cell r="P120">
            <v>53550</v>
          </cell>
          <cell r="Q120">
            <v>82275</v>
          </cell>
          <cell r="R120">
            <v>0</v>
          </cell>
          <cell r="S120">
            <v>43430.701951237126</v>
          </cell>
          <cell r="T120">
            <v>0</v>
          </cell>
          <cell r="U120">
            <v>55400</v>
          </cell>
          <cell r="V120">
            <v>0</v>
          </cell>
          <cell r="Y120">
            <v>27987.5</v>
          </cell>
          <cell r="Z120">
            <v>90262.499999999985</v>
          </cell>
          <cell r="AA120">
            <v>59899.999999999993</v>
          </cell>
          <cell r="AB120">
            <v>51930.701951237119</v>
          </cell>
          <cell r="AC120">
            <v>61500</v>
          </cell>
          <cell r="AD120">
            <v>89475</v>
          </cell>
          <cell r="AE120">
            <v>59449.999999999993</v>
          </cell>
          <cell r="AF120">
            <v>59599.999999999993</v>
          </cell>
          <cell r="AG120">
            <v>30200</v>
          </cell>
          <cell r="AH120">
            <v>47519.999999999993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U120">
            <v>70650</v>
          </cell>
        </row>
        <row r="121">
          <cell r="B121">
            <v>38367</v>
          </cell>
          <cell r="C121">
            <v>1</v>
          </cell>
          <cell r="D121">
            <v>15</v>
          </cell>
          <cell r="E121">
            <v>107</v>
          </cell>
          <cell r="F121">
            <v>2617559.0641499599</v>
          </cell>
          <cell r="G121">
            <v>646229</v>
          </cell>
          <cell r="H121">
            <v>6420.5720000000001</v>
          </cell>
          <cell r="I121">
            <v>94361.403902474252</v>
          </cell>
          <cell r="J121">
            <v>44775</v>
          </cell>
          <cell r="K121">
            <v>45700.000000000007</v>
          </cell>
          <cell r="L121">
            <v>36680.701951237126</v>
          </cell>
          <cell r="M121">
            <v>37080.701951237126</v>
          </cell>
          <cell r="N121">
            <v>36380.701951237126</v>
          </cell>
          <cell r="O121">
            <v>46980.701951237133</v>
          </cell>
          <cell r="P121">
            <v>53550</v>
          </cell>
          <cell r="Q121">
            <v>82275</v>
          </cell>
          <cell r="R121">
            <v>0</v>
          </cell>
          <cell r="S121">
            <v>43430.701951237126</v>
          </cell>
          <cell r="T121">
            <v>0</v>
          </cell>
          <cell r="U121">
            <v>55400</v>
          </cell>
          <cell r="V121">
            <v>0</v>
          </cell>
          <cell r="Y121">
            <v>27987.5</v>
          </cell>
          <cell r="Z121">
            <v>90262.499999999985</v>
          </cell>
          <cell r="AA121">
            <v>59899.999999999993</v>
          </cell>
          <cell r="AB121">
            <v>51930.701951237119</v>
          </cell>
          <cell r="AC121">
            <v>61500</v>
          </cell>
          <cell r="AD121">
            <v>89475</v>
          </cell>
          <cell r="AE121">
            <v>59449.999999999993</v>
          </cell>
          <cell r="AF121">
            <v>59599.999999999993</v>
          </cell>
          <cell r="AG121">
            <v>30200</v>
          </cell>
          <cell r="AH121">
            <v>47519.999999999993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U121">
            <v>70650</v>
          </cell>
        </row>
        <row r="122">
          <cell r="B122">
            <v>38368</v>
          </cell>
          <cell r="C122">
            <v>1</v>
          </cell>
          <cell r="D122">
            <v>16</v>
          </cell>
          <cell r="E122">
            <v>108</v>
          </cell>
          <cell r="F122">
            <v>2617559.0641499599</v>
          </cell>
          <cell r="G122">
            <v>705994</v>
          </cell>
          <cell r="H122">
            <v>6420.5720000000001</v>
          </cell>
          <cell r="I122">
            <v>94361.403902474252</v>
          </cell>
          <cell r="J122">
            <v>44775</v>
          </cell>
          <cell r="K122">
            <v>45700.000000000007</v>
          </cell>
          <cell r="L122">
            <v>36680.701951237126</v>
          </cell>
          <cell r="M122">
            <v>37080.701951237126</v>
          </cell>
          <cell r="N122">
            <v>36380.701951237126</v>
          </cell>
          <cell r="O122">
            <v>46980.701951237133</v>
          </cell>
          <cell r="P122">
            <v>53550</v>
          </cell>
          <cell r="Q122">
            <v>82275</v>
          </cell>
          <cell r="R122">
            <v>0</v>
          </cell>
          <cell r="S122">
            <v>43430.701951237126</v>
          </cell>
          <cell r="T122">
            <v>0</v>
          </cell>
          <cell r="U122">
            <v>55400</v>
          </cell>
          <cell r="V122">
            <v>0</v>
          </cell>
          <cell r="Y122">
            <v>27987.5</v>
          </cell>
          <cell r="Z122">
            <v>90262.499999999985</v>
          </cell>
          <cell r="AA122">
            <v>59899.999999999993</v>
          </cell>
          <cell r="AB122">
            <v>51930.701951237119</v>
          </cell>
          <cell r="AC122">
            <v>61500</v>
          </cell>
          <cell r="AD122">
            <v>89475</v>
          </cell>
          <cell r="AE122">
            <v>59449.999999999993</v>
          </cell>
          <cell r="AF122">
            <v>59599.999999999993</v>
          </cell>
          <cell r="AG122">
            <v>30200</v>
          </cell>
          <cell r="AH122">
            <v>47519.999999999993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U122">
            <v>70650</v>
          </cell>
        </row>
        <row r="123">
          <cell r="B123">
            <v>38369</v>
          </cell>
          <cell r="C123">
            <v>1</v>
          </cell>
          <cell r="D123">
            <v>17</v>
          </cell>
          <cell r="E123">
            <v>109</v>
          </cell>
          <cell r="F123">
            <v>2617559.0641499599</v>
          </cell>
          <cell r="G123">
            <v>756782</v>
          </cell>
          <cell r="H123">
            <v>6420.5720000000001</v>
          </cell>
          <cell r="I123">
            <v>94361.403902474252</v>
          </cell>
          <cell r="J123">
            <v>44775</v>
          </cell>
          <cell r="K123">
            <v>45700.000000000007</v>
          </cell>
          <cell r="L123">
            <v>36680.701951237126</v>
          </cell>
          <cell r="M123">
            <v>37080.701951237126</v>
          </cell>
          <cell r="N123">
            <v>36380.701951237126</v>
          </cell>
          <cell r="O123">
            <v>46980.701951237133</v>
          </cell>
          <cell r="P123">
            <v>53550</v>
          </cell>
          <cell r="Q123">
            <v>82275</v>
          </cell>
          <cell r="R123">
            <v>0</v>
          </cell>
          <cell r="S123">
            <v>43430.701951237126</v>
          </cell>
          <cell r="T123">
            <v>0</v>
          </cell>
          <cell r="U123">
            <v>55400</v>
          </cell>
          <cell r="V123">
            <v>0</v>
          </cell>
          <cell r="Y123">
            <v>27987.5</v>
          </cell>
          <cell r="Z123">
            <v>90262.499999999985</v>
          </cell>
          <cell r="AA123">
            <v>59899.999999999993</v>
          </cell>
          <cell r="AB123">
            <v>51930.701951237119</v>
          </cell>
          <cell r="AC123">
            <v>61500</v>
          </cell>
          <cell r="AD123">
            <v>89475</v>
          </cell>
          <cell r="AE123">
            <v>59449.999999999993</v>
          </cell>
          <cell r="AF123">
            <v>59599.999999999993</v>
          </cell>
          <cell r="AG123">
            <v>30200</v>
          </cell>
          <cell r="AH123">
            <v>47519.999999999993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U123">
            <v>70650</v>
          </cell>
        </row>
        <row r="124">
          <cell r="B124">
            <v>38370</v>
          </cell>
          <cell r="C124">
            <v>1</v>
          </cell>
          <cell r="D124">
            <v>18</v>
          </cell>
          <cell r="E124">
            <v>110</v>
          </cell>
          <cell r="F124">
            <v>2617559.0641499599</v>
          </cell>
          <cell r="G124">
            <v>656561</v>
          </cell>
          <cell r="H124">
            <v>6420.5720000000001</v>
          </cell>
          <cell r="I124">
            <v>94361.403902474252</v>
          </cell>
          <cell r="J124">
            <v>44775</v>
          </cell>
          <cell r="K124">
            <v>45700.000000000007</v>
          </cell>
          <cell r="L124">
            <v>36680.701951237126</v>
          </cell>
          <cell r="M124">
            <v>37080.701951237126</v>
          </cell>
          <cell r="N124">
            <v>36380.701951237126</v>
          </cell>
          <cell r="O124">
            <v>46980.701951237133</v>
          </cell>
          <cell r="P124">
            <v>53550</v>
          </cell>
          <cell r="Q124">
            <v>82275</v>
          </cell>
          <cell r="R124">
            <v>0</v>
          </cell>
          <cell r="S124">
            <v>43430.701951237126</v>
          </cell>
          <cell r="T124">
            <v>0</v>
          </cell>
          <cell r="U124">
            <v>55400</v>
          </cell>
          <cell r="V124">
            <v>0</v>
          </cell>
          <cell r="Y124">
            <v>27987.5</v>
          </cell>
          <cell r="Z124">
            <v>90262.499999999985</v>
          </cell>
          <cell r="AA124">
            <v>59899.999999999993</v>
          </cell>
          <cell r="AB124">
            <v>51930.701951237119</v>
          </cell>
          <cell r="AC124">
            <v>61500</v>
          </cell>
          <cell r="AD124">
            <v>89475</v>
          </cell>
          <cell r="AE124">
            <v>59449.999999999993</v>
          </cell>
          <cell r="AF124">
            <v>59599.999999999993</v>
          </cell>
          <cell r="AG124">
            <v>30200</v>
          </cell>
          <cell r="AH124">
            <v>47519.999999999993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U124">
            <v>70650</v>
          </cell>
        </row>
        <row r="125">
          <cell r="B125">
            <v>38371</v>
          </cell>
          <cell r="C125">
            <v>1</v>
          </cell>
          <cell r="D125">
            <v>19</v>
          </cell>
          <cell r="E125">
            <v>111</v>
          </cell>
          <cell r="F125">
            <v>2617559.0641499599</v>
          </cell>
          <cell r="G125">
            <v>905893</v>
          </cell>
          <cell r="H125">
            <v>6420.5720000000001</v>
          </cell>
          <cell r="I125">
            <v>94361.403902474252</v>
          </cell>
          <cell r="J125">
            <v>44775</v>
          </cell>
          <cell r="K125">
            <v>45700.000000000007</v>
          </cell>
          <cell r="L125">
            <v>36680.701951237126</v>
          </cell>
          <cell r="M125">
            <v>37080.701951237126</v>
          </cell>
          <cell r="N125">
            <v>36380.701951237126</v>
          </cell>
          <cell r="O125">
            <v>46980.701951237133</v>
          </cell>
          <cell r="P125">
            <v>53550</v>
          </cell>
          <cell r="Q125">
            <v>82275</v>
          </cell>
          <cell r="R125">
            <v>0</v>
          </cell>
          <cell r="S125">
            <v>43430.701951237126</v>
          </cell>
          <cell r="T125">
            <v>0</v>
          </cell>
          <cell r="U125">
            <v>55400</v>
          </cell>
          <cell r="V125">
            <v>0</v>
          </cell>
          <cell r="Y125">
            <v>27987.5</v>
          </cell>
          <cell r="Z125">
            <v>90262.499999999985</v>
          </cell>
          <cell r="AA125">
            <v>59899.999999999993</v>
          </cell>
          <cell r="AB125">
            <v>51930.701951237119</v>
          </cell>
          <cell r="AC125">
            <v>61500</v>
          </cell>
          <cell r="AD125">
            <v>89475</v>
          </cell>
          <cell r="AE125">
            <v>59449.999999999993</v>
          </cell>
          <cell r="AF125">
            <v>59599.999999999993</v>
          </cell>
          <cell r="AG125">
            <v>30200</v>
          </cell>
          <cell r="AH125">
            <v>47519.999999999993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U125">
            <v>70650</v>
          </cell>
        </row>
        <row r="126">
          <cell r="B126">
            <v>38372</v>
          </cell>
          <cell r="C126">
            <v>1</v>
          </cell>
          <cell r="D126">
            <v>20</v>
          </cell>
          <cell r="E126">
            <v>112</v>
          </cell>
          <cell r="F126">
            <v>2617559.0641499599</v>
          </cell>
          <cell r="G126">
            <v>1215304</v>
          </cell>
          <cell r="H126">
            <v>6420.5720000000001</v>
          </cell>
          <cell r="I126">
            <v>94361.403902474252</v>
          </cell>
          <cell r="J126">
            <v>44775</v>
          </cell>
          <cell r="K126">
            <v>45700.000000000007</v>
          </cell>
          <cell r="L126">
            <v>36680.701951237126</v>
          </cell>
          <cell r="M126">
            <v>37080.701951237126</v>
          </cell>
          <cell r="N126">
            <v>36380.701951237126</v>
          </cell>
          <cell r="O126">
            <v>46980.701951237133</v>
          </cell>
          <cell r="P126">
            <v>53550</v>
          </cell>
          <cell r="Q126">
            <v>82275</v>
          </cell>
          <cell r="R126">
            <v>0</v>
          </cell>
          <cell r="S126">
            <v>43430.701951237126</v>
          </cell>
          <cell r="T126">
            <v>0</v>
          </cell>
          <cell r="U126">
            <v>55400</v>
          </cell>
          <cell r="V126">
            <v>0</v>
          </cell>
          <cell r="Y126">
            <v>27987.5</v>
          </cell>
          <cell r="Z126">
            <v>90262.499999999985</v>
          </cell>
          <cell r="AA126">
            <v>59899.999999999993</v>
          </cell>
          <cell r="AB126">
            <v>51930.701951237119</v>
          </cell>
          <cell r="AC126">
            <v>61500</v>
          </cell>
          <cell r="AD126">
            <v>89475</v>
          </cell>
          <cell r="AE126">
            <v>59449.999999999993</v>
          </cell>
          <cell r="AF126">
            <v>59599.999999999993</v>
          </cell>
          <cell r="AG126">
            <v>30200</v>
          </cell>
          <cell r="AH126">
            <v>47519.999999999993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U126">
            <v>70650</v>
          </cell>
        </row>
        <row r="127">
          <cell r="B127">
            <v>38373</v>
          </cell>
          <cell r="C127">
            <v>1</v>
          </cell>
          <cell r="D127">
            <v>21</v>
          </cell>
          <cell r="E127">
            <v>113</v>
          </cell>
          <cell r="F127">
            <v>3026288.4770179461</v>
          </cell>
          <cell r="G127">
            <v>1320880</v>
          </cell>
          <cell r="H127">
            <v>6420.5720000000001</v>
          </cell>
          <cell r="I127">
            <v>94361.403902474252</v>
          </cell>
          <cell r="J127">
            <v>44775</v>
          </cell>
          <cell r="K127">
            <v>45700.000000000007</v>
          </cell>
          <cell r="L127">
            <v>36680.701951237126</v>
          </cell>
          <cell r="M127">
            <v>37080.701951237126</v>
          </cell>
          <cell r="N127">
            <v>36380.701951237126</v>
          </cell>
          <cell r="O127">
            <v>46980.701951237133</v>
          </cell>
          <cell r="P127">
            <v>53550</v>
          </cell>
          <cell r="Q127">
            <v>82275</v>
          </cell>
          <cell r="R127">
            <v>0</v>
          </cell>
          <cell r="S127">
            <v>43430.701951237126</v>
          </cell>
          <cell r="T127">
            <v>0</v>
          </cell>
          <cell r="U127">
            <v>55400</v>
          </cell>
          <cell r="V127">
            <v>0</v>
          </cell>
          <cell r="Y127">
            <v>27987.5</v>
          </cell>
          <cell r="Z127">
            <v>90262.499999999985</v>
          </cell>
          <cell r="AA127">
            <v>59899.999999999993</v>
          </cell>
          <cell r="AB127">
            <v>51930.701951237119</v>
          </cell>
          <cell r="AC127">
            <v>61500</v>
          </cell>
          <cell r="AD127">
            <v>89475</v>
          </cell>
          <cell r="AE127">
            <v>59449.999999999993</v>
          </cell>
          <cell r="AF127">
            <v>59599.999999999993</v>
          </cell>
          <cell r="AG127">
            <v>30200</v>
          </cell>
          <cell r="AH127">
            <v>47519.999999999993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U127">
            <v>70650</v>
          </cell>
        </row>
        <row r="128">
          <cell r="B128">
            <v>38374</v>
          </cell>
          <cell r="C128">
            <v>1</v>
          </cell>
          <cell r="D128">
            <v>22</v>
          </cell>
          <cell r="E128">
            <v>114</v>
          </cell>
          <cell r="F128">
            <v>2859054.2611266719</v>
          </cell>
          <cell r="G128">
            <v>1269176</v>
          </cell>
          <cell r="H128">
            <v>6420.5720000000001</v>
          </cell>
          <cell r="I128">
            <v>94361.403902474252</v>
          </cell>
          <cell r="J128">
            <v>44775</v>
          </cell>
          <cell r="K128">
            <v>45700.000000000007</v>
          </cell>
          <cell r="L128">
            <v>36680.701951237126</v>
          </cell>
          <cell r="M128">
            <v>37080.701951237126</v>
          </cell>
          <cell r="N128">
            <v>36380.701951237126</v>
          </cell>
          <cell r="O128">
            <v>46980.701951237133</v>
          </cell>
          <cell r="P128">
            <v>53550</v>
          </cell>
          <cell r="Q128">
            <v>82275</v>
          </cell>
          <cell r="R128">
            <v>0</v>
          </cell>
          <cell r="S128">
            <v>43430.701951237126</v>
          </cell>
          <cell r="T128">
            <v>0</v>
          </cell>
          <cell r="U128">
            <v>55400</v>
          </cell>
          <cell r="V128">
            <v>0</v>
          </cell>
          <cell r="Y128">
            <v>27987.5</v>
          </cell>
          <cell r="Z128">
            <v>90262.499999999985</v>
          </cell>
          <cell r="AA128">
            <v>59899.999999999993</v>
          </cell>
          <cell r="AB128">
            <v>51930.701951237119</v>
          </cell>
          <cell r="AC128">
            <v>61500</v>
          </cell>
          <cell r="AD128">
            <v>89475</v>
          </cell>
          <cell r="AE128">
            <v>59449.999999999993</v>
          </cell>
          <cell r="AF128">
            <v>59599.999999999993</v>
          </cell>
          <cell r="AG128">
            <v>30200</v>
          </cell>
          <cell r="AH128">
            <v>47519.999999999993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U128">
            <v>70650</v>
          </cell>
        </row>
        <row r="129">
          <cell r="B129">
            <v>38375</v>
          </cell>
          <cell r="C129">
            <v>1</v>
          </cell>
          <cell r="D129">
            <v>23</v>
          </cell>
          <cell r="E129">
            <v>115</v>
          </cell>
          <cell r="F129">
            <v>2617559.0641499599</v>
          </cell>
          <cell r="G129">
            <v>479531</v>
          </cell>
          <cell r="H129">
            <v>6420.5720000000001</v>
          </cell>
          <cell r="I129">
            <v>94361.403902474252</v>
          </cell>
          <cell r="J129">
            <v>44775</v>
          </cell>
          <cell r="K129">
            <v>45700.000000000007</v>
          </cell>
          <cell r="L129">
            <v>36680.701951237126</v>
          </cell>
          <cell r="M129">
            <v>37080.701951237126</v>
          </cell>
          <cell r="N129">
            <v>36380.701951237126</v>
          </cell>
          <cell r="O129">
            <v>46980.701951237133</v>
          </cell>
          <cell r="P129">
            <v>53550</v>
          </cell>
          <cell r="Q129">
            <v>82275</v>
          </cell>
          <cell r="R129">
            <v>0</v>
          </cell>
          <cell r="S129">
            <v>43430.701951237126</v>
          </cell>
          <cell r="T129">
            <v>0</v>
          </cell>
          <cell r="U129">
            <v>55400</v>
          </cell>
          <cell r="V129">
            <v>0</v>
          </cell>
          <cell r="Y129">
            <v>27987.5</v>
          </cell>
          <cell r="Z129">
            <v>90262.499999999985</v>
          </cell>
          <cell r="AA129">
            <v>59899.999999999993</v>
          </cell>
          <cell r="AB129">
            <v>51930.701951237119</v>
          </cell>
          <cell r="AC129">
            <v>61500</v>
          </cell>
          <cell r="AD129">
            <v>89475</v>
          </cell>
          <cell r="AE129">
            <v>59449.999999999993</v>
          </cell>
          <cell r="AF129">
            <v>59599.999999999993</v>
          </cell>
          <cell r="AG129">
            <v>30200</v>
          </cell>
          <cell r="AH129">
            <v>47519.999999999993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U129">
            <v>70650</v>
          </cell>
        </row>
        <row r="130">
          <cell r="B130">
            <v>38376</v>
          </cell>
          <cell r="C130">
            <v>1</v>
          </cell>
          <cell r="D130">
            <v>24</v>
          </cell>
          <cell r="E130">
            <v>116</v>
          </cell>
          <cell r="F130">
            <v>2617559.0641499599</v>
          </cell>
          <cell r="G130">
            <v>1036788</v>
          </cell>
          <cell r="H130">
            <v>6420.5720000000001</v>
          </cell>
          <cell r="I130">
            <v>94361.403902474252</v>
          </cell>
          <cell r="J130">
            <v>44775</v>
          </cell>
          <cell r="K130">
            <v>45700.000000000007</v>
          </cell>
          <cell r="L130">
            <v>36680.701951237126</v>
          </cell>
          <cell r="M130">
            <v>37080.701951237126</v>
          </cell>
          <cell r="N130">
            <v>36380.701951237126</v>
          </cell>
          <cell r="O130">
            <v>46980.701951237133</v>
          </cell>
          <cell r="P130">
            <v>53550</v>
          </cell>
          <cell r="Q130">
            <v>82275</v>
          </cell>
          <cell r="R130">
            <v>0</v>
          </cell>
          <cell r="S130">
            <v>43430.701951237126</v>
          </cell>
          <cell r="T130">
            <v>0</v>
          </cell>
          <cell r="U130">
            <v>55400</v>
          </cell>
          <cell r="V130">
            <v>0</v>
          </cell>
          <cell r="Y130">
            <v>27987.5</v>
          </cell>
          <cell r="Z130">
            <v>90262.499999999985</v>
          </cell>
          <cell r="AA130">
            <v>59899.999999999993</v>
          </cell>
          <cell r="AB130">
            <v>51930.701951237119</v>
          </cell>
          <cell r="AC130">
            <v>61500</v>
          </cell>
          <cell r="AD130">
            <v>89475</v>
          </cell>
          <cell r="AE130">
            <v>59449.999999999993</v>
          </cell>
          <cell r="AF130">
            <v>59599.999999999993</v>
          </cell>
          <cell r="AG130">
            <v>30200</v>
          </cell>
          <cell r="AH130">
            <v>47519.999999999993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U130">
            <v>70650</v>
          </cell>
        </row>
        <row r="131">
          <cell r="B131">
            <v>38377</v>
          </cell>
          <cell r="C131">
            <v>1</v>
          </cell>
          <cell r="D131">
            <v>25</v>
          </cell>
          <cell r="E131">
            <v>117</v>
          </cell>
          <cell r="F131">
            <v>2891482.9771991237</v>
          </cell>
          <cell r="G131">
            <v>713603</v>
          </cell>
          <cell r="H131">
            <v>6420.5720000000001</v>
          </cell>
          <cell r="I131">
            <v>94361.403902474252</v>
          </cell>
          <cell r="J131">
            <v>44775</v>
          </cell>
          <cell r="K131">
            <v>45700.000000000007</v>
          </cell>
          <cell r="L131">
            <v>36680.701951237126</v>
          </cell>
          <cell r="M131">
            <v>37080.701951237126</v>
          </cell>
          <cell r="N131">
            <v>36380.701951237126</v>
          </cell>
          <cell r="O131">
            <v>46980.701951237133</v>
          </cell>
          <cell r="P131">
            <v>53550</v>
          </cell>
          <cell r="Q131">
            <v>82275</v>
          </cell>
          <cell r="R131">
            <v>0</v>
          </cell>
          <cell r="S131">
            <v>43430.701951237126</v>
          </cell>
          <cell r="T131">
            <v>0</v>
          </cell>
          <cell r="U131">
            <v>55400</v>
          </cell>
          <cell r="V131">
            <v>0</v>
          </cell>
          <cell r="Y131">
            <v>27987.5</v>
          </cell>
          <cell r="Z131">
            <v>90262.499999999985</v>
          </cell>
          <cell r="AA131">
            <v>59899.999999999993</v>
          </cell>
          <cell r="AB131">
            <v>51930.701951237119</v>
          </cell>
          <cell r="AC131">
            <v>61500</v>
          </cell>
          <cell r="AD131">
            <v>89475</v>
          </cell>
          <cell r="AE131">
            <v>59449.999999999993</v>
          </cell>
          <cell r="AF131">
            <v>59599.999999999993</v>
          </cell>
          <cell r="AG131">
            <v>30200</v>
          </cell>
          <cell r="AH131">
            <v>47519.999999999993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U131">
            <v>70650</v>
          </cell>
        </row>
        <row r="132">
          <cell r="B132">
            <v>38378</v>
          </cell>
          <cell r="C132">
            <v>1</v>
          </cell>
          <cell r="D132">
            <v>26</v>
          </cell>
          <cell r="E132">
            <v>118</v>
          </cell>
          <cell r="F132">
            <v>2890960.8351356457</v>
          </cell>
          <cell r="G132">
            <v>643634</v>
          </cell>
          <cell r="H132">
            <v>6420.5720000000001</v>
          </cell>
          <cell r="I132">
            <v>94361.403902474252</v>
          </cell>
          <cell r="J132">
            <v>44775</v>
          </cell>
          <cell r="K132">
            <v>45700.000000000007</v>
          </cell>
          <cell r="L132">
            <v>36680.701951237126</v>
          </cell>
          <cell r="M132">
            <v>37080.701951237126</v>
          </cell>
          <cell r="N132">
            <v>36380.701951237126</v>
          </cell>
          <cell r="O132">
            <v>46980.701951237133</v>
          </cell>
          <cell r="P132">
            <v>53550</v>
          </cell>
          <cell r="Q132">
            <v>82275</v>
          </cell>
          <cell r="R132">
            <v>0</v>
          </cell>
          <cell r="S132">
            <v>43430.701951237126</v>
          </cell>
          <cell r="T132">
            <v>0</v>
          </cell>
          <cell r="U132">
            <v>55400</v>
          </cell>
          <cell r="V132">
            <v>0</v>
          </cell>
          <cell r="Y132">
            <v>27987.5</v>
          </cell>
          <cell r="Z132">
            <v>90262.499999999985</v>
          </cell>
          <cell r="AA132">
            <v>59899.999999999993</v>
          </cell>
          <cell r="AB132">
            <v>51930.701951237119</v>
          </cell>
          <cell r="AC132">
            <v>61500</v>
          </cell>
          <cell r="AD132">
            <v>89475</v>
          </cell>
          <cell r="AE132">
            <v>59449.999999999993</v>
          </cell>
          <cell r="AF132">
            <v>59599.999999999993</v>
          </cell>
          <cell r="AG132">
            <v>30200</v>
          </cell>
          <cell r="AH132">
            <v>47519.999999999993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U132">
            <v>70650</v>
          </cell>
        </row>
        <row r="133">
          <cell r="B133">
            <v>38379</v>
          </cell>
          <cell r="C133">
            <v>1</v>
          </cell>
          <cell r="D133">
            <v>27</v>
          </cell>
          <cell r="E133">
            <v>119</v>
          </cell>
          <cell r="F133">
            <v>2703746.4488497539</v>
          </cell>
          <cell r="G133">
            <v>602316</v>
          </cell>
          <cell r="H133">
            <v>6420.5720000000001</v>
          </cell>
          <cell r="I133">
            <v>94361.403902474252</v>
          </cell>
          <cell r="J133">
            <v>44775</v>
          </cell>
          <cell r="K133">
            <v>45700.000000000007</v>
          </cell>
          <cell r="L133">
            <v>36680.701951237126</v>
          </cell>
          <cell r="M133">
            <v>37080.701951237126</v>
          </cell>
          <cell r="N133">
            <v>36380.701951237126</v>
          </cell>
          <cell r="O133">
            <v>46980.701951237133</v>
          </cell>
          <cell r="P133">
            <v>53550</v>
          </cell>
          <cell r="Q133">
            <v>82275</v>
          </cell>
          <cell r="R133">
            <v>0</v>
          </cell>
          <cell r="S133">
            <v>43430.701951237126</v>
          </cell>
          <cell r="T133">
            <v>0</v>
          </cell>
          <cell r="U133">
            <v>55400</v>
          </cell>
          <cell r="V133">
            <v>0</v>
          </cell>
          <cell r="Y133">
            <v>27987.5</v>
          </cell>
          <cell r="Z133">
            <v>90262.499999999985</v>
          </cell>
          <cell r="AA133">
            <v>59899.999999999993</v>
          </cell>
          <cell r="AB133">
            <v>51930.701951237119</v>
          </cell>
          <cell r="AC133">
            <v>61500</v>
          </cell>
          <cell r="AD133">
            <v>89475</v>
          </cell>
          <cell r="AE133">
            <v>59449.999999999993</v>
          </cell>
          <cell r="AF133">
            <v>59599.999999999993</v>
          </cell>
          <cell r="AG133">
            <v>30200</v>
          </cell>
          <cell r="AH133">
            <v>47519.999999999993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U133">
            <v>70650</v>
          </cell>
        </row>
        <row r="134">
          <cell r="B134">
            <v>38380</v>
          </cell>
          <cell r="C134">
            <v>1</v>
          </cell>
          <cell r="D134">
            <v>28</v>
          </cell>
          <cell r="E134">
            <v>120</v>
          </cell>
          <cell r="F134">
            <v>2617559.0641499599</v>
          </cell>
          <cell r="G134">
            <v>419062</v>
          </cell>
          <cell r="H134">
            <v>6420.5720000000001</v>
          </cell>
          <cell r="I134">
            <v>94361.403902474252</v>
          </cell>
          <cell r="J134">
            <v>44775</v>
          </cell>
          <cell r="K134">
            <v>45700.000000000007</v>
          </cell>
          <cell r="L134">
            <v>36680.701951237126</v>
          </cell>
          <cell r="M134">
            <v>37080.701951237126</v>
          </cell>
          <cell r="N134">
            <v>36380.701951237126</v>
          </cell>
          <cell r="O134">
            <v>46980.701951237133</v>
          </cell>
          <cell r="P134">
            <v>53550</v>
          </cell>
          <cell r="Q134">
            <v>82275</v>
          </cell>
          <cell r="R134">
            <v>0</v>
          </cell>
          <cell r="S134">
            <v>43430.701951237126</v>
          </cell>
          <cell r="T134">
            <v>0</v>
          </cell>
          <cell r="U134">
            <v>55400</v>
          </cell>
          <cell r="V134">
            <v>0</v>
          </cell>
          <cell r="Y134">
            <v>27987.5</v>
          </cell>
          <cell r="Z134">
            <v>90262.499999999985</v>
          </cell>
          <cell r="AA134">
            <v>59899.999999999993</v>
          </cell>
          <cell r="AB134">
            <v>51930.701951237119</v>
          </cell>
          <cell r="AC134">
            <v>61500</v>
          </cell>
          <cell r="AD134">
            <v>89475</v>
          </cell>
          <cell r="AE134">
            <v>59449.999999999993</v>
          </cell>
          <cell r="AF134">
            <v>59599.999999999993</v>
          </cell>
          <cell r="AG134">
            <v>30200</v>
          </cell>
          <cell r="AH134">
            <v>47519.999999999993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U134">
            <v>70650</v>
          </cell>
        </row>
        <row r="135">
          <cell r="B135">
            <v>38381</v>
          </cell>
          <cell r="C135">
            <v>1</v>
          </cell>
          <cell r="D135">
            <v>29</v>
          </cell>
          <cell r="E135">
            <v>121</v>
          </cell>
          <cell r="F135">
            <v>2617559.0641499599</v>
          </cell>
          <cell r="G135">
            <v>129984</v>
          </cell>
          <cell r="H135">
            <v>6420.5720000000001</v>
          </cell>
          <cell r="I135">
            <v>94361.403902474252</v>
          </cell>
          <cell r="J135">
            <v>44775</v>
          </cell>
          <cell r="K135">
            <v>45700.000000000007</v>
          </cell>
          <cell r="L135">
            <v>36680.701951237126</v>
          </cell>
          <cell r="M135">
            <v>37080.701951237126</v>
          </cell>
          <cell r="N135">
            <v>36380.701951237126</v>
          </cell>
          <cell r="O135">
            <v>46980.701951237133</v>
          </cell>
          <cell r="P135">
            <v>53550</v>
          </cell>
          <cell r="Q135">
            <v>82275</v>
          </cell>
          <cell r="R135">
            <v>0</v>
          </cell>
          <cell r="S135">
            <v>43430.701951237126</v>
          </cell>
          <cell r="T135">
            <v>0</v>
          </cell>
          <cell r="U135">
            <v>55400</v>
          </cell>
          <cell r="V135">
            <v>0</v>
          </cell>
          <cell r="Y135">
            <v>27987.5</v>
          </cell>
          <cell r="Z135">
            <v>90262.499999999985</v>
          </cell>
          <cell r="AA135">
            <v>59899.999999999993</v>
          </cell>
          <cell r="AB135">
            <v>51930.701951237119</v>
          </cell>
          <cell r="AC135">
            <v>61500</v>
          </cell>
          <cell r="AD135">
            <v>89475</v>
          </cell>
          <cell r="AE135">
            <v>59449.999999999993</v>
          </cell>
          <cell r="AF135">
            <v>59599.999999999993</v>
          </cell>
          <cell r="AG135">
            <v>30200</v>
          </cell>
          <cell r="AH135">
            <v>47519.999999999993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U135">
            <v>70650</v>
          </cell>
        </row>
        <row r="136">
          <cell r="B136">
            <v>38382</v>
          </cell>
          <cell r="C136">
            <v>1</v>
          </cell>
          <cell r="D136">
            <v>30</v>
          </cell>
          <cell r="E136">
            <v>122</v>
          </cell>
          <cell r="F136">
            <v>2891482.9771991237</v>
          </cell>
          <cell r="G136">
            <v>742230</v>
          </cell>
          <cell r="H136">
            <v>6420.5720000000001</v>
          </cell>
          <cell r="I136">
            <v>94361.403902474252</v>
          </cell>
          <cell r="J136">
            <v>44775</v>
          </cell>
          <cell r="K136">
            <v>45700.000000000007</v>
          </cell>
          <cell r="L136">
            <v>36680.701951237126</v>
          </cell>
          <cell r="M136">
            <v>37080.701951237126</v>
          </cell>
          <cell r="N136">
            <v>36380.701951237126</v>
          </cell>
          <cell r="O136">
            <v>46980.701951237133</v>
          </cell>
          <cell r="P136">
            <v>53550</v>
          </cell>
          <cell r="Q136">
            <v>82275</v>
          </cell>
          <cell r="R136">
            <v>0</v>
          </cell>
          <cell r="S136">
            <v>43430.701951237126</v>
          </cell>
          <cell r="T136">
            <v>0</v>
          </cell>
          <cell r="U136">
            <v>55400</v>
          </cell>
          <cell r="V136">
            <v>0</v>
          </cell>
          <cell r="Y136">
            <v>27987.5</v>
          </cell>
          <cell r="Z136">
            <v>90262.499999999985</v>
          </cell>
          <cell r="AA136">
            <v>59899.999999999993</v>
          </cell>
          <cell r="AB136">
            <v>51930.701951237119</v>
          </cell>
          <cell r="AC136">
            <v>61500</v>
          </cell>
          <cell r="AD136">
            <v>89475</v>
          </cell>
          <cell r="AE136">
            <v>59449.999999999993</v>
          </cell>
          <cell r="AF136">
            <v>59599.999999999993</v>
          </cell>
          <cell r="AG136">
            <v>30200</v>
          </cell>
          <cell r="AH136">
            <v>47519.999999999993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U136">
            <v>70650</v>
          </cell>
        </row>
        <row r="137">
          <cell r="B137">
            <v>38383</v>
          </cell>
          <cell r="C137">
            <v>1</v>
          </cell>
          <cell r="D137">
            <v>31</v>
          </cell>
          <cell r="E137">
            <v>123</v>
          </cell>
          <cell r="F137">
            <v>2891482.9771991237</v>
          </cell>
          <cell r="G137">
            <v>856645</v>
          </cell>
          <cell r="H137">
            <v>6420.5720000000001</v>
          </cell>
          <cell r="I137">
            <v>94361.403902474252</v>
          </cell>
          <cell r="J137">
            <v>44775</v>
          </cell>
          <cell r="K137">
            <v>45700.000000000007</v>
          </cell>
          <cell r="L137">
            <v>36680.701951237126</v>
          </cell>
          <cell r="M137">
            <v>37080.701951237126</v>
          </cell>
          <cell r="N137">
            <v>36380.701951237126</v>
          </cell>
          <cell r="O137">
            <v>46980.701951237133</v>
          </cell>
          <cell r="P137">
            <v>53550</v>
          </cell>
          <cell r="Q137">
            <v>82275</v>
          </cell>
          <cell r="R137">
            <v>0</v>
          </cell>
          <cell r="S137">
            <v>43430.701951237126</v>
          </cell>
          <cell r="T137">
            <v>0</v>
          </cell>
          <cell r="U137">
            <v>55400</v>
          </cell>
          <cell r="V137">
            <v>0</v>
          </cell>
          <cell r="Y137">
            <v>27987.5</v>
          </cell>
          <cell r="Z137">
            <v>90262.499999999985</v>
          </cell>
          <cell r="AA137">
            <v>59899.999999999993</v>
          </cell>
          <cell r="AB137">
            <v>51930.701951237119</v>
          </cell>
          <cell r="AC137">
            <v>61500</v>
          </cell>
          <cell r="AD137">
            <v>89475</v>
          </cell>
          <cell r="AE137">
            <v>59449.999999999993</v>
          </cell>
          <cell r="AF137">
            <v>59599.999999999993</v>
          </cell>
          <cell r="AG137">
            <v>30200</v>
          </cell>
          <cell r="AH137">
            <v>47519.999999999993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U137">
            <v>70650</v>
          </cell>
        </row>
        <row r="138">
          <cell r="B138">
            <v>38384</v>
          </cell>
          <cell r="C138">
            <v>2</v>
          </cell>
          <cell r="D138">
            <v>1</v>
          </cell>
          <cell r="E138">
            <v>124</v>
          </cell>
          <cell r="F138">
            <v>2597326.3087800839</v>
          </cell>
          <cell r="G138">
            <v>870353</v>
          </cell>
          <cell r="H138">
            <v>6420.5720000000001</v>
          </cell>
          <cell r="I138">
            <v>94361.403902474252</v>
          </cell>
          <cell r="J138">
            <v>44775</v>
          </cell>
          <cell r="K138">
            <v>45700.000000000007</v>
          </cell>
          <cell r="L138">
            <v>36680.701951237126</v>
          </cell>
          <cell r="M138">
            <v>37080.701951237126</v>
          </cell>
          <cell r="N138">
            <v>36380.701951237126</v>
          </cell>
          <cell r="O138">
            <v>46980.701951237133</v>
          </cell>
          <cell r="P138">
            <v>53550</v>
          </cell>
          <cell r="Q138">
            <v>82275</v>
          </cell>
          <cell r="R138">
            <v>0</v>
          </cell>
          <cell r="S138">
            <v>43430.701951237126</v>
          </cell>
          <cell r="T138">
            <v>0</v>
          </cell>
          <cell r="U138">
            <v>55400</v>
          </cell>
          <cell r="V138">
            <v>0</v>
          </cell>
          <cell r="Y138">
            <v>27987.5</v>
          </cell>
          <cell r="Z138">
            <v>90262.499999999985</v>
          </cell>
          <cell r="AA138">
            <v>59899.999999999993</v>
          </cell>
          <cell r="AB138">
            <v>51930.701951237119</v>
          </cell>
          <cell r="AC138">
            <v>61500</v>
          </cell>
          <cell r="AD138">
            <v>89475</v>
          </cell>
          <cell r="AE138">
            <v>59449.999999999993</v>
          </cell>
          <cell r="AF138">
            <v>59599.999999999993</v>
          </cell>
          <cell r="AG138">
            <v>30200</v>
          </cell>
          <cell r="AH138">
            <v>47519.999999999993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U138">
            <v>70650</v>
          </cell>
        </row>
        <row r="139">
          <cell r="B139">
            <v>38385</v>
          </cell>
          <cell r="C139">
            <v>2</v>
          </cell>
          <cell r="D139">
            <v>2</v>
          </cell>
          <cell r="E139">
            <v>125</v>
          </cell>
          <cell r="F139">
            <v>2588627.6017072657</v>
          </cell>
          <cell r="G139">
            <v>824011</v>
          </cell>
          <cell r="H139">
            <v>6420.5720000000001</v>
          </cell>
          <cell r="I139">
            <v>94361.403902474252</v>
          </cell>
          <cell r="J139">
            <v>44775</v>
          </cell>
          <cell r="K139">
            <v>45700.000000000007</v>
          </cell>
          <cell r="L139">
            <v>36680.701951237126</v>
          </cell>
          <cell r="M139">
            <v>37080.701951237126</v>
          </cell>
          <cell r="N139">
            <v>36380.701951237126</v>
          </cell>
          <cell r="O139">
            <v>46980.701951237133</v>
          </cell>
          <cell r="P139">
            <v>53550</v>
          </cell>
          <cell r="Q139">
            <v>82275</v>
          </cell>
          <cell r="R139">
            <v>0</v>
          </cell>
          <cell r="S139">
            <v>43430.701951237126</v>
          </cell>
          <cell r="T139">
            <v>0</v>
          </cell>
          <cell r="U139">
            <v>55400</v>
          </cell>
          <cell r="V139">
            <v>0</v>
          </cell>
          <cell r="Y139">
            <v>27987.5</v>
          </cell>
          <cell r="Z139">
            <v>90262.499999999985</v>
          </cell>
          <cell r="AA139">
            <v>59899.999999999993</v>
          </cell>
          <cell r="AB139">
            <v>51930.701951237119</v>
          </cell>
          <cell r="AC139">
            <v>61500</v>
          </cell>
          <cell r="AD139">
            <v>89475</v>
          </cell>
          <cell r="AE139">
            <v>59449.999999999993</v>
          </cell>
          <cell r="AF139">
            <v>59599.999999999993</v>
          </cell>
          <cell r="AG139">
            <v>30200</v>
          </cell>
          <cell r="AH139">
            <v>47519.999999999993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U139">
            <v>70650</v>
          </cell>
        </row>
        <row r="140">
          <cell r="B140">
            <v>38386</v>
          </cell>
          <cell r="C140">
            <v>2</v>
          </cell>
          <cell r="D140">
            <v>3</v>
          </cell>
          <cell r="E140">
            <v>126</v>
          </cell>
          <cell r="F140">
            <v>2581679.0189887057</v>
          </cell>
          <cell r="G140">
            <v>780280</v>
          </cell>
          <cell r="H140">
            <v>6420.5720000000001</v>
          </cell>
          <cell r="I140">
            <v>94361.403902474252</v>
          </cell>
          <cell r="J140">
            <v>44775</v>
          </cell>
          <cell r="K140">
            <v>45700.000000000007</v>
          </cell>
          <cell r="L140">
            <v>36680.701951237126</v>
          </cell>
          <cell r="M140">
            <v>37080.701951237126</v>
          </cell>
          <cell r="N140">
            <v>36380.701951237126</v>
          </cell>
          <cell r="O140">
            <v>46980.701951237133</v>
          </cell>
          <cell r="P140">
            <v>53550</v>
          </cell>
          <cell r="Q140">
            <v>82275</v>
          </cell>
          <cell r="R140">
            <v>0</v>
          </cell>
          <cell r="S140">
            <v>43430.701951237126</v>
          </cell>
          <cell r="T140">
            <v>0</v>
          </cell>
          <cell r="U140">
            <v>55400</v>
          </cell>
          <cell r="V140">
            <v>0</v>
          </cell>
          <cell r="Y140">
            <v>27987.5</v>
          </cell>
          <cell r="Z140">
            <v>90262.499999999985</v>
          </cell>
          <cell r="AA140">
            <v>59899.999999999993</v>
          </cell>
          <cell r="AB140">
            <v>51930.701951237119</v>
          </cell>
          <cell r="AC140">
            <v>61500</v>
          </cell>
          <cell r="AD140">
            <v>89475</v>
          </cell>
          <cell r="AE140">
            <v>59449.999999999993</v>
          </cell>
          <cell r="AF140">
            <v>59599.999999999993</v>
          </cell>
          <cell r="AG140">
            <v>30200</v>
          </cell>
          <cell r="AH140">
            <v>47519.999999999993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U140">
            <v>70650</v>
          </cell>
        </row>
        <row r="141">
          <cell r="B141">
            <v>38387</v>
          </cell>
          <cell r="C141">
            <v>2</v>
          </cell>
          <cell r="D141">
            <v>4</v>
          </cell>
          <cell r="E141">
            <v>127</v>
          </cell>
          <cell r="F141">
            <v>3049593.1848339438</v>
          </cell>
          <cell r="G141">
            <v>456612</v>
          </cell>
          <cell r="H141">
            <v>6420.5720000000001</v>
          </cell>
          <cell r="I141">
            <v>94361.403902474252</v>
          </cell>
          <cell r="J141">
            <v>44775</v>
          </cell>
          <cell r="K141">
            <v>45700.000000000007</v>
          </cell>
          <cell r="L141">
            <v>36680.701951237126</v>
          </cell>
          <cell r="M141">
            <v>37080.701951237126</v>
          </cell>
          <cell r="N141">
            <v>36380.701951237126</v>
          </cell>
          <cell r="O141">
            <v>46980.701951237133</v>
          </cell>
          <cell r="P141">
            <v>53550</v>
          </cell>
          <cell r="Q141">
            <v>82275</v>
          </cell>
          <cell r="R141">
            <v>0</v>
          </cell>
          <cell r="S141">
            <v>43430.701951237126</v>
          </cell>
          <cell r="T141">
            <v>0</v>
          </cell>
          <cell r="U141">
            <v>55400</v>
          </cell>
          <cell r="V141">
            <v>0</v>
          </cell>
          <cell r="Y141">
            <v>27987.5</v>
          </cell>
          <cell r="Z141">
            <v>90262.499999999985</v>
          </cell>
          <cell r="AA141">
            <v>59899.999999999993</v>
          </cell>
          <cell r="AB141">
            <v>51930.701951237119</v>
          </cell>
          <cell r="AC141">
            <v>61500</v>
          </cell>
          <cell r="AD141">
            <v>89475</v>
          </cell>
          <cell r="AE141">
            <v>59449.999999999993</v>
          </cell>
          <cell r="AF141">
            <v>59599.999999999993</v>
          </cell>
          <cell r="AG141">
            <v>30200</v>
          </cell>
          <cell r="AH141">
            <v>47519.999999999993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U141">
            <v>70650</v>
          </cell>
        </row>
        <row r="142">
          <cell r="B142">
            <v>38388</v>
          </cell>
          <cell r="C142">
            <v>2</v>
          </cell>
          <cell r="D142">
            <v>5</v>
          </cell>
          <cell r="E142">
            <v>128</v>
          </cell>
          <cell r="F142">
            <v>3222537.019197552</v>
          </cell>
          <cell r="G142">
            <v>420523</v>
          </cell>
          <cell r="H142">
            <v>6420.5720000000001</v>
          </cell>
          <cell r="I142">
            <v>94361.403902474252</v>
          </cell>
          <cell r="J142">
            <v>44775</v>
          </cell>
          <cell r="K142">
            <v>45700.000000000007</v>
          </cell>
          <cell r="L142">
            <v>36680.701951237126</v>
          </cell>
          <cell r="M142">
            <v>37080.701951237126</v>
          </cell>
          <cell r="N142">
            <v>36380.701951237126</v>
          </cell>
          <cell r="O142">
            <v>46980.701951237133</v>
          </cell>
          <cell r="P142">
            <v>53550</v>
          </cell>
          <cell r="Q142">
            <v>82275</v>
          </cell>
          <cell r="R142">
            <v>0</v>
          </cell>
          <cell r="S142">
            <v>43430.701951237126</v>
          </cell>
          <cell r="T142">
            <v>0</v>
          </cell>
          <cell r="U142">
            <v>55400</v>
          </cell>
          <cell r="V142">
            <v>0</v>
          </cell>
          <cell r="Y142">
            <v>27987.5</v>
          </cell>
          <cell r="Z142">
            <v>90262.499999999985</v>
          </cell>
          <cell r="AA142">
            <v>59899.999999999993</v>
          </cell>
          <cell r="AB142">
            <v>51930.701951237119</v>
          </cell>
          <cell r="AC142">
            <v>61500</v>
          </cell>
          <cell r="AD142">
            <v>89475</v>
          </cell>
          <cell r="AE142">
            <v>59449.999999999993</v>
          </cell>
          <cell r="AF142">
            <v>59599.999999999993</v>
          </cell>
          <cell r="AG142">
            <v>30200</v>
          </cell>
          <cell r="AH142">
            <v>47519.999999999993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U142">
            <v>70650</v>
          </cell>
        </row>
        <row r="143">
          <cell r="B143">
            <v>38389</v>
          </cell>
          <cell r="C143">
            <v>2</v>
          </cell>
          <cell r="D143">
            <v>6</v>
          </cell>
          <cell r="E143">
            <v>129</v>
          </cell>
          <cell r="F143">
            <v>2884008.2589787417</v>
          </cell>
          <cell r="G143">
            <v>398725</v>
          </cell>
          <cell r="H143">
            <v>6420.5720000000001</v>
          </cell>
          <cell r="I143">
            <v>94361.403902474252</v>
          </cell>
          <cell r="J143">
            <v>44775</v>
          </cell>
          <cell r="K143">
            <v>45700.000000000007</v>
          </cell>
          <cell r="L143">
            <v>36680.701951237126</v>
          </cell>
          <cell r="M143">
            <v>37080.701951237126</v>
          </cell>
          <cell r="N143">
            <v>36380.701951237126</v>
          </cell>
          <cell r="O143">
            <v>46980.701951237133</v>
          </cell>
          <cell r="P143">
            <v>53550</v>
          </cell>
          <cell r="Q143">
            <v>82275</v>
          </cell>
          <cell r="R143">
            <v>0</v>
          </cell>
          <cell r="S143">
            <v>43430.701951237126</v>
          </cell>
          <cell r="T143">
            <v>0</v>
          </cell>
          <cell r="U143">
            <v>55400</v>
          </cell>
          <cell r="V143">
            <v>0</v>
          </cell>
          <cell r="Y143">
            <v>27987.5</v>
          </cell>
          <cell r="Z143">
            <v>90262.499999999985</v>
          </cell>
          <cell r="AA143">
            <v>59899.999999999993</v>
          </cell>
          <cell r="AB143">
            <v>51930.701951237119</v>
          </cell>
          <cell r="AC143">
            <v>61500</v>
          </cell>
          <cell r="AD143">
            <v>89475</v>
          </cell>
          <cell r="AE143">
            <v>59449.999999999993</v>
          </cell>
          <cell r="AF143">
            <v>59599.999999999993</v>
          </cell>
          <cell r="AG143">
            <v>30200</v>
          </cell>
          <cell r="AH143">
            <v>47519.999999999993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U143">
            <v>70650</v>
          </cell>
        </row>
        <row r="144">
          <cell r="B144">
            <v>38390</v>
          </cell>
          <cell r="C144">
            <v>2</v>
          </cell>
          <cell r="D144">
            <v>7</v>
          </cell>
          <cell r="E144">
            <v>130</v>
          </cell>
          <cell r="F144">
            <v>2872979.3806321998</v>
          </cell>
          <cell r="G144">
            <v>385986</v>
          </cell>
          <cell r="H144">
            <v>6420.5720000000001</v>
          </cell>
          <cell r="I144">
            <v>94361.403902474252</v>
          </cell>
          <cell r="J144">
            <v>44775</v>
          </cell>
          <cell r="K144">
            <v>45700.000000000007</v>
          </cell>
          <cell r="L144">
            <v>36680.701951237126</v>
          </cell>
          <cell r="M144">
            <v>37080.701951237126</v>
          </cell>
          <cell r="N144">
            <v>36380.701951237126</v>
          </cell>
          <cell r="O144">
            <v>46980.701951237133</v>
          </cell>
          <cell r="P144">
            <v>53550</v>
          </cell>
          <cell r="Q144">
            <v>82275</v>
          </cell>
          <cell r="R144">
            <v>0</v>
          </cell>
          <cell r="S144">
            <v>43430.701951237126</v>
          </cell>
          <cell r="T144">
            <v>0</v>
          </cell>
          <cell r="U144">
            <v>55400</v>
          </cell>
          <cell r="V144">
            <v>0</v>
          </cell>
          <cell r="Y144">
            <v>27987.5</v>
          </cell>
          <cell r="Z144">
            <v>90262.499999999985</v>
          </cell>
          <cell r="AA144">
            <v>59899.999999999993</v>
          </cell>
          <cell r="AB144">
            <v>51930.701951237119</v>
          </cell>
          <cell r="AC144">
            <v>61500</v>
          </cell>
          <cell r="AD144">
            <v>89475</v>
          </cell>
          <cell r="AE144">
            <v>59449.999999999993</v>
          </cell>
          <cell r="AF144">
            <v>59599.999999999993</v>
          </cell>
          <cell r="AG144">
            <v>30200</v>
          </cell>
          <cell r="AH144">
            <v>47519.999999999993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U144">
            <v>70650</v>
          </cell>
        </row>
        <row r="145">
          <cell r="B145">
            <v>38391</v>
          </cell>
          <cell r="C145">
            <v>2</v>
          </cell>
          <cell r="D145">
            <v>8</v>
          </cell>
          <cell r="E145">
            <v>131</v>
          </cell>
          <cell r="F145">
            <v>3189509.2873734999</v>
          </cell>
          <cell r="G145">
            <v>373742</v>
          </cell>
          <cell r="H145">
            <v>6420.5720000000001</v>
          </cell>
          <cell r="I145">
            <v>94361.403902474252</v>
          </cell>
          <cell r="J145">
            <v>44775</v>
          </cell>
          <cell r="K145">
            <v>45700.000000000007</v>
          </cell>
          <cell r="L145">
            <v>36680.701951237126</v>
          </cell>
          <cell r="M145">
            <v>37080.701951237126</v>
          </cell>
          <cell r="N145">
            <v>36380.701951237126</v>
          </cell>
          <cell r="O145">
            <v>46980.701951237133</v>
          </cell>
          <cell r="P145">
            <v>53550</v>
          </cell>
          <cell r="Q145">
            <v>82275</v>
          </cell>
          <cell r="R145">
            <v>0</v>
          </cell>
          <cell r="S145">
            <v>43430.701951237126</v>
          </cell>
          <cell r="T145">
            <v>0</v>
          </cell>
          <cell r="U145">
            <v>55400</v>
          </cell>
          <cell r="V145">
            <v>0</v>
          </cell>
          <cell r="Y145">
            <v>27987.5</v>
          </cell>
          <cell r="Z145">
            <v>90262.499999999985</v>
          </cell>
          <cell r="AA145">
            <v>59899.999999999993</v>
          </cell>
          <cell r="AB145">
            <v>51930.701951237119</v>
          </cell>
          <cell r="AC145">
            <v>61500</v>
          </cell>
          <cell r="AD145">
            <v>89475</v>
          </cell>
          <cell r="AE145">
            <v>59449.999999999993</v>
          </cell>
          <cell r="AF145">
            <v>59599.999999999993</v>
          </cell>
          <cell r="AG145">
            <v>30200</v>
          </cell>
          <cell r="AH145">
            <v>47519.999999999993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U145">
            <v>70650</v>
          </cell>
        </row>
        <row r="146">
          <cell r="B146">
            <v>38392</v>
          </cell>
          <cell r="C146">
            <v>2</v>
          </cell>
          <cell r="D146">
            <v>9</v>
          </cell>
          <cell r="E146">
            <v>132</v>
          </cell>
          <cell r="F146">
            <v>3556170.8223662036</v>
          </cell>
          <cell r="G146">
            <v>404831</v>
          </cell>
          <cell r="H146">
            <v>6420.5720000000001</v>
          </cell>
          <cell r="I146">
            <v>94361.403902474252</v>
          </cell>
          <cell r="J146">
            <v>44775</v>
          </cell>
          <cell r="K146">
            <v>45700.000000000007</v>
          </cell>
          <cell r="L146">
            <v>36680.701951237126</v>
          </cell>
          <cell r="M146">
            <v>37080.701951237126</v>
          </cell>
          <cell r="N146">
            <v>36380.701951237126</v>
          </cell>
          <cell r="O146">
            <v>46980.701951237133</v>
          </cell>
          <cell r="P146">
            <v>53550</v>
          </cell>
          <cell r="Q146">
            <v>82275</v>
          </cell>
          <cell r="R146">
            <v>0</v>
          </cell>
          <cell r="S146">
            <v>43430.701951237126</v>
          </cell>
          <cell r="T146">
            <v>0</v>
          </cell>
          <cell r="U146">
            <v>55400</v>
          </cell>
          <cell r="V146">
            <v>0</v>
          </cell>
          <cell r="Y146">
            <v>27987.5</v>
          </cell>
          <cell r="Z146">
            <v>90262.499999999985</v>
          </cell>
          <cell r="AA146">
            <v>59899.999999999993</v>
          </cell>
          <cell r="AB146">
            <v>51930.701951237119</v>
          </cell>
          <cell r="AC146">
            <v>61500</v>
          </cell>
          <cell r="AD146">
            <v>89475</v>
          </cell>
          <cell r="AE146">
            <v>59449.999999999993</v>
          </cell>
          <cell r="AF146">
            <v>59599.999999999993</v>
          </cell>
          <cell r="AG146">
            <v>30200</v>
          </cell>
          <cell r="AH146">
            <v>47519.999999999993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U146">
            <v>70650</v>
          </cell>
        </row>
        <row r="147">
          <cell r="B147">
            <v>38393</v>
          </cell>
          <cell r="C147">
            <v>2</v>
          </cell>
          <cell r="D147">
            <v>10</v>
          </cell>
          <cell r="E147">
            <v>133</v>
          </cell>
          <cell r="F147">
            <v>3072092.2164640399</v>
          </cell>
          <cell r="G147">
            <v>463523</v>
          </cell>
          <cell r="H147">
            <v>6420.5720000000001</v>
          </cell>
          <cell r="I147">
            <v>94361.403902474252</v>
          </cell>
          <cell r="J147">
            <v>44775</v>
          </cell>
          <cell r="K147">
            <v>45700.000000000007</v>
          </cell>
          <cell r="L147">
            <v>36680.701951237126</v>
          </cell>
          <cell r="M147">
            <v>37080.701951237126</v>
          </cell>
          <cell r="N147">
            <v>36380.701951237126</v>
          </cell>
          <cell r="O147">
            <v>46980.701951237133</v>
          </cell>
          <cell r="P147">
            <v>53550</v>
          </cell>
          <cell r="Q147">
            <v>82275</v>
          </cell>
          <cell r="R147">
            <v>0</v>
          </cell>
          <cell r="S147">
            <v>43430.701951237126</v>
          </cell>
          <cell r="T147">
            <v>0</v>
          </cell>
          <cell r="U147">
            <v>55400</v>
          </cell>
          <cell r="V147">
            <v>0</v>
          </cell>
          <cell r="Y147">
            <v>27987.5</v>
          </cell>
          <cell r="Z147">
            <v>90262.499999999985</v>
          </cell>
          <cell r="AA147">
            <v>59899.999999999993</v>
          </cell>
          <cell r="AB147">
            <v>51930.701951237119</v>
          </cell>
          <cell r="AC147">
            <v>61500</v>
          </cell>
          <cell r="AD147">
            <v>89475</v>
          </cell>
          <cell r="AE147">
            <v>59449.999999999993</v>
          </cell>
          <cell r="AF147">
            <v>59599.999999999993</v>
          </cell>
          <cell r="AG147">
            <v>30200</v>
          </cell>
          <cell r="AH147">
            <v>47519.999999999993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U147">
            <v>70650</v>
          </cell>
        </row>
        <row r="148">
          <cell r="B148">
            <v>38394</v>
          </cell>
          <cell r="C148">
            <v>2</v>
          </cell>
          <cell r="D148">
            <v>11</v>
          </cell>
          <cell r="E148">
            <v>134</v>
          </cell>
          <cell r="F148">
            <v>3044728.1785713658</v>
          </cell>
          <cell r="G148">
            <v>452655</v>
          </cell>
          <cell r="H148">
            <v>6420.5720000000001</v>
          </cell>
          <cell r="I148">
            <v>94361.403902474252</v>
          </cell>
          <cell r="J148">
            <v>44775</v>
          </cell>
          <cell r="K148">
            <v>45700.000000000007</v>
          </cell>
          <cell r="L148">
            <v>36680.701951237126</v>
          </cell>
          <cell r="M148">
            <v>37080.701951237126</v>
          </cell>
          <cell r="N148">
            <v>36380.701951237126</v>
          </cell>
          <cell r="O148">
            <v>46980.701951237133</v>
          </cell>
          <cell r="P148">
            <v>53550</v>
          </cell>
          <cell r="Q148">
            <v>82275</v>
          </cell>
          <cell r="R148">
            <v>0</v>
          </cell>
          <cell r="S148">
            <v>43430.701951237126</v>
          </cell>
          <cell r="T148">
            <v>0</v>
          </cell>
          <cell r="U148">
            <v>55400</v>
          </cell>
          <cell r="V148">
            <v>0</v>
          </cell>
          <cell r="Y148">
            <v>27987.5</v>
          </cell>
          <cell r="Z148">
            <v>90262.499999999985</v>
          </cell>
          <cell r="AA148">
            <v>59899.999999999993</v>
          </cell>
          <cell r="AB148">
            <v>51930.701951237119</v>
          </cell>
          <cell r="AC148">
            <v>61500</v>
          </cell>
          <cell r="AD148">
            <v>89475</v>
          </cell>
          <cell r="AE148">
            <v>59449.999999999993</v>
          </cell>
          <cell r="AF148">
            <v>59599.999999999993</v>
          </cell>
          <cell r="AG148">
            <v>30200</v>
          </cell>
          <cell r="AH148">
            <v>47519.999999999993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U148">
            <v>70650</v>
          </cell>
        </row>
        <row r="149">
          <cell r="B149">
            <v>38395</v>
          </cell>
          <cell r="C149">
            <v>2</v>
          </cell>
          <cell r="D149">
            <v>12</v>
          </cell>
          <cell r="E149">
            <v>135</v>
          </cell>
          <cell r="F149">
            <v>3168496.8131669578</v>
          </cell>
          <cell r="G149">
            <v>476342</v>
          </cell>
          <cell r="H149">
            <v>6420.5720000000001</v>
          </cell>
          <cell r="I149">
            <v>94361.403902474252</v>
          </cell>
          <cell r="J149">
            <v>44775</v>
          </cell>
          <cell r="K149">
            <v>45700.000000000007</v>
          </cell>
          <cell r="L149">
            <v>36680.701951237126</v>
          </cell>
          <cell r="M149">
            <v>37080.701951237126</v>
          </cell>
          <cell r="N149">
            <v>36380.701951237126</v>
          </cell>
          <cell r="O149">
            <v>46980.701951237133</v>
          </cell>
          <cell r="P149">
            <v>53550</v>
          </cell>
          <cell r="Q149">
            <v>82275</v>
          </cell>
          <cell r="R149">
            <v>0</v>
          </cell>
          <cell r="S149">
            <v>43430.701951237126</v>
          </cell>
          <cell r="T149">
            <v>0</v>
          </cell>
          <cell r="U149">
            <v>55400</v>
          </cell>
          <cell r="V149">
            <v>0</v>
          </cell>
          <cell r="Y149">
            <v>27987.5</v>
          </cell>
          <cell r="Z149">
            <v>90262.499999999985</v>
          </cell>
          <cell r="AA149">
            <v>59899.999999999993</v>
          </cell>
          <cell r="AB149">
            <v>51930.701951237119</v>
          </cell>
          <cell r="AC149">
            <v>61500</v>
          </cell>
          <cell r="AD149">
            <v>89475</v>
          </cell>
          <cell r="AE149">
            <v>59449.999999999993</v>
          </cell>
          <cell r="AF149">
            <v>59599.999999999993</v>
          </cell>
          <cell r="AG149">
            <v>30200</v>
          </cell>
          <cell r="AH149">
            <v>47519.999999999993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U149">
            <v>70650</v>
          </cell>
        </row>
        <row r="150">
          <cell r="B150">
            <v>38396</v>
          </cell>
          <cell r="C150">
            <v>2</v>
          </cell>
          <cell r="D150">
            <v>13</v>
          </cell>
          <cell r="E150">
            <v>136</v>
          </cell>
          <cell r="F150">
            <v>3509193.0120469737</v>
          </cell>
          <cell r="G150">
            <v>505223</v>
          </cell>
          <cell r="H150">
            <v>6420.5720000000001</v>
          </cell>
          <cell r="I150">
            <v>94361.403902474252</v>
          </cell>
          <cell r="J150">
            <v>44775</v>
          </cell>
          <cell r="K150">
            <v>45700.000000000007</v>
          </cell>
          <cell r="L150">
            <v>36680.701951237126</v>
          </cell>
          <cell r="M150">
            <v>37080.701951237126</v>
          </cell>
          <cell r="N150">
            <v>36380.701951237126</v>
          </cell>
          <cell r="O150">
            <v>46980.701951237133</v>
          </cell>
          <cell r="P150">
            <v>53550</v>
          </cell>
          <cell r="Q150">
            <v>82275</v>
          </cell>
          <cell r="R150">
            <v>0</v>
          </cell>
          <cell r="S150">
            <v>43430.701951237126</v>
          </cell>
          <cell r="T150">
            <v>0</v>
          </cell>
          <cell r="U150">
            <v>55400</v>
          </cell>
          <cell r="V150">
            <v>0</v>
          </cell>
          <cell r="Y150">
            <v>27987.5</v>
          </cell>
          <cell r="Z150">
            <v>90262.499999999985</v>
          </cell>
          <cell r="AA150">
            <v>59899.999999999993</v>
          </cell>
          <cell r="AB150">
            <v>51930.701951237119</v>
          </cell>
          <cell r="AC150">
            <v>61500</v>
          </cell>
          <cell r="AD150">
            <v>89475</v>
          </cell>
          <cell r="AE150">
            <v>59449.999999999993</v>
          </cell>
          <cell r="AF150">
            <v>59599.999999999993</v>
          </cell>
          <cell r="AG150">
            <v>30200</v>
          </cell>
          <cell r="AH150">
            <v>47519.999999999993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U150">
            <v>70650</v>
          </cell>
        </row>
        <row r="151">
          <cell r="B151">
            <v>38397</v>
          </cell>
          <cell r="C151">
            <v>2</v>
          </cell>
          <cell r="D151">
            <v>14</v>
          </cell>
          <cell r="E151">
            <v>137</v>
          </cell>
          <cell r="F151">
            <v>2468155.550464646</v>
          </cell>
          <cell r="G151">
            <v>495575</v>
          </cell>
          <cell r="H151">
            <v>6420.5720000000001</v>
          </cell>
          <cell r="I151">
            <v>94361.403902474252</v>
          </cell>
          <cell r="J151">
            <v>44775</v>
          </cell>
          <cell r="K151">
            <v>45700.000000000007</v>
          </cell>
          <cell r="L151">
            <v>36680.701951237126</v>
          </cell>
          <cell r="M151">
            <v>37080.701951237126</v>
          </cell>
          <cell r="N151">
            <v>36380.701951237126</v>
          </cell>
          <cell r="O151">
            <v>46980.701951237133</v>
          </cell>
          <cell r="P151">
            <v>53550</v>
          </cell>
          <cell r="Q151">
            <v>82275</v>
          </cell>
          <cell r="R151">
            <v>0</v>
          </cell>
          <cell r="S151">
            <v>43430.701951237126</v>
          </cell>
          <cell r="T151">
            <v>0</v>
          </cell>
          <cell r="U151">
            <v>55400</v>
          </cell>
          <cell r="V151">
            <v>0</v>
          </cell>
          <cell r="Y151">
            <v>27987.5</v>
          </cell>
          <cell r="Z151">
            <v>90262.499999999985</v>
          </cell>
          <cell r="AA151">
            <v>59899.999999999993</v>
          </cell>
          <cell r="AB151">
            <v>51930.701951237119</v>
          </cell>
          <cell r="AC151">
            <v>61500</v>
          </cell>
          <cell r="AD151">
            <v>89475</v>
          </cell>
          <cell r="AE151">
            <v>59449.999999999993</v>
          </cell>
          <cell r="AF151">
            <v>59599.999999999993</v>
          </cell>
          <cell r="AG151">
            <v>30200</v>
          </cell>
          <cell r="AH151">
            <v>47519.999999999993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U151">
            <v>70650</v>
          </cell>
        </row>
        <row r="152">
          <cell r="B152">
            <v>38398</v>
          </cell>
          <cell r="C152">
            <v>2</v>
          </cell>
          <cell r="D152">
            <v>15</v>
          </cell>
          <cell r="E152">
            <v>138</v>
          </cell>
          <cell r="F152">
            <v>2399261.7505135438</v>
          </cell>
          <cell r="G152">
            <v>119857</v>
          </cell>
          <cell r="H152">
            <v>6420.5720000000001</v>
          </cell>
          <cell r="I152">
            <v>94361.403902474252</v>
          </cell>
          <cell r="J152">
            <v>44775</v>
          </cell>
          <cell r="K152">
            <v>45700.000000000007</v>
          </cell>
          <cell r="L152">
            <v>36680.701951237126</v>
          </cell>
          <cell r="M152">
            <v>37080.701951237126</v>
          </cell>
          <cell r="N152">
            <v>36380.701951237126</v>
          </cell>
          <cell r="O152">
            <v>46980.701951237133</v>
          </cell>
          <cell r="P152">
            <v>53550</v>
          </cell>
          <cell r="Q152">
            <v>82275</v>
          </cell>
          <cell r="R152">
            <v>0</v>
          </cell>
          <cell r="S152">
            <v>43430.701951237126</v>
          </cell>
          <cell r="T152">
            <v>0</v>
          </cell>
          <cell r="U152">
            <v>55400</v>
          </cell>
          <cell r="V152">
            <v>0</v>
          </cell>
          <cell r="Y152">
            <v>27987.5</v>
          </cell>
          <cell r="Z152">
            <v>90262.499999999985</v>
          </cell>
          <cell r="AA152">
            <v>59899.999999999993</v>
          </cell>
          <cell r="AB152">
            <v>51930.701951237119</v>
          </cell>
          <cell r="AC152">
            <v>61500</v>
          </cell>
          <cell r="AD152">
            <v>89475</v>
          </cell>
          <cell r="AE152">
            <v>59449.999999999993</v>
          </cell>
          <cell r="AF152">
            <v>59599.999999999993</v>
          </cell>
          <cell r="AG152">
            <v>30200</v>
          </cell>
          <cell r="AH152">
            <v>47519.999999999993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U152">
            <v>70650</v>
          </cell>
        </row>
        <row r="153">
          <cell r="B153">
            <v>38399</v>
          </cell>
          <cell r="C153">
            <v>2</v>
          </cell>
          <cell r="D153">
            <v>16</v>
          </cell>
          <cell r="E153">
            <v>139</v>
          </cell>
          <cell r="F153">
            <v>2788395.3614275218</v>
          </cell>
          <cell r="G153">
            <v>623915</v>
          </cell>
          <cell r="H153">
            <v>6420.5720000000001</v>
          </cell>
          <cell r="I153">
            <v>94361.403902474252</v>
          </cell>
          <cell r="J153">
            <v>44775</v>
          </cell>
          <cell r="K153">
            <v>45700.000000000007</v>
          </cell>
          <cell r="L153">
            <v>36680.701951237126</v>
          </cell>
          <cell r="M153">
            <v>37080.701951237126</v>
          </cell>
          <cell r="N153">
            <v>36380.701951237126</v>
          </cell>
          <cell r="O153">
            <v>46980.701951237133</v>
          </cell>
          <cell r="P153">
            <v>53550</v>
          </cell>
          <cell r="Q153">
            <v>82275</v>
          </cell>
          <cell r="R153">
            <v>0</v>
          </cell>
          <cell r="S153">
            <v>43430.701951237126</v>
          </cell>
          <cell r="T153">
            <v>0</v>
          </cell>
          <cell r="U153">
            <v>55400</v>
          </cell>
          <cell r="V153">
            <v>0</v>
          </cell>
          <cell r="Y153">
            <v>27987.5</v>
          </cell>
          <cell r="Z153">
            <v>90262.499999999985</v>
          </cell>
          <cell r="AA153">
            <v>59899.999999999993</v>
          </cell>
          <cell r="AB153">
            <v>51930.701951237119</v>
          </cell>
          <cell r="AC153">
            <v>61500</v>
          </cell>
          <cell r="AD153">
            <v>89475</v>
          </cell>
          <cell r="AE153">
            <v>59449.999999999993</v>
          </cell>
          <cell r="AF153">
            <v>59599.999999999993</v>
          </cell>
          <cell r="AG153">
            <v>30200</v>
          </cell>
          <cell r="AH153">
            <v>47519.999999999993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U153">
            <v>70650</v>
          </cell>
        </row>
        <row r="154">
          <cell r="B154">
            <v>38400</v>
          </cell>
          <cell r="C154">
            <v>2</v>
          </cell>
          <cell r="D154">
            <v>17</v>
          </cell>
          <cell r="E154">
            <v>140</v>
          </cell>
          <cell r="F154">
            <v>2861447.3290543137</v>
          </cell>
          <cell r="G154">
            <v>477393</v>
          </cell>
          <cell r="H154">
            <v>6420.5720000000001</v>
          </cell>
          <cell r="I154">
            <v>94361.403902474252</v>
          </cell>
          <cell r="J154">
            <v>44775</v>
          </cell>
          <cell r="K154">
            <v>45700.000000000007</v>
          </cell>
          <cell r="L154">
            <v>36680.701951237126</v>
          </cell>
          <cell r="M154">
            <v>37080.701951237126</v>
          </cell>
          <cell r="N154">
            <v>36380.701951237126</v>
          </cell>
          <cell r="O154">
            <v>46980.701951237133</v>
          </cell>
          <cell r="P154">
            <v>53550</v>
          </cell>
          <cell r="Q154">
            <v>82275</v>
          </cell>
          <cell r="R154">
            <v>0</v>
          </cell>
          <cell r="S154">
            <v>43430.701951237126</v>
          </cell>
          <cell r="T154">
            <v>0</v>
          </cell>
          <cell r="U154">
            <v>55400</v>
          </cell>
          <cell r="V154">
            <v>0</v>
          </cell>
          <cell r="Y154">
            <v>27987.5</v>
          </cell>
          <cell r="Z154">
            <v>90262.499999999985</v>
          </cell>
          <cell r="AA154">
            <v>59899.999999999993</v>
          </cell>
          <cell r="AB154">
            <v>51930.701951237119</v>
          </cell>
          <cell r="AC154">
            <v>61500</v>
          </cell>
          <cell r="AD154">
            <v>89475</v>
          </cell>
          <cell r="AE154">
            <v>59449.999999999993</v>
          </cell>
          <cell r="AF154">
            <v>59599.999999999993</v>
          </cell>
          <cell r="AG154">
            <v>30200</v>
          </cell>
          <cell r="AH154">
            <v>47519.999999999993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U154">
            <v>70650</v>
          </cell>
        </row>
        <row r="155">
          <cell r="B155">
            <v>38401</v>
          </cell>
          <cell r="C155">
            <v>2</v>
          </cell>
          <cell r="D155">
            <v>18</v>
          </cell>
          <cell r="E155">
            <v>141</v>
          </cell>
          <cell r="F155">
            <v>2482008.7880799817</v>
          </cell>
          <cell r="G155">
            <v>468829</v>
          </cell>
          <cell r="H155">
            <v>6420.5720000000001</v>
          </cell>
          <cell r="I155">
            <v>94361.403902474252</v>
          </cell>
          <cell r="J155">
            <v>44775</v>
          </cell>
          <cell r="K155">
            <v>45700.000000000007</v>
          </cell>
          <cell r="L155">
            <v>36680.701951237126</v>
          </cell>
          <cell r="M155">
            <v>37080.701951237126</v>
          </cell>
          <cell r="N155">
            <v>36380.701951237126</v>
          </cell>
          <cell r="O155">
            <v>46980.701951237133</v>
          </cell>
          <cell r="P155">
            <v>53550</v>
          </cell>
          <cell r="Q155">
            <v>82275</v>
          </cell>
          <cell r="R155">
            <v>0</v>
          </cell>
          <cell r="S155">
            <v>43430.701951237126</v>
          </cell>
          <cell r="T155">
            <v>0</v>
          </cell>
          <cell r="U155">
            <v>55400</v>
          </cell>
          <cell r="V155">
            <v>0</v>
          </cell>
          <cell r="Y155">
            <v>27987.5</v>
          </cell>
          <cell r="Z155">
            <v>90262.499999999985</v>
          </cell>
          <cell r="AA155">
            <v>59899.999999999993</v>
          </cell>
          <cell r="AB155">
            <v>51930.701951237119</v>
          </cell>
          <cell r="AC155">
            <v>61500</v>
          </cell>
          <cell r="AD155">
            <v>89475</v>
          </cell>
          <cell r="AE155">
            <v>59449.999999999993</v>
          </cell>
          <cell r="AF155">
            <v>59599.999999999993</v>
          </cell>
          <cell r="AG155">
            <v>30200</v>
          </cell>
          <cell r="AH155">
            <v>47519.999999999993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U155">
            <v>70650</v>
          </cell>
        </row>
        <row r="156">
          <cell r="B156">
            <v>38402</v>
          </cell>
          <cell r="C156">
            <v>2</v>
          </cell>
          <cell r="D156">
            <v>19</v>
          </cell>
          <cell r="E156">
            <v>142</v>
          </cell>
          <cell r="F156">
            <v>2809689.3730373159</v>
          </cell>
          <cell r="G156">
            <v>460598</v>
          </cell>
          <cell r="H156">
            <v>6420.5720000000001</v>
          </cell>
          <cell r="I156">
            <v>94361.403902474252</v>
          </cell>
          <cell r="J156">
            <v>44775</v>
          </cell>
          <cell r="K156">
            <v>45700.000000000007</v>
          </cell>
          <cell r="L156">
            <v>36680.701951237126</v>
          </cell>
          <cell r="M156">
            <v>37080.701951237126</v>
          </cell>
          <cell r="N156">
            <v>36380.701951237126</v>
          </cell>
          <cell r="O156">
            <v>46980.701951237133</v>
          </cell>
          <cell r="P156">
            <v>53550</v>
          </cell>
          <cell r="Q156">
            <v>82275</v>
          </cell>
          <cell r="R156">
            <v>0</v>
          </cell>
          <cell r="S156">
            <v>43430.701951237126</v>
          </cell>
          <cell r="T156">
            <v>0</v>
          </cell>
          <cell r="U156">
            <v>55400</v>
          </cell>
          <cell r="V156">
            <v>0</v>
          </cell>
          <cell r="Y156">
            <v>27987.5</v>
          </cell>
          <cell r="Z156">
            <v>90262.499999999985</v>
          </cell>
          <cell r="AA156">
            <v>59899.999999999993</v>
          </cell>
          <cell r="AB156">
            <v>51930.701951237119</v>
          </cell>
          <cell r="AC156">
            <v>61500</v>
          </cell>
          <cell r="AD156">
            <v>89475</v>
          </cell>
          <cell r="AE156">
            <v>59449.999999999993</v>
          </cell>
          <cell r="AF156">
            <v>59599.999999999993</v>
          </cell>
          <cell r="AG156">
            <v>30200</v>
          </cell>
          <cell r="AH156">
            <v>47519.999999999993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U156">
            <v>70650</v>
          </cell>
        </row>
        <row r="157">
          <cell r="B157">
            <v>38403</v>
          </cell>
          <cell r="C157">
            <v>2</v>
          </cell>
          <cell r="D157">
            <v>20</v>
          </cell>
          <cell r="E157">
            <v>143</v>
          </cell>
          <cell r="F157">
            <v>2716873.8790460681</v>
          </cell>
          <cell r="G157">
            <v>452687</v>
          </cell>
          <cell r="H157">
            <v>6420.5720000000001</v>
          </cell>
          <cell r="I157">
            <v>94361.403902474252</v>
          </cell>
          <cell r="J157">
            <v>44775</v>
          </cell>
          <cell r="K157">
            <v>45700.000000000007</v>
          </cell>
          <cell r="L157">
            <v>36680.701951237126</v>
          </cell>
          <cell r="M157">
            <v>37080.701951237126</v>
          </cell>
          <cell r="N157">
            <v>36380.701951237126</v>
          </cell>
          <cell r="O157">
            <v>46980.701951237133</v>
          </cell>
          <cell r="P157">
            <v>53550</v>
          </cell>
          <cell r="Q157">
            <v>82275</v>
          </cell>
          <cell r="R157">
            <v>0</v>
          </cell>
          <cell r="S157">
            <v>43430.701951237126</v>
          </cell>
          <cell r="T157">
            <v>0</v>
          </cell>
          <cell r="U157">
            <v>55400</v>
          </cell>
          <cell r="V157">
            <v>0</v>
          </cell>
          <cell r="Y157">
            <v>27987.5</v>
          </cell>
          <cell r="Z157">
            <v>90262.499999999985</v>
          </cell>
          <cell r="AA157">
            <v>59899.999999999993</v>
          </cell>
          <cell r="AB157">
            <v>51930.701951237119</v>
          </cell>
          <cell r="AC157">
            <v>61500</v>
          </cell>
          <cell r="AD157">
            <v>89475</v>
          </cell>
          <cell r="AE157">
            <v>59449.999999999993</v>
          </cell>
          <cell r="AF157">
            <v>59599.999999999993</v>
          </cell>
          <cell r="AG157">
            <v>30200</v>
          </cell>
          <cell r="AH157">
            <v>47519.999999999993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U157">
            <v>70650</v>
          </cell>
        </row>
        <row r="158">
          <cell r="B158">
            <v>38404</v>
          </cell>
          <cell r="C158">
            <v>2</v>
          </cell>
          <cell r="D158">
            <v>21</v>
          </cell>
          <cell r="E158">
            <v>144</v>
          </cell>
          <cell r="F158">
            <v>2464333.8299694378</v>
          </cell>
          <cell r="G158">
            <v>264059</v>
          </cell>
          <cell r="H158">
            <v>6420.5720000000001</v>
          </cell>
          <cell r="I158">
            <v>94361.403902474252</v>
          </cell>
          <cell r="J158">
            <v>44775</v>
          </cell>
          <cell r="K158">
            <v>45700.000000000007</v>
          </cell>
          <cell r="L158">
            <v>36680.701951237126</v>
          </cell>
          <cell r="M158">
            <v>37080.701951237126</v>
          </cell>
          <cell r="N158">
            <v>36380.701951237126</v>
          </cell>
          <cell r="O158">
            <v>46980.701951237133</v>
          </cell>
          <cell r="P158">
            <v>53550</v>
          </cell>
          <cell r="Q158">
            <v>82275</v>
          </cell>
          <cell r="R158">
            <v>0</v>
          </cell>
          <cell r="S158">
            <v>43430.701951237126</v>
          </cell>
          <cell r="T158">
            <v>0</v>
          </cell>
          <cell r="U158">
            <v>55400</v>
          </cell>
          <cell r="V158">
            <v>0</v>
          </cell>
          <cell r="Y158">
            <v>27987.5</v>
          </cell>
          <cell r="Z158">
            <v>90262.499999999985</v>
          </cell>
          <cell r="AA158">
            <v>59899.999999999993</v>
          </cell>
          <cell r="AB158">
            <v>51930.701951237119</v>
          </cell>
          <cell r="AC158">
            <v>61500</v>
          </cell>
          <cell r="AD158">
            <v>89475</v>
          </cell>
          <cell r="AE158">
            <v>59449.999999999993</v>
          </cell>
          <cell r="AF158">
            <v>59599.999999999993</v>
          </cell>
          <cell r="AG158">
            <v>30200</v>
          </cell>
          <cell r="AH158">
            <v>47519.999999999993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U158">
            <v>70650</v>
          </cell>
        </row>
        <row r="159">
          <cell r="B159">
            <v>38405</v>
          </cell>
          <cell r="C159">
            <v>2</v>
          </cell>
          <cell r="D159">
            <v>22</v>
          </cell>
          <cell r="E159">
            <v>145</v>
          </cell>
          <cell r="F159">
            <v>2408112.2082434339</v>
          </cell>
          <cell r="G159">
            <v>119857</v>
          </cell>
          <cell r="H159">
            <v>6420.5720000000001</v>
          </cell>
          <cell r="I159">
            <v>94361.403902474252</v>
          </cell>
          <cell r="J159">
            <v>44775</v>
          </cell>
          <cell r="K159">
            <v>45700.000000000007</v>
          </cell>
          <cell r="L159">
            <v>36680.701951237126</v>
          </cell>
          <cell r="M159">
            <v>37080.701951237126</v>
          </cell>
          <cell r="N159">
            <v>36380.701951237126</v>
          </cell>
          <cell r="O159">
            <v>46980.701951237133</v>
          </cell>
          <cell r="P159">
            <v>53550</v>
          </cell>
          <cell r="Q159">
            <v>82275</v>
          </cell>
          <cell r="R159">
            <v>0</v>
          </cell>
          <cell r="S159">
            <v>43430.701951237126</v>
          </cell>
          <cell r="T159">
            <v>0</v>
          </cell>
          <cell r="U159">
            <v>55400</v>
          </cell>
          <cell r="V159">
            <v>0</v>
          </cell>
          <cell r="Y159">
            <v>27987.5</v>
          </cell>
          <cell r="Z159">
            <v>90262.499999999985</v>
          </cell>
          <cell r="AA159">
            <v>59899.999999999993</v>
          </cell>
          <cell r="AB159">
            <v>51930.701951237119</v>
          </cell>
          <cell r="AC159">
            <v>61500</v>
          </cell>
          <cell r="AD159">
            <v>89475</v>
          </cell>
          <cell r="AE159">
            <v>59449.999999999993</v>
          </cell>
          <cell r="AF159">
            <v>59599.999999999993</v>
          </cell>
          <cell r="AG159">
            <v>30200</v>
          </cell>
          <cell r="AH159">
            <v>47519.999999999993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U159">
            <v>70650</v>
          </cell>
        </row>
        <row r="160">
          <cell r="B160">
            <v>38406</v>
          </cell>
          <cell r="C160">
            <v>2</v>
          </cell>
          <cell r="D160">
            <v>23</v>
          </cell>
          <cell r="E160">
            <v>146</v>
          </cell>
          <cell r="F160">
            <v>2464333.8299694378</v>
          </cell>
          <cell r="G160">
            <v>266348</v>
          </cell>
          <cell r="H160">
            <v>6420.5720000000001</v>
          </cell>
          <cell r="I160">
            <v>94361.403902474252</v>
          </cell>
          <cell r="J160">
            <v>44775</v>
          </cell>
          <cell r="K160">
            <v>45700.000000000007</v>
          </cell>
          <cell r="L160">
            <v>36680.701951237126</v>
          </cell>
          <cell r="M160">
            <v>37080.701951237126</v>
          </cell>
          <cell r="N160">
            <v>36380.701951237126</v>
          </cell>
          <cell r="O160">
            <v>46980.701951237133</v>
          </cell>
          <cell r="P160">
            <v>53550</v>
          </cell>
          <cell r="Q160">
            <v>82275</v>
          </cell>
          <cell r="R160">
            <v>0</v>
          </cell>
          <cell r="S160">
            <v>43430.701951237126</v>
          </cell>
          <cell r="T160">
            <v>0</v>
          </cell>
          <cell r="U160">
            <v>55400</v>
          </cell>
          <cell r="V160">
            <v>0</v>
          </cell>
          <cell r="Y160">
            <v>27987.5</v>
          </cell>
          <cell r="Z160">
            <v>90262.499999999985</v>
          </cell>
          <cell r="AA160">
            <v>59899.999999999993</v>
          </cell>
          <cell r="AB160">
            <v>51930.701951237119</v>
          </cell>
          <cell r="AC160">
            <v>61500</v>
          </cell>
          <cell r="AD160">
            <v>89475</v>
          </cell>
          <cell r="AE160">
            <v>59449.999999999993</v>
          </cell>
          <cell r="AF160">
            <v>59599.999999999993</v>
          </cell>
          <cell r="AG160">
            <v>30200</v>
          </cell>
          <cell r="AH160">
            <v>47519.999999999993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U160">
            <v>70650</v>
          </cell>
        </row>
        <row r="161">
          <cell r="B161">
            <v>38407</v>
          </cell>
          <cell r="C161">
            <v>2</v>
          </cell>
          <cell r="D161">
            <v>24</v>
          </cell>
          <cell r="E161">
            <v>147</v>
          </cell>
          <cell r="F161">
            <v>2464333.8299694378</v>
          </cell>
          <cell r="G161">
            <v>763229</v>
          </cell>
          <cell r="H161">
            <v>6420.5720000000001</v>
          </cell>
          <cell r="I161">
            <v>94361.403902474252</v>
          </cell>
          <cell r="J161">
            <v>44775</v>
          </cell>
          <cell r="K161">
            <v>45700.000000000007</v>
          </cell>
          <cell r="L161">
            <v>36680.701951237126</v>
          </cell>
          <cell r="M161">
            <v>37080.701951237126</v>
          </cell>
          <cell r="N161">
            <v>36380.701951237126</v>
          </cell>
          <cell r="O161">
            <v>46980.701951237133</v>
          </cell>
          <cell r="P161">
            <v>53550</v>
          </cell>
          <cell r="Q161">
            <v>82275</v>
          </cell>
          <cell r="R161">
            <v>0</v>
          </cell>
          <cell r="S161">
            <v>43430.701951237126</v>
          </cell>
          <cell r="T161">
            <v>0</v>
          </cell>
          <cell r="U161">
            <v>55400</v>
          </cell>
          <cell r="V161">
            <v>0</v>
          </cell>
          <cell r="Y161">
            <v>27987.5</v>
          </cell>
          <cell r="Z161">
            <v>90262.499999999985</v>
          </cell>
          <cell r="AA161">
            <v>59899.999999999993</v>
          </cell>
          <cell r="AB161">
            <v>51930.701951237119</v>
          </cell>
          <cell r="AC161">
            <v>61500</v>
          </cell>
          <cell r="AD161">
            <v>89475</v>
          </cell>
          <cell r="AE161">
            <v>59449.999999999993</v>
          </cell>
          <cell r="AF161">
            <v>59599.999999999993</v>
          </cell>
          <cell r="AG161">
            <v>30200</v>
          </cell>
          <cell r="AH161">
            <v>47519.999999999993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U161">
            <v>70650</v>
          </cell>
        </row>
        <row r="162">
          <cell r="B162">
            <v>38408</v>
          </cell>
          <cell r="C162">
            <v>2</v>
          </cell>
          <cell r="D162">
            <v>25</v>
          </cell>
          <cell r="E162">
            <v>148</v>
          </cell>
          <cell r="F162">
            <v>2783041.1589678037</v>
          </cell>
          <cell r="G162">
            <v>510275</v>
          </cell>
          <cell r="H162">
            <v>6420.5720000000001</v>
          </cell>
          <cell r="I162">
            <v>94361.403902474252</v>
          </cell>
          <cell r="J162">
            <v>44775</v>
          </cell>
          <cell r="K162">
            <v>45700.000000000007</v>
          </cell>
          <cell r="L162">
            <v>36680.701951237126</v>
          </cell>
          <cell r="M162">
            <v>37080.701951237126</v>
          </cell>
          <cell r="N162">
            <v>36380.701951237126</v>
          </cell>
          <cell r="O162">
            <v>46980.701951237133</v>
          </cell>
          <cell r="P162">
            <v>53550</v>
          </cell>
          <cell r="Q162">
            <v>82275</v>
          </cell>
          <cell r="R162">
            <v>0</v>
          </cell>
          <cell r="S162">
            <v>43430.701951237126</v>
          </cell>
          <cell r="T162">
            <v>0</v>
          </cell>
          <cell r="U162">
            <v>55400</v>
          </cell>
          <cell r="V162">
            <v>0</v>
          </cell>
          <cell r="Y162">
            <v>27987.5</v>
          </cell>
          <cell r="Z162">
            <v>90262.499999999985</v>
          </cell>
          <cell r="AA162">
            <v>59899.999999999993</v>
          </cell>
          <cell r="AB162">
            <v>51930.701951237119</v>
          </cell>
          <cell r="AC162">
            <v>61500</v>
          </cell>
          <cell r="AD162">
            <v>89475</v>
          </cell>
          <cell r="AE162">
            <v>59449.999999999993</v>
          </cell>
          <cell r="AF162">
            <v>59599.999999999993</v>
          </cell>
          <cell r="AG162">
            <v>30200</v>
          </cell>
          <cell r="AH162">
            <v>47519.999999999993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U162">
            <v>70650</v>
          </cell>
        </row>
        <row r="163">
          <cell r="B163">
            <v>38409</v>
          </cell>
          <cell r="C163">
            <v>2</v>
          </cell>
          <cell r="D163">
            <v>26</v>
          </cell>
          <cell r="E163">
            <v>149</v>
          </cell>
          <cell r="F163">
            <v>2784302.0871249218</v>
          </cell>
          <cell r="G163">
            <v>420304</v>
          </cell>
          <cell r="H163">
            <v>6420.5720000000001</v>
          </cell>
          <cell r="I163">
            <v>94361.403902474252</v>
          </cell>
          <cell r="J163">
            <v>44775</v>
          </cell>
          <cell r="K163">
            <v>45700.000000000007</v>
          </cell>
          <cell r="L163">
            <v>36680.701951237126</v>
          </cell>
          <cell r="M163">
            <v>37080.701951237126</v>
          </cell>
          <cell r="N163">
            <v>36380.701951237126</v>
          </cell>
          <cell r="O163">
            <v>46980.701951237133</v>
          </cell>
          <cell r="P163">
            <v>53550</v>
          </cell>
          <cell r="Q163">
            <v>82275</v>
          </cell>
          <cell r="R163">
            <v>0</v>
          </cell>
          <cell r="S163">
            <v>43430.701951237126</v>
          </cell>
          <cell r="T163">
            <v>0</v>
          </cell>
          <cell r="U163">
            <v>55400</v>
          </cell>
          <cell r="V163">
            <v>0</v>
          </cell>
          <cell r="Y163">
            <v>27987.5</v>
          </cell>
          <cell r="Z163">
            <v>90262.499999999985</v>
          </cell>
          <cell r="AA163">
            <v>59899.999999999993</v>
          </cell>
          <cell r="AB163">
            <v>51930.701951237119</v>
          </cell>
          <cell r="AC163">
            <v>61500</v>
          </cell>
          <cell r="AD163">
            <v>89475</v>
          </cell>
          <cell r="AE163">
            <v>59449.999999999993</v>
          </cell>
          <cell r="AF163">
            <v>59599.999999999993</v>
          </cell>
          <cell r="AG163">
            <v>30200</v>
          </cell>
          <cell r="AH163">
            <v>47519.999999999993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U163">
            <v>70650</v>
          </cell>
        </row>
        <row r="164">
          <cell r="B164">
            <v>38410</v>
          </cell>
          <cell r="C164">
            <v>2</v>
          </cell>
          <cell r="D164">
            <v>27</v>
          </cell>
          <cell r="E164">
            <v>150</v>
          </cell>
          <cell r="F164">
            <v>2680492.6573726418</v>
          </cell>
          <cell r="G164">
            <v>413963</v>
          </cell>
          <cell r="H164">
            <v>6420.5720000000001</v>
          </cell>
          <cell r="I164">
            <v>94361.403902474252</v>
          </cell>
          <cell r="J164">
            <v>44775</v>
          </cell>
          <cell r="K164">
            <v>45700.000000000007</v>
          </cell>
          <cell r="L164">
            <v>36680.701951237126</v>
          </cell>
          <cell r="M164">
            <v>37080.701951237126</v>
          </cell>
          <cell r="N164">
            <v>36380.701951237126</v>
          </cell>
          <cell r="O164">
            <v>46980.701951237133</v>
          </cell>
          <cell r="P164">
            <v>53550</v>
          </cell>
          <cell r="Q164">
            <v>82275</v>
          </cell>
          <cell r="R164">
            <v>0</v>
          </cell>
          <cell r="S164">
            <v>43430.701951237126</v>
          </cell>
          <cell r="T164">
            <v>0</v>
          </cell>
          <cell r="U164">
            <v>55400</v>
          </cell>
          <cell r="V164">
            <v>0</v>
          </cell>
          <cell r="Y164">
            <v>27987.5</v>
          </cell>
          <cell r="Z164">
            <v>90262.499999999985</v>
          </cell>
          <cell r="AA164">
            <v>59899.999999999993</v>
          </cell>
          <cell r="AB164">
            <v>51930.701951237119</v>
          </cell>
          <cell r="AC164">
            <v>61500</v>
          </cell>
          <cell r="AD164">
            <v>89475</v>
          </cell>
          <cell r="AE164">
            <v>59449.999999999993</v>
          </cell>
          <cell r="AF164">
            <v>59599.999999999993</v>
          </cell>
          <cell r="AG164">
            <v>30200</v>
          </cell>
          <cell r="AH164">
            <v>47519.999999999993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U164">
            <v>70650</v>
          </cell>
        </row>
        <row r="165">
          <cell r="B165">
            <v>38411</v>
          </cell>
          <cell r="C165">
            <v>2</v>
          </cell>
          <cell r="D165">
            <v>28</v>
          </cell>
          <cell r="E165">
            <v>151</v>
          </cell>
          <cell r="F165">
            <v>2464333.8299694378</v>
          </cell>
          <cell r="G165">
            <v>295587</v>
          </cell>
          <cell r="H165">
            <v>6420.5720000000001</v>
          </cell>
          <cell r="I165">
            <v>94361.403902474252</v>
          </cell>
          <cell r="J165">
            <v>44775</v>
          </cell>
          <cell r="K165">
            <v>45700.000000000007</v>
          </cell>
          <cell r="L165">
            <v>36680.701951237126</v>
          </cell>
          <cell r="M165">
            <v>37080.701951237126</v>
          </cell>
          <cell r="N165">
            <v>36380.701951237126</v>
          </cell>
          <cell r="O165">
            <v>46980.701951237133</v>
          </cell>
          <cell r="P165">
            <v>53550</v>
          </cell>
          <cell r="Q165">
            <v>82275</v>
          </cell>
          <cell r="R165">
            <v>0</v>
          </cell>
          <cell r="S165">
            <v>43430.701951237126</v>
          </cell>
          <cell r="T165">
            <v>0</v>
          </cell>
          <cell r="U165">
            <v>55400</v>
          </cell>
          <cell r="V165">
            <v>0</v>
          </cell>
          <cell r="Y165">
            <v>27987.5</v>
          </cell>
          <cell r="Z165">
            <v>90262.499999999985</v>
          </cell>
          <cell r="AA165">
            <v>59899.999999999993</v>
          </cell>
          <cell r="AB165">
            <v>51930.701951237119</v>
          </cell>
          <cell r="AC165">
            <v>61500</v>
          </cell>
          <cell r="AD165">
            <v>89475</v>
          </cell>
          <cell r="AE165">
            <v>59449.999999999993</v>
          </cell>
          <cell r="AF165">
            <v>59599.999999999993</v>
          </cell>
          <cell r="AG165">
            <v>30200</v>
          </cell>
          <cell r="AH165">
            <v>47519.999999999993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U165">
            <v>70650</v>
          </cell>
        </row>
        <row r="166">
          <cell r="B166">
            <v>38413</v>
          </cell>
          <cell r="C166">
            <v>3</v>
          </cell>
          <cell r="D166">
            <v>1</v>
          </cell>
          <cell r="E166">
            <v>152</v>
          </cell>
          <cell r="F166">
            <v>2213335.248093592</v>
          </cell>
          <cell r="G166">
            <v>442233</v>
          </cell>
          <cell r="H166">
            <v>6420.5720000000001</v>
          </cell>
          <cell r="I166">
            <v>94361.403902474252</v>
          </cell>
          <cell r="J166">
            <v>44775</v>
          </cell>
          <cell r="K166">
            <v>45700.000000000007</v>
          </cell>
          <cell r="L166">
            <v>36680.701951237126</v>
          </cell>
          <cell r="M166">
            <v>37080.701951237126</v>
          </cell>
          <cell r="N166">
            <v>36380.701951237126</v>
          </cell>
          <cell r="O166">
            <v>46980.701951237133</v>
          </cell>
          <cell r="P166">
            <v>53550</v>
          </cell>
          <cell r="Q166">
            <v>82275</v>
          </cell>
          <cell r="R166">
            <v>0</v>
          </cell>
          <cell r="S166">
            <v>43430.701951237126</v>
          </cell>
          <cell r="T166">
            <v>0</v>
          </cell>
          <cell r="U166">
            <v>55400</v>
          </cell>
          <cell r="V166">
            <v>0</v>
          </cell>
          <cell r="Y166">
            <v>27987.5</v>
          </cell>
          <cell r="Z166">
            <v>0</v>
          </cell>
          <cell r="AA166">
            <v>59899.999999999993</v>
          </cell>
          <cell r="AB166">
            <v>51930.701951237119</v>
          </cell>
          <cell r="AC166">
            <v>61500</v>
          </cell>
          <cell r="AD166">
            <v>89475</v>
          </cell>
          <cell r="AE166">
            <v>59449.999999999993</v>
          </cell>
          <cell r="AF166">
            <v>59599.999999999993</v>
          </cell>
          <cell r="AG166">
            <v>30200</v>
          </cell>
          <cell r="AH166">
            <v>47519.999999999993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U166">
            <v>70650</v>
          </cell>
        </row>
        <row r="167">
          <cell r="B167">
            <v>38414</v>
          </cell>
          <cell r="C167">
            <v>3</v>
          </cell>
          <cell r="D167">
            <v>2</v>
          </cell>
          <cell r="E167">
            <v>153</v>
          </cell>
          <cell r="F167">
            <v>2334920.4702746021</v>
          </cell>
          <cell r="G167">
            <v>535632</v>
          </cell>
          <cell r="H167">
            <v>6420.5720000000001</v>
          </cell>
          <cell r="I167">
            <v>94361.403902474252</v>
          </cell>
          <cell r="J167">
            <v>44775</v>
          </cell>
          <cell r="K167">
            <v>45700.000000000007</v>
          </cell>
          <cell r="L167">
            <v>36680.701951237126</v>
          </cell>
          <cell r="M167">
            <v>37080.701951237126</v>
          </cell>
          <cell r="N167">
            <v>36380.701951237126</v>
          </cell>
          <cell r="O167">
            <v>46980.701951237133</v>
          </cell>
          <cell r="P167">
            <v>53550</v>
          </cell>
          <cell r="Q167">
            <v>82275</v>
          </cell>
          <cell r="R167">
            <v>0</v>
          </cell>
          <cell r="S167">
            <v>43430.701951237126</v>
          </cell>
          <cell r="T167">
            <v>0</v>
          </cell>
          <cell r="U167">
            <v>55400</v>
          </cell>
          <cell r="V167">
            <v>0</v>
          </cell>
          <cell r="Y167">
            <v>27987.5</v>
          </cell>
          <cell r="Z167">
            <v>0</v>
          </cell>
          <cell r="AA167">
            <v>59899.999999999993</v>
          </cell>
          <cell r="AB167">
            <v>51930.701951237119</v>
          </cell>
          <cell r="AC167">
            <v>61500</v>
          </cell>
          <cell r="AD167">
            <v>89475</v>
          </cell>
          <cell r="AE167">
            <v>59449.999999999993</v>
          </cell>
          <cell r="AF167">
            <v>59599.999999999993</v>
          </cell>
          <cell r="AG167">
            <v>30200</v>
          </cell>
          <cell r="AH167">
            <v>47519.999999999993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U167">
            <v>70650</v>
          </cell>
        </row>
        <row r="168">
          <cell r="B168">
            <v>38415</v>
          </cell>
          <cell r="C168">
            <v>3</v>
          </cell>
          <cell r="D168">
            <v>3</v>
          </cell>
          <cell r="E168">
            <v>154</v>
          </cell>
          <cell r="F168">
            <v>3026736.7404720597</v>
          </cell>
          <cell r="G168">
            <v>421404</v>
          </cell>
          <cell r="H168">
            <v>6420.5720000000001</v>
          </cell>
          <cell r="I168">
            <v>94361.403902474252</v>
          </cell>
          <cell r="J168">
            <v>44775</v>
          </cell>
          <cell r="K168">
            <v>45700.000000000007</v>
          </cell>
          <cell r="L168">
            <v>36680.701951237126</v>
          </cell>
          <cell r="M168">
            <v>37080.701951237126</v>
          </cell>
          <cell r="N168">
            <v>36380.701951237126</v>
          </cell>
          <cell r="O168">
            <v>46980.701951237133</v>
          </cell>
          <cell r="P168">
            <v>53550</v>
          </cell>
          <cell r="Q168">
            <v>82275</v>
          </cell>
          <cell r="R168">
            <v>0</v>
          </cell>
          <cell r="S168">
            <v>43430.701951237126</v>
          </cell>
          <cell r="T168">
            <v>0</v>
          </cell>
          <cell r="U168">
            <v>55400</v>
          </cell>
          <cell r="V168">
            <v>0</v>
          </cell>
          <cell r="Y168">
            <v>27987.5</v>
          </cell>
          <cell r="Z168">
            <v>0</v>
          </cell>
          <cell r="AA168">
            <v>59899.999999999993</v>
          </cell>
          <cell r="AB168">
            <v>51930.701951237119</v>
          </cell>
          <cell r="AC168">
            <v>61500</v>
          </cell>
          <cell r="AD168">
            <v>89475</v>
          </cell>
          <cell r="AE168">
            <v>59449.999999999993</v>
          </cell>
          <cell r="AF168">
            <v>59599.999999999993</v>
          </cell>
          <cell r="AG168">
            <v>30200</v>
          </cell>
          <cell r="AH168">
            <v>47519.999999999993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U168">
            <v>70650</v>
          </cell>
        </row>
        <row r="169">
          <cell r="B169">
            <v>38416</v>
          </cell>
          <cell r="C169">
            <v>3</v>
          </cell>
          <cell r="D169">
            <v>4</v>
          </cell>
          <cell r="E169">
            <v>155</v>
          </cell>
          <cell r="F169">
            <v>2576830.9848390897</v>
          </cell>
          <cell r="G169">
            <v>416147</v>
          </cell>
          <cell r="H169">
            <v>6420.5720000000001</v>
          </cell>
          <cell r="I169">
            <v>94361.403902474252</v>
          </cell>
          <cell r="J169">
            <v>44775</v>
          </cell>
          <cell r="K169">
            <v>45700.000000000007</v>
          </cell>
          <cell r="L169">
            <v>36680.701951237126</v>
          </cell>
          <cell r="M169">
            <v>37080.701951237126</v>
          </cell>
          <cell r="N169">
            <v>36380.701951237126</v>
          </cell>
          <cell r="O169">
            <v>46980.701951237133</v>
          </cell>
          <cell r="P169">
            <v>53550</v>
          </cell>
          <cell r="Q169">
            <v>82275</v>
          </cell>
          <cell r="R169">
            <v>0</v>
          </cell>
          <cell r="S169">
            <v>43430.701951237126</v>
          </cell>
          <cell r="T169">
            <v>0</v>
          </cell>
          <cell r="U169">
            <v>55400</v>
          </cell>
          <cell r="V169">
            <v>0</v>
          </cell>
          <cell r="Y169">
            <v>27987.5</v>
          </cell>
          <cell r="Z169">
            <v>0</v>
          </cell>
          <cell r="AA169">
            <v>59899.999999999993</v>
          </cell>
          <cell r="AB169">
            <v>51930.701951237119</v>
          </cell>
          <cell r="AC169">
            <v>61500</v>
          </cell>
          <cell r="AD169">
            <v>89475</v>
          </cell>
          <cell r="AE169">
            <v>59449.999999999993</v>
          </cell>
          <cell r="AF169">
            <v>59599.999999999993</v>
          </cell>
          <cell r="AG169">
            <v>30200</v>
          </cell>
          <cell r="AH169">
            <v>47519.999999999993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U169">
            <v>70650</v>
          </cell>
        </row>
        <row r="170">
          <cell r="B170">
            <v>38417</v>
          </cell>
          <cell r="C170">
            <v>3</v>
          </cell>
          <cell r="D170">
            <v>5</v>
          </cell>
          <cell r="E170">
            <v>156</v>
          </cell>
          <cell r="F170">
            <v>2743231.5704760537</v>
          </cell>
          <cell r="G170">
            <v>411101</v>
          </cell>
          <cell r="H170">
            <v>6420.5720000000001</v>
          </cell>
          <cell r="I170">
            <v>94361.403902474252</v>
          </cell>
          <cell r="J170">
            <v>44775</v>
          </cell>
          <cell r="K170">
            <v>45700.000000000007</v>
          </cell>
          <cell r="L170">
            <v>36680.701951237126</v>
          </cell>
          <cell r="M170">
            <v>37080.701951237126</v>
          </cell>
          <cell r="N170">
            <v>36380.701951237126</v>
          </cell>
          <cell r="O170">
            <v>46980.701951237133</v>
          </cell>
          <cell r="P170">
            <v>53550</v>
          </cell>
          <cell r="Q170">
            <v>82275</v>
          </cell>
          <cell r="R170">
            <v>0</v>
          </cell>
          <cell r="S170">
            <v>43430.701951237126</v>
          </cell>
          <cell r="T170">
            <v>0</v>
          </cell>
          <cell r="U170">
            <v>55400</v>
          </cell>
          <cell r="V170">
            <v>0</v>
          </cell>
          <cell r="Y170">
            <v>27987.5</v>
          </cell>
          <cell r="Z170">
            <v>0</v>
          </cell>
          <cell r="AA170">
            <v>59899.999999999993</v>
          </cell>
          <cell r="AB170">
            <v>51930.701951237119</v>
          </cell>
          <cell r="AC170">
            <v>61500</v>
          </cell>
          <cell r="AD170">
            <v>89475</v>
          </cell>
          <cell r="AE170">
            <v>59449.999999999993</v>
          </cell>
          <cell r="AF170">
            <v>59599.999999999993</v>
          </cell>
          <cell r="AG170">
            <v>30200</v>
          </cell>
          <cell r="AH170">
            <v>47519.999999999993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U170">
            <v>70650</v>
          </cell>
        </row>
        <row r="171">
          <cell r="B171">
            <v>38418</v>
          </cell>
          <cell r="C171">
            <v>3</v>
          </cell>
          <cell r="D171">
            <v>6</v>
          </cell>
          <cell r="E171">
            <v>157</v>
          </cell>
          <cell r="F171">
            <v>2120373.9936027881</v>
          </cell>
          <cell r="G171">
            <v>349732</v>
          </cell>
          <cell r="H171">
            <v>6420.5720000000001</v>
          </cell>
          <cell r="I171">
            <v>94361.403902474252</v>
          </cell>
          <cell r="J171">
            <v>44775</v>
          </cell>
          <cell r="K171">
            <v>45700.000000000007</v>
          </cell>
          <cell r="L171">
            <v>36680.701951237126</v>
          </cell>
          <cell r="M171">
            <v>37080.701951237126</v>
          </cell>
          <cell r="N171">
            <v>36380.701951237126</v>
          </cell>
          <cell r="O171">
            <v>46980.701951237133</v>
          </cell>
          <cell r="P171">
            <v>53550</v>
          </cell>
          <cell r="Q171">
            <v>82275</v>
          </cell>
          <cell r="R171">
            <v>0</v>
          </cell>
          <cell r="S171">
            <v>43430.701951237126</v>
          </cell>
          <cell r="T171">
            <v>0</v>
          </cell>
          <cell r="U171">
            <v>55400</v>
          </cell>
          <cell r="V171">
            <v>0</v>
          </cell>
          <cell r="Y171">
            <v>27987.5</v>
          </cell>
          <cell r="Z171">
            <v>0</v>
          </cell>
          <cell r="AA171">
            <v>59899.999999999993</v>
          </cell>
          <cell r="AB171">
            <v>51930.701951237119</v>
          </cell>
          <cell r="AC171">
            <v>61500</v>
          </cell>
          <cell r="AD171">
            <v>89475</v>
          </cell>
          <cell r="AE171">
            <v>59449.999999999993</v>
          </cell>
          <cell r="AF171">
            <v>59599.999999999993</v>
          </cell>
          <cell r="AG171">
            <v>30200</v>
          </cell>
          <cell r="AH171">
            <v>47519.999999999993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U171">
            <v>65405.638526852999</v>
          </cell>
        </row>
        <row r="172">
          <cell r="B172">
            <v>38419</v>
          </cell>
          <cell r="C172">
            <v>3</v>
          </cell>
          <cell r="D172">
            <v>7</v>
          </cell>
          <cell r="E172">
            <v>158</v>
          </cell>
          <cell r="F172">
            <v>1756149.45435951</v>
          </cell>
          <cell r="G172">
            <v>7000</v>
          </cell>
          <cell r="H172">
            <v>6420.5720000000001</v>
          </cell>
          <cell r="I172">
            <v>94361.403902474252</v>
          </cell>
          <cell r="J172">
            <v>44775</v>
          </cell>
          <cell r="K172">
            <v>45700.000000000007</v>
          </cell>
          <cell r="L172">
            <v>36680.701951237126</v>
          </cell>
          <cell r="M172">
            <v>37080.701951237126</v>
          </cell>
          <cell r="N172">
            <v>36380.701951237126</v>
          </cell>
          <cell r="O172">
            <v>46980.701951237133</v>
          </cell>
          <cell r="P172">
            <v>53550</v>
          </cell>
          <cell r="Q172">
            <v>82275</v>
          </cell>
          <cell r="R172">
            <v>0</v>
          </cell>
          <cell r="S172">
            <v>43430.701951237126</v>
          </cell>
          <cell r="T172">
            <v>0</v>
          </cell>
          <cell r="U172">
            <v>55400</v>
          </cell>
          <cell r="V172">
            <v>0</v>
          </cell>
          <cell r="Y172">
            <v>27987.5</v>
          </cell>
          <cell r="Z172">
            <v>0</v>
          </cell>
          <cell r="AA172">
            <v>59899.999999999993</v>
          </cell>
          <cell r="AB172">
            <v>51930.701951237119</v>
          </cell>
          <cell r="AC172">
            <v>61500</v>
          </cell>
          <cell r="AD172">
            <v>89475</v>
          </cell>
          <cell r="AE172">
            <v>29815.057385697022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U172">
            <v>11250</v>
          </cell>
        </row>
        <row r="173">
          <cell r="B173">
            <v>38420</v>
          </cell>
          <cell r="C173">
            <v>3</v>
          </cell>
          <cell r="D173">
            <v>8</v>
          </cell>
          <cell r="E173">
            <v>159</v>
          </cell>
          <cell r="F173">
            <v>1683452.902745334</v>
          </cell>
          <cell r="G173">
            <v>7000</v>
          </cell>
          <cell r="H173">
            <v>6420.5720000000001</v>
          </cell>
          <cell r="I173">
            <v>94361.403902474252</v>
          </cell>
          <cell r="J173">
            <v>44775</v>
          </cell>
          <cell r="K173">
            <v>45700.000000000007</v>
          </cell>
          <cell r="L173">
            <v>36680.701951237126</v>
          </cell>
          <cell r="M173">
            <v>37080.701951237126</v>
          </cell>
          <cell r="N173">
            <v>36380.701951237126</v>
          </cell>
          <cell r="O173">
            <v>46980.701951237133</v>
          </cell>
          <cell r="P173">
            <v>53550</v>
          </cell>
          <cell r="Q173">
            <v>82275</v>
          </cell>
          <cell r="R173">
            <v>0</v>
          </cell>
          <cell r="S173">
            <v>43430.701951237126</v>
          </cell>
          <cell r="T173">
            <v>0</v>
          </cell>
          <cell r="U173">
            <v>55400</v>
          </cell>
          <cell r="V173">
            <v>0</v>
          </cell>
          <cell r="Y173">
            <v>27987.5</v>
          </cell>
          <cell r="Z173">
            <v>0</v>
          </cell>
          <cell r="AA173">
            <v>59899.999999999993</v>
          </cell>
          <cell r="AB173">
            <v>51930.701951237119</v>
          </cell>
          <cell r="AC173">
            <v>61500</v>
          </cell>
          <cell r="AD173">
            <v>75437.904406640693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U173">
            <v>11250</v>
          </cell>
        </row>
        <row r="174">
          <cell r="B174">
            <v>38421</v>
          </cell>
          <cell r="C174">
            <v>3</v>
          </cell>
          <cell r="D174">
            <v>9</v>
          </cell>
          <cell r="E174">
            <v>160</v>
          </cell>
          <cell r="F174">
            <v>2029425.43203736</v>
          </cell>
          <cell r="G174">
            <v>157956</v>
          </cell>
          <cell r="H174">
            <v>6420.5720000000001</v>
          </cell>
          <cell r="I174">
            <v>94361.403902474252</v>
          </cell>
          <cell r="J174">
            <v>44775</v>
          </cell>
          <cell r="K174">
            <v>45700.000000000007</v>
          </cell>
          <cell r="L174">
            <v>36680.701951237126</v>
          </cell>
          <cell r="M174">
            <v>37080.701951237126</v>
          </cell>
          <cell r="N174">
            <v>36380.701951237126</v>
          </cell>
          <cell r="O174">
            <v>46980.701951237133</v>
          </cell>
          <cell r="P174">
            <v>53550</v>
          </cell>
          <cell r="Q174">
            <v>82275</v>
          </cell>
          <cell r="R174">
            <v>0</v>
          </cell>
          <cell r="S174">
            <v>43430.701951237126</v>
          </cell>
          <cell r="T174">
            <v>0</v>
          </cell>
          <cell r="U174">
            <v>55400</v>
          </cell>
          <cell r="V174">
            <v>0</v>
          </cell>
          <cell r="Y174">
            <v>27987.5</v>
          </cell>
          <cell r="Z174">
            <v>0</v>
          </cell>
          <cell r="AA174">
            <v>59899.999999999993</v>
          </cell>
          <cell r="AB174">
            <v>51930.701951237119</v>
          </cell>
          <cell r="AC174">
            <v>61500</v>
          </cell>
          <cell r="AD174">
            <v>89475</v>
          </cell>
          <cell r="AE174">
            <v>59449.999999999993</v>
          </cell>
          <cell r="AF174">
            <v>59599.999999999993</v>
          </cell>
          <cell r="AG174">
            <v>30200</v>
          </cell>
          <cell r="AH174">
            <v>45820.62297809837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U174">
            <v>11250</v>
          </cell>
        </row>
        <row r="175">
          <cell r="B175">
            <v>38422</v>
          </cell>
          <cell r="C175">
            <v>3</v>
          </cell>
          <cell r="D175">
            <v>10</v>
          </cell>
          <cell r="E175">
            <v>161</v>
          </cell>
          <cell r="F175">
            <v>2029425.43203736</v>
          </cell>
          <cell r="G175">
            <v>500563</v>
          </cell>
          <cell r="H175">
            <v>6420.5720000000001</v>
          </cell>
          <cell r="I175">
            <v>94361.403902474252</v>
          </cell>
          <cell r="J175">
            <v>44775</v>
          </cell>
          <cell r="K175">
            <v>45700.000000000007</v>
          </cell>
          <cell r="L175">
            <v>36680.701951237126</v>
          </cell>
          <cell r="M175">
            <v>37080.701951237126</v>
          </cell>
          <cell r="N175">
            <v>36380.701951237126</v>
          </cell>
          <cell r="O175">
            <v>46980.701951237133</v>
          </cell>
          <cell r="P175">
            <v>53550</v>
          </cell>
          <cell r="Q175">
            <v>82275</v>
          </cell>
          <cell r="R175">
            <v>0</v>
          </cell>
          <cell r="S175">
            <v>43430.701951237126</v>
          </cell>
          <cell r="T175">
            <v>0</v>
          </cell>
          <cell r="U175">
            <v>55400</v>
          </cell>
          <cell r="V175">
            <v>0</v>
          </cell>
          <cell r="Y175">
            <v>27987.5</v>
          </cell>
          <cell r="Z175">
            <v>0</v>
          </cell>
          <cell r="AA175">
            <v>59899.999999999993</v>
          </cell>
          <cell r="AB175">
            <v>51930.701951237119</v>
          </cell>
          <cell r="AC175">
            <v>61500</v>
          </cell>
          <cell r="AD175">
            <v>89475</v>
          </cell>
          <cell r="AE175">
            <v>59449.999999999993</v>
          </cell>
          <cell r="AF175">
            <v>59599.999999999993</v>
          </cell>
          <cell r="AG175">
            <v>30200</v>
          </cell>
          <cell r="AH175">
            <v>45820.62297809837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U175">
            <v>11250</v>
          </cell>
        </row>
        <row r="176">
          <cell r="B176">
            <v>38423</v>
          </cell>
          <cell r="C176">
            <v>3</v>
          </cell>
          <cell r="D176">
            <v>11</v>
          </cell>
          <cell r="E176">
            <v>162</v>
          </cell>
          <cell r="F176">
            <v>2029425.43203736</v>
          </cell>
          <cell r="G176">
            <v>36122</v>
          </cell>
          <cell r="H176">
            <v>6420.5720000000001</v>
          </cell>
          <cell r="I176">
            <v>94361.403902474252</v>
          </cell>
          <cell r="J176">
            <v>44775</v>
          </cell>
          <cell r="K176">
            <v>45700.000000000007</v>
          </cell>
          <cell r="L176">
            <v>36680.701951237126</v>
          </cell>
          <cell r="M176">
            <v>37080.701951237126</v>
          </cell>
          <cell r="N176">
            <v>36380.701951237126</v>
          </cell>
          <cell r="O176">
            <v>46980.701951237133</v>
          </cell>
          <cell r="P176">
            <v>53550</v>
          </cell>
          <cell r="Q176">
            <v>82275</v>
          </cell>
          <cell r="R176">
            <v>0</v>
          </cell>
          <cell r="S176">
            <v>43430.701951237126</v>
          </cell>
          <cell r="T176">
            <v>0</v>
          </cell>
          <cell r="U176">
            <v>55400</v>
          </cell>
          <cell r="V176">
            <v>0</v>
          </cell>
          <cell r="Y176">
            <v>27987.5</v>
          </cell>
          <cell r="Z176">
            <v>0</v>
          </cell>
          <cell r="AA176">
            <v>59899.999999999993</v>
          </cell>
          <cell r="AB176">
            <v>51930.701951237119</v>
          </cell>
          <cell r="AC176">
            <v>61500</v>
          </cell>
          <cell r="AD176">
            <v>89475</v>
          </cell>
          <cell r="AE176">
            <v>59449.999999999993</v>
          </cell>
          <cell r="AF176">
            <v>59599.999999999993</v>
          </cell>
          <cell r="AG176">
            <v>30200</v>
          </cell>
          <cell r="AH176">
            <v>45820.62297809837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U176">
            <v>11250</v>
          </cell>
        </row>
        <row r="177">
          <cell r="B177">
            <v>38424</v>
          </cell>
          <cell r="C177">
            <v>3</v>
          </cell>
          <cell r="D177">
            <v>12</v>
          </cell>
          <cell r="E177">
            <v>163</v>
          </cell>
          <cell r="F177">
            <v>2029425.43203736</v>
          </cell>
          <cell r="G177">
            <v>167225</v>
          </cell>
          <cell r="H177">
            <v>6420.5720000000001</v>
          </cell>
          <cell r="I177">
            <v>94361.403902474252</v>
          </cell>
          <cell r="J177">
            <v>44775</v>
          </cell>
          <cell r="K177">
            <v>45700.000000000007</v>
          </cell>
          <cell r="L177">
            <v>36680.701951237126</v>
          </cell>
          <cell r="M177">
            <v>37080.701951237126</v>
          </cell>
          <cell r="N177">
            <v>36380.701951237126</v>
          </cell>
          <cell r="O177">
            <v>46980.701951237133</v>
          </cell>
          <cell r="P177">
            <v>53550</v>
          </cell>
          <cell r="Q177">
            <v>82275</v>
          </cell>
          <cell r="R177">
            <v>0</v>
          </cell>
          <cell r="S177">
            <v>43430.701951237126</v>
          </cell>
          <cell r="T177">
            <v>0</v>
          </cell>
          <cell r="U177">
            <v>55400</v>
          </cell>
          <cell r="V177">
            <v>0</v>
          </cell>
          <cell r="Y177">
            <v>27987.5</v>
          </cell>
          <cell r="Z177">
            <v>0</v>
          </cell>
          <cell r="AA177">
            <v>59899.999999999993</v>
          </cell>
          <cell r="AB177">
            <v>51930.701951237119</v>
          </cell>
          <cell r="AC177">
            <v>61500</v>
          </cell>
          <cell r="AD177">
            <v>89475</v>
          </cell>
          <cell r="AE177">
            <v>59449.999999999993</v>
          </cell>
          <cell r="AF177">
            <v>59599.999999999993</v>
          </cell>
          <cell r="AG177">
            <v>30200</v>
          </cell>
          <cell r="AH177">
            <v>45820.62297809837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U177">
            <v>11250</v>
          </cell>
        </row>
        <row r="178">
          <cell r="B178">
            <v>38425</v>
          </cell>
          <cell r="C178">
            <v>3</v>
          </cell>
          <cell r="D178">
            <v>13</v>
          </cell>
          <cell r="E178">
            <v>164</v>
          </cell>
          <cell r="F178">
            <v>2001204.8016198978</v>
          </cell>
          <cell r="G178">
            <v>7000</v>
          </cell>
          <cell r="H178">
            <v>6420.5720000000001</v>
          </cell>
          <cell r="I178">
            <v>94361.403902474252</v>
          </cell>
          <cell r="J178">
            <v>44775</v>
          </cell>
          <cell r="K178">
            <v>45700.000000000007</v>
          </cell>
          <cell r="L178">
            <v>36680.701951237126</v>
          </cell>
          <cell r="M178">
            <v>37080.701951237126</v>
          </cell>
          <cell r="N178">
            <v>36380.701951237126</v>
          </cell>
          <cell r="O178">
            <v>46980.701951237133</v>
          </cell>
          <cell r="P178">
            <v>53550</v>
          </cell>
          <cell r="Q178">
            <v>82275</v>
          </cell>
          <cell r="R178">
            <v>0</v>
          </cell>
          <cell r="S178">
            <v>43430.701951237126</v>
          </cell>
          <cell r="T178">
            <v>0</v>
          </cell>
          <cell r="U178">
            <v>55400</v>
          </cell>
          <cell r="V178">
            <v>0</v>
          </cell>
          <cell r="Y178">
            <v>27987.5</v>
          </cell>
          <cell r="Z178">
            <v>0</v>
          </cell>
          <cell r="AA178">
            <v>59899.999999999993</v>
          </cell>
          <cell r="AB178">
            <v>51930.701951237119</v>
          </cell>
          <cell r="AC178">
            <v>61500</v>
          </cell>
          <cell r="AD178">
            <v>89475</v>
          </cell>
          <cell r="AE178">
            <v>59449.999999999993</v>
          </cell>
          <cell r="AF178">
            <v>59599.999999999993</v>
          </cell>
          <cell r="AG178">
            <v>30200</v>
          </cell>
          <cell r="AH178">
            <v>28829.8927247307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U178">
            <v>11250</v>
          </cell>
        </row>
        <row r="179">
          <cell r="B179">
            <v>38426</v>
          </cell>
          <cell r="C179">
            <v>3</v>
          </cell>
          <cell r="D179">
            <v>14</v>
          </cell>
          <cell r="E179">
            <v>165</v>
          </cell>
          <cell r="F179">
            <v>1855854.627853744</v>
          </cell>
          <cell r="G179">
            <v>7000</v>
          </cell>
          <cell r="H179">
            <v>6420.5720000000001</v>
          </cell>
          <cell r="I179">
            <v>94361.403902474252</v>
          </cell>
          <cell r="J179">
            <v>44775</v>
          </cell>
          <cell r="K179">
            <v>45700.000000000007</v>
          </cell>
          <cell r="L179">
            <v>36680.701951237126</v>
          </cell>
          <cell r="M179">
            <v>37080.701951237126</v>
          </cell>
          <cell r="N179">
            <v>36380.701951237126</v>
          </cell>
          <cell r="O179">
            <v>46980.701951237133</v>
          </cell>
          <cell r="P179">
            <v>53550</v>
          </cell>
          <cell r="Q179">
            <v>82275</v>
          </cell>
          <cell r="R179">
            <v>0</v>
          </cell>
          <cell r="S179">
            <v>43430.701951237126</v>
          </cell>
          <cell r="T179">
            <v>0</v>
          </cell>
          <cell r="U179">
            <v>55400</v>
          </cell>
          <cell r="V179">
            <v>0</v>
          </cell>
          <cell r="Y179">
            <v>27987.5</v>
          </cell>
          <cell r="Z179">
            <v>0</v>
          </cell>
          <cell r="AA179">
            <v>59899.999999999993</v>
          </cell>
          <cell r="AB179">
            <v>51930.701951237119</v>
          </cell>
          <cell r="AC179">
            <v>61500</v>
          </cell>
          <cell r="AD179">
            <v>89475</v>
          </cell>
          <cell r="AE179">
            <v>59449.999999999993</v>
          </cell>
          <cell r="AF179">
            <v>30521.668559529091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U179">
            <v>11250</v>
          </cell>
        </row>
        <row r="180">
          <cell r="B180">
            <v>38427</v>
          </cell>
          <cell r="C180">
            <v>3</v>
          </cell>
          <cell r="D180">
            <v>15</v>
          </cell>
          <cell r="E180">
            <v>166</v>
          </cell>
          <cell r="F180">
            <v>2029425.43203736</v>
          </cell>
          <cell r="G180">
            <v>114577</v>
          </cell>
          <cell r="H180">
            <v>6420.5720000000001</v>
          </cell>
          <cell r="I180">
            <v>94361.403902474252</v>
          </cell>
          <cell r="J180">
            <v>44775</v>
          </cell>
          <cell r="K180">
            <v>45700.000000000007</v>
          </cell>
          <cell r="L180">
            <v>36680.701951237126</v>
          </cell>
          <cell r="M180">
            <v>37080.701951237126</v>
          </cell>
          <cell r="N180">
            <v>36380.701951237126</v>
          </cell>
          <cell r="O180">
            <v>46980.701951237133</v>
          </cell>
          <cell r="P180">
            <v>53550</v>
          </cell>
          <cell r="Q180">
            <v>82275</v>
          </cell>
          <cell r="R180">
            <v>0</v>
          </cell>
          <cell r="S180">
            <v>43430.701951237126</v>
          </cell>
          <cell r="T180">
            <v>0</v>
          </cell>
          <cell r="U180">
            <v>55400</v>
          </cell>
          <cell r="V180">
            <v>0</v>
          </cell>
          <cell r="Y180">
            <v>27987.5</v>
          </cell>
          <cell r="Z180">
            <v>0</v>
          </cell>
          <cell r="AA180">
            <v>59899.999999999993</v>
          </cell>
          <cell r="AB180">
            <v>51930.701951237119</v>
          </cell>
          <cell r="AC180">
            <v>61500</v>
          </cell>
          <cell r="AD180">
            <v>89475</v>
          </cell>
          <cell r="AE180">
            <v>59449.999999999993</v>
          </cell>
          <cell r="AF180">
            <v>59599.999999999993</v>
          </cell>
          <cell r="AG180">
            <v>30200</v>
          </cell>
          <cell r="AH180">
            <v>45820.62297809837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U180">
            <v>11250</v>
          </cell>
        </row>
        <row r="181">
          <cell r="B181">
            <v>38428</v>
          </cell>
          <cell r="C181">
            <v>3</v>
          </cell>
          <cell r="D181">
            <v>16</v>
          </cell>
          <cell r="E181">
            <v>167</v>
          </cell>
          <cell r="F181">
            <v>1988255.0794298919</v>
          </cell>
          <cell r="G181">
            <v>7000</v>
          </cell>
          <cell r="H181">
            <v>6420.5720000000001</v>
          </cell>
          <cell r="I181">
            <v>94361.403902474252</v>
          </cell>
          <cell r="J181">
            <v>44775</v>
          </cell>
          <cell r="K181">
            <v>45700.000000000007</v>
          </cell>
          <cell r="L181">
            <v>36680.701951237126</v>
          </cell>
          <cell r="M181">
            <v>37080.701951237126</v>
          </cell>
          <cell r="N181">
            <v>36380.701951237126</v>
          </cell>
          <cell r="O181">
            <v>46980.701951237133</v>
          </cell>
          <cell r="P181">
            <v>53550</v>
          </cell>
          <cell r="Q181">
            <v>82275</v>
          </cell>
          <cell r="R181">
            <v>0</v>
          </cell>
          <cell r="S181">
            <v>43430.701951237126</v>
          </cell>
          <cell r="T181">
            <v>0</v>
          </cell>
          <cell r="U181">
            <v>55400</v>
          </cell>
          <cell r="V181">
            <v>0</v>
          </cell>
          <cell r="Y181">
            <v>27987.5</v>
          </cell>
          <cell r="Z181">
            <v>0</v>
          </cell>
          <cell r="AA181">
            <v>59899.999999999993</v>
          </cell>
          <cell r="AB181">
            <v>51930.701951237119</v>
          </cell>
          <cell r="AC181">
            <v>61500</v>
          </cell>
          <cell r="AD181">
            <v>89475</v>
          </cell>
          <cell r="AE181">
            <v>59449.999999999993</v>
          </cell>
          <cell r="AF181">
            <v>59599.999999999993</v>
          </cell>
          <cell r="AG181">
            <v>30200</v>
          </cell>
          <cell r="AH181">
            <v>21033.283175913017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U181">
            <v>11250</v>
          </cell>
        </row>
        <row r="182">
          <cell r="B182">
            <v>38429</v>
          </cell>
          <cell r="C182">
            <v>3</v>
          </cell>
          <cell r="D182">
            <v>17</v>
          </cell>
          <cell r="E182">
            <v>168</v>
          </cell>
          <cell r="F182">
            <v>1874718.6322312139</v>
          </cell>
          <cell r="G182">
            <v>7000</v>
          </cell>
          <cell r="H182">
            <v>6420.5720000000001</v>
          </cell>
          <cell r="I182">
            <v>94361.403902474252</v>
          </cell>
          <cell r="J182">
            <v>44775</v>
          </cell>
          <cell r="K182">
            <v>45700.000000000007</v>
          </cell>
          <cell r="L182">
            <v>36680.701951237126</v>
          </cell>
          <cell r="M182">
            <v>37080.701951237126</v>
          </cell>
          <cell r="N182">
            <v>36380.701951237126</v>
          </cell>
          <cell r="O182">
            <v>46980.701951237133</v>
          </cell>
          <cell r="P182">
            <v>53550</v>
          </cell>
          <cell r="Q182">
            <v>82275</v>
          </cell>
          <cell r="R182">
            <v>0</v>
          </cell>
          <cell r="S182">
            <v>43430.701951237126</v>
          </cell>
          <cell r="T182">
            <v>0</v>
          </cell>
          <cell r="U182">
            <v>55400</v>
          </cell>
          <cell r="V182">
            <v>0</v>
          </cell>
          <cell r="Y182">
            <v>27987.5</v>
          </cell>
          <cell r="Z182">
            <v>0</v>
          </cell>
          <cell r="AA182">
            <v>59899.999999999993</v>
          </cell>
          <cell r="AB182">
            <v>51930.701951237119</v>
          </cell>
          <cell r="AC182">
            <v>61500</v>
          </cell>
          <cell r="AD182">
            <v>89475</v>
          </cell>
          <cell r="AE182">
            <v>59449.999999999993</v>
          </cell>
          <cell r="AF182">
            <v>41917.316855669422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U182">
            <v>11250</v>
          </cell>
        </row>
        <row r="183">
          <cell r="B183">
            <v>38430</v>
          </cell>
          <cell r="C183">
            <v>3</v>
          </cell>
          <cell r="D183">
            <v>18</v>
          </cell>
          <cell r="E183">
            <v>169</v>
          </cell>
          <cell r="F183">
            <v>2029425.43203736</v>
          </cell>
          <cell r="G183">
            <v>639676</v>
          </cell>
          <cell r="H183">
            <v>6420.5720000000001</v>
          </cell>
          <cell r="I183">
            <v>94361.403902474252</v>
          </cell>
          <cell r="J183">
            <v>44775</v>
          </cell>
          <cell r="K183">
            <v>45700.000000000007</v>
          </cell>
          <cell r="L183">
            <v>36680.701951237126</v>
          </cell>
          <cell r="M183">
            <v>37080.701951237126</v>
          </cell>
          <cell r="N183">
            <v>36380.701951237126</v>
          </cell>
          <cell r="O183">
            <v>46980.701951237133</v>
          </cell>
          <cell r="P183">
            <v>53550</v>
          </cell>
          <cell r="Q183">
            <v>82275</v>
          </cell>
          <cell r="R183">
            <v>0</v>
          </cell>
          <cell r="S183">
            <v>43430.701951237126</v>
          </cell>
          <cell r="T183">
            <v>0</v>
          </cell>
          <cell r="U183">
            <v>55400</v>
          </cell>
          <cell r="V183">
            <v>0</v>
          </cell>
          <cell r="Y183">
            <v>27987.5</v>
          </cell>
          <cell r="Z183">
            <v>0</v>
          </cell>
          <cell r="AA183">
            <v>59899.999999999993</v>
          </cell>
          <cell r="AB183">
            <v>51930.701951237119</v>
          </cell>
          <cell r="AC183">
            <v>61500</v>
          </cell>
          <cell r="AD183">
            <v>89475</v>
          </cell>
          <cell r="AE183">
            <v>59449.999999999993</v>
          </cell>
          <cell r="AF183">
            <v>59599.999999999993</v>
          </cell>
          <cell r="AG183">
            <v>30200</v>
          </cell>
          <cell r="AH183">
            <v>45820.62297809837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U183">
            <v>11250</v>
          </cell>
        </row>
        <row r="184">
          <cell r="B184">
            <v>38431</v>
          </cell>
          <cell r="C184">
            <v>3</v>
          </cell>
          <cell r="D184">
            <v>19</v>
          </cell>
          <cell r="E184">
            <v>170</v>
          </cell>
          <cell r="F184">
            <v>2029425.43203736</v>
          </cell>
          <cell r="G184">
            <v>567286</v>
          </cell>
          <cell r="H184">
            <v>6420.5720000000001</v>
          </cell>
          <cell r="I184">
            <v>94361.403902474252</v>
          </cell>
          <cell r="J184">
            <v>44775</v>
          </cell>
          <cell r="K184">
            <v>45700.000000000007</v>
          </cell>
          <cell r="L184">
            <v>36680.701951237126</v>
          </cell>
          <cell r="M184">
            <v>37080.701951237126</v>
          </cell>
          <cell r="N184">
            <v>36380.701951237126</v>
          </cell>
          <cell r="O184">
            <v>46980.701951237133</v>
          </cell>
          <cell r="P184">
            <v>53550</v>
          </cell>
          <cell r="Q184">
            <v>82275</v>
          </cell>
          <cell r="R184">
            <v>0</v>
          </cell>
          <cell r="S184">
            <v>43430.701951237126</v>
          </cell>
          <cell r="T184">
            <v>0</v>
          </cell>
          <cell r="U184">
            <v>55400</v>
          </cell>
          <cell r="V184">
            <v>0</v>
          </cell>
          <cell r="Y184">
            <v>27987.5</v>
          </cell>
          <cell r="Z184">
            <v>0</v>
          </cell>
          <cell r="AA184">
            <v>59899.999999999993</v>
          </cell>
          <cell r="AB184">
            <v>51930.701951237119</v>
          </cell>
          <cell r="AC184">
            <v>61500</v>
          </cell>
          <cell r="AD184">
            <v>89475</v>
          </cell>
          <cell r="AE184">
            <v>59449.999999999993</v>
          </cell>
          <cell r="AF184">
            <v>59599.999999999993</v>
          </cell>
          <cell r="AG184">
            <v>30200</v>
          </cell>
          <cell r="AH184">
            <v>45820.62297809837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U184">
            <v>11250</v>
          </cell>
        </row>
        <row r="185">
          <cell r="B185">
            <v>38432</v>
          </cell>
          <cell r="C185">
            <v>3</v>
          </cell>
          <cell r="D185">
            <v>20</v>
          </cell>
          <cell r="E185">
            <v>171</v>
          </cell>
          <cell r="F185">
            <v>1826809.352418246</v>
          </cell>
          <cell r="G185">
            <v>7000</v>
          </cell>
          <cell r="H185">
            <v>6420.5720000000001</v>
          </cell>
          <cell r="I185">
            <v>94361.403902474252</v>
          </cell>
          <cell r="J185">
            <v>44775</v>
          </cell>
          <cell r="K185">
            <v>45700.000000000007</v>
          </cell>
          <cell r="L185">
            <v>36680.701951237126</v>
          </cell>
          <cell r="M185">
            <v>37080.701951237126</v>
          </cell>
          <cell r="N185">
            <v>36380.701951237126</v>
          </cell>
          <cell r="O185">
            <v>46980.701951237133</v>
          </cell>
          <cell r="P185">
            <v>53550</v>
          </cell>
          <cell r="Q185">
            <v>82275</v>
          </cell>
          <cell r="R185">
            <v>0</v>
          </cell>
          <cell r="S185">
            <v>43430.701951237126</v>
          </cell>
          <cell r="T185">
            <v>0</v>
          </cell>
          <cell r="U185">
            <v>55400</v>
          </cell>
          <cell r="V185">
            <v>0</v>
          </cell>
          <cell r="Y185">
            <v>27987.5</v>
          </cell>
          <cell r="Z185">
            <v>0</v>
          </cell>
          <cell r="AA185">
            <v>59899.999999999993</v>
          </cell>
          <cell r="AB185">
            <v>51930.701951237119</v>
          </cell>
          <cell r="AC185">
            <v>61500</v>
          </cell>
          <cell r="AD185">
            <v>89475</v>
          </cell>
          <cell r="AE185">
            <v>59449.999999999993</v>
          </cell>
          <cell r="AF185">
            <v>12975.566634172515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U185">
            <v>11250</v>
          </cell>
        </row>
        <row r="186">
          <cell r="B186">
            <v>38433</v>
          </cell>
          <cell r="C186">
            <v>3</v>
          </cell>
          <cell r="D186">
            <v>21</v>
          </cell>
          <cell r="E186">
            <v>172</v>
          </cell>
          <cell r="F186">
            <v>1367962.28833306</v>
          </cell>
          <cell r="G186">
            <v>7000</v>
          </cell>
          <cell r="H186">
            <v>6420.5720000000001</v>
          </cell>
          <cell r="I186">
            <v>94361.403902474252</v>
          </cell>
          <cell r="J186">
            <v>44775</v>
          </cell>
          <cell r="K186">
            <v>45700.000000000007</v>
          </cell>
          <cell r="L186">
            <v>36680.701951237126</v>
          </cell>
          <cell r="M186">
            <v>37080.701951237126</v>
          </cell>
          <cell r="N186">
            <v>36380.701951237126</v>
          </cell>
          <cell r="O186">
            <v>46980.701951237133</v>
          </cell>
          <cell r="P186">
            <v>53550</v>
          </cell>
          <cell r="Q186">
            <v>82275</v>
          </cell>
          <cell r="R186">
            <v>0</v>
          </cell>
          <cell r="S186">
            <v>43430.701951237126</v>
          </cell>
          <cell r="T186">
            <v>0</v>
          </cell>
          <cell r="U186">
            <v>55400</v>
          </cell>
          <cell r="V186">
            <v>0</v>
          </cell>
          <cell r="Y186">
            <v>27987.5</v>
          </cell>
          <cell r="Z186">
            <v>0</v>
          </cell>
          <cell r="AA186">
            <v>59899.999999999993</v>
          </cell>
          <cell r="AB186">
            <v>2132.5604211456002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U186">
            <v>11250</v>
          </cell>
        </row>
        <row r="187">
          <cell r="B187">
            <v>38434</v>
          </cell>
          <cell r="C187">
            <v>3</v>
          </cell>
          <cell r="D187">
            <v>22</v>
          </cell>
          <cell r="E187">
            <v>173</v>
          </cell>
          <cell r="F187">
            <v>1371886.8398656261</v>
          </cell>
          <cell r="G187">
            <v>7000</v>
          </cell>
          <cell r="H187">
            <v>6420.5720000000001</v>
          </cell>
          <cell r="I187">
            <v>94361.403902474252</v>
          </cell>
          <cell r="J187">
            <v>44775</v>
          </cell>
          <cell r="K187">
            <v>45700.000000000007</v>
          </cell>
          <cell r="L187">
            <v>36680.701951237126</v>
          </cell>
          <cell r="M187">
            <v>37080.701951237126</v>
          </cell>
          <cell r="N187">
            <v>36380.701951237126</v>
          </cell>
          <cell r="O187">
            <v>46980.701951237133</v>
          </cell>
          <cell r="P187">
            <v>53550</v>
          </cell>
          <cell r="Q187">
            <v>82275</v>
          </cell>
          <cell r="R187">
            <v>0</v>
          </cell>
          <cell r="S187">
            <v>43430.701951237126</v>
          </cell>
          <cell r="T187">
            <v>0</v>
          </cell>
          <cell r="U187">
            <v>55400</v>
          </cell>
          <cell r="V187">
            <v>0</v>
          </cell>
          <cell r="Y187">
            <v>27987.5</v>
          </cell>
          <cell r="Z187">
            <v>0</v>
          </cell>
          <cell r="AA187">
            <v>59899.999999999993</v>
          </cell>
          <cell r="AB187">
            <v>4255.5262120826837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U187">
            <v>11250</v>
          </cell>
        </row>
        <row r="188">
          <cell r="B188">
            <v>38435</v>
          </cell>
          <cell r="C188">
            <v>3</v>
          </cell>
          <cell r="D188">
            <v>23</v>
          </cell>
          <cell r="E188">
            <v>174</v>
          </cell>
          <cell r="F188">
            <v>1555675.854411952</v>
          </cell>
          <cell r="G188">
            <v>7000</v>
          </cell>
          <cell r="H188">
            <v>6420.5720000000001</v>
          </cell>
          <cell r="I188">
            <v>94361.403902474252</v>
          </cell>
          <cell r="J188">
            <v>44775</v>
          </cell>
          <cell r="K188">
            <v>45700.000000000007</v>
          </cell>
          <cell r="L188">
            <v>36680.701951237126</v>
          </cell>
          <cell r="M188">
            <v>37080.701951237126</v>
          </cell>
          <cell r="N188">
            <v>36380.701951237126</v>
          </cell>
          <cell r="O188">
            <v>46980.701951237133</v>
          </cell>
          <cell r="P188">
            <v>53550</v>
          </cell>
          <cell r="Q188">
            <v>82275</v>
          </cell>
          <cell r="R188">
            <v>0</v>
          </cell>
          <cell r="S188">
            <v>43430.701951237126</v>
          </cell>
          <cell r="T188">
            <v>0</v>
          </cell>
          <cell r="U188">
            <v>55400</v>
          </cell>
          <cell r="V188">
            <v>0</v>
          </cell>
          <cell r="Y188">
            <v>27987.5</v>
          </cell>
          <cell r="Z188">
            <v>0</v>
          </cell>
          <cell r="AA188">
            <v>59899.999999999993</v>
          </cell>
          <cell r="AB188">
            <v>51930.701951237119</v>
          </cell>
          <cell r="AC188">
            <v>59627.357047790858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U188">
            <v>11250</v>
          </cell>
        </row>
        <row r="189">
          <cell r="B189">
            <v>38436</v>
          </cell>
          <cell r="C189">
            <v>3</v>
          </cell>
          <cell r="D189">
            <v>24</v>
          </cell>
          <cell r="E189">
            <v>175</v>
          </cell>
          <cell r="F189">
            <v>2029425.43203736</v>
          </cell>
          <cell r="G189">
            <v>119784</v>
          </cell>
          <cell r="H189">
            <v>6420.5720000000001</v>
          </cell>
          <cell r="I189">
            <v>94361.403902474252</v>
          </cell>
          <cell r="J189">
            <v>44775</v>
          </cell>
          <cell r="K189">
            <v>45700.000000000007</v>
          </cell>
          <cell r="L189">
            <v>36680.701951237126</v>
          </cell>
          <cell r="M189">
            <v>37080.701951237126</v>
          </cell>
          <cell r="N189">
            <v>36380.701951237126</v>
          </cell>
          <cell r="O189">
            <v>46980.701951237133</v>
          </cell>
          <cell r="P189">
            <v>53550</v>
          </cell>
          <cell r="Q189">
            <v>82275</v>
          </cell>
          <cell r="R189">
            <v>0</v>
          </cell>
          <cell r="S189">
            <v>43430.701951237126</v>
          </cell>
          <cell r="T189">
            <v>0</v>
          </cell>
          <cell r="U189">
            <v>55400</v>
          </cell>
          <cell r="V189">
            <v>0</v>
          </cell>
          <cell r="Y189">
            <v>27987.5</v>
          </cell>
          <cell r="Z189">
            <v>0</v>
          </cell>
          <cell r="AA189">
            <v>59899.999999999993</v>
          </cell>
          <cell r="AB189">
            <v>51930.701951237119</v>
          </cell>
          <cell r="AC189">
            <v>61500</v>
          </cell>
          <cell r="AD189">
            <v>89475</v>
          </cell>
          <cell r="AE189">
            <v>59449.999999999993</v>
          </cell>
          <cell r="AF189">
            <v>59599.999999999993</v>
          </cell>
          <cell r="AG189">
            <v>30200</v>
          </cell>
          <cell r="AH189">
            <v>45820.62297809837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U189">
            <v>11250</v>
          </cell>
        </row>
        <row r="190">
          <cell r="B190">
            <v>38437</v>
          </cell>
          <cell r="C190">
            <v>3</v>
          </cell>
          <cell r="D190">
            <v>25</v>
          </cell>
          <cell r="E190">
            <v>176</v>
          </cell>
          <cell r="F190">
            <v>2029425.43203736</v>
          </cell>
          <cell r="G190">
            <v>795440</v>
          </cell>
          <cell r="H190">
            <v>6420.5720000000001</v>
          </cell>
          <cell r="I190">
            <v>94361.403902474252</v>
          </cell>
          <cell r="J190">
            <v>44775</v>
          </cell>
          <cell r="K190">
            <v>45700.000000000007</v>
          </cell>
          <cell r="L190">
            <v>36680.701951237126</v>
          </cell>
          <cell r="M190">
            <v>37080.701951237126</v>
          </cell>
          <cell r="N190">
            <v>36380.701951237126</v>
          </cell>
          <cell r="O190">
            <v>46980.701951237133</v>
          </cell>
          <cell r="P190">
            <v>53550</v>
          </cell>
          <cell r="Q190">
            <v>82275</v>
          </cell>
          <cell r="R190">
            <v>0</v>
          </cell>
          <cell r="S190">
            <v>43430.701951237126</v>
          </cell>
          <cell r="T190">
            <v>0</v>
          </cell>
          <cell r="U190">
            <v>55400</v>
          </cell>
          <cell r="V190">
            <v>0</v>
          </cell>
          <cell r="Y190">
            <v>27987.5</v>
          </cell>
          <cell r="Z190">
            <v>0</v>
          </cell>
          <cell r="AA190">
            <v>59899.999999999993</v>
          </cell>
          <cell r="AB190">
            <v>51930.701951237119</v>
          </cell>
          <cell r="AC190">
            <v>61500</v>
          </cell>
          <cell r="AD190">
            <v>89475</v>
          </cell>
          <cell r="AE190">
            <v>59449.999999999993</v>
          </cell>
          <cell r="AF190">
            <v>59599.999999999993</v>
          </cell>
          <cell r="AG190">
            <v>30200</v>
          </cell>
          <cell r="AH190">
            <v>45820.62297809837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U190">
            <v>11250</v>
          </cell>
        </row>
        <row r="191">
          <cell r="B191">
            <v>38438</v>
          </cell>
          <cell r="C191">
            <v>3</v>
          </cell>
          <cell r="D191">
            <v>26</v>
          </cell>
          <cell r="E191">
            <v>177</v>
          </cell>
          <cell r="F191">
            <v>2029425.43203736</v>
          </cell>
          <cell r="G191">
            <v>813253</v>
          </cell>
          <cell r="H191">
            <v>6420.5720000000001</v>
          </cell>
          <cell r="I191">
            <v>94361.403902474252</v>
          </cell>
          <cell r="J191">
            <v>44775</v>
          </cell>
          <cell r="K191">
            <v>45700.000000000007</v>
          </cell>
          <cell r="L191">
            <v>36680.701951237126</v>
          </cell>
          <cell r="M191">
            <v>37080.701951237126</v>
          </cell>
          <cell r="N191">
            <v>36380.701951237126</v>
          </cell>
          <cell r="O191">
            <v>46980.701951237133</v>
          </cell>
          <cell r="P191">
            <v>53550</v>
          </cell>
          <cell r="Q191">
            <v>82275</v>
          </cell>
          <cell r="R191">
            <v>0</v>
          </cell>
          <cell r="S191">
            <v>43430.701951237126</v>
          </cell>
          <cell r="T191">
            <v>0</v>
          </cell>
          <cell r="U191">
            <v>55400</v>
          </cell>
          <cell r="V191">
            <v>0</v>
          </cell>
          <cell r="Y191">
            <v>27987.5</v>
          </cell>
          <cell r="Z191">
            <v>0</v>
          </cell>
          <cell r="AA191">
            <v>59899.999999999993</v>
          </cell>
          <cell r="AB191">
            <v>51930.701951237119</v>
          </cell>
          <cell r="AC191">
            <v>61500</v>
          </cell>
          <cell r="AD191">
            <v>89475</v>
          </cell>
          <cell r="AE191">
            <v>59449.999999999993</v>
          </cell>
          <cell r="AF191">
            <v>59599.999999999993</v>
          </cell>
          <cell r="AG191">
            <v>30200</v>
          </cell>
          <cell r="AH191">
            <v>45820.62297809837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U191">
            <v>11250</v>
          </cell>
        </row>
        <row r="192">
          <cell r="B192">
            <v>38439</v>
          </cell>
          <cell r="C192">
            <v>3</v>
          </cell>
          <cell r="D192">
            <v>27</v>
          </cell>
          <cell r="E192">
            <v>178</v>
          </cell>
          <cell r="F192">
            <v>2029425.43203736</v>
          </cell>
          <cell r="G192">
            <v>157880</v>
          </cell>
          <cell r="H192">
            <v>6420.5720000000001</v>
          </cell>
          <cell r="I192">
            <v>94361.403902474252</v>
          </cell>
          <cell r="J192">
            <v>44775</v>
          </cell>
          <cell r="K192">
            <v>45700.000000000007</v>
          </cell>
          <cell r="L192">
            <v>36680.701951237126</v>
          </cell>
          <cell r="M192">
            <v>37080.701951237126</v>
          </cell>
          <cell r="N192">
            <v>36380.701951237126</v>
          </cell>
          <cell r="O192">
            <v>46980.701951237133</v>
          </cell>
          <cell r="P192">
            <v>53550</v>
          </cell>
          <cell r="Q192">
            <v>82275</v>
          </cell>
          <cell r="R192">
            <v>0</v>
          </cell>
          <cell r="S192">
            <v>43430.701951237126</v>
          </cell>
          <cell r="T192">
            <v>0</v>
          </cell>
          <cell r="U192">
            <v>55400</v>
          </cell>
          <cell r="V192">
            <v>0</v>
          </cell>
          <cell r="Y192">
            <v>27987.5</v>
          </cell>
          <cell r="Z192">
            <v>0</v>
          </cell>
          <cell r="AA192">
            <v>59899.999999999993</v>
          </cell>
          <cell r="AB192">
            <v>51930.701951237119</v>
          </cell>
          <cell r="AC192">
            <v>61500</v>
          </cell>
          <cell r="AD192">
            <v>89475</v>
          </cell>
          <cell r="AE192">
            <v>59449.999999999993</v>
          </cell>
          <cell r="AF192">
            <v>59599.999999999993</v>
          </cell>
          <cell r="AG192">
            <v>30200</v>
          </cell>
          <cell r="AH192">
            <v>45820.62297809837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U192">
            <v>11250</v>
          </cell>
        </row>
        <row r="193">
          <cell r="B193">
            <v>38440</v>
          </cell>
          <cell r="C193">
            <v>3</v>
          </cell>
          <cell r="D193">
            <v>28</v>
          </cell>
          <cell r="E193">
            <v>179</v>
          </cell>
          <cell r="F193">
            <v>1738377.6553691239</v>
          </cell>
          <cell r="G193">
            <v>7000</v>
          </cell>
          <cell r="H193">
            <v>6420.5720000000001</v>
          </cell>
          <cell r="I193">
            <v>94361.403902474252</v>
          </cell>
          <cell r="J193">
            <v>44775</v>
          </cell>
          <cell r="K193">
            <v>45700.000000000007</v>
          </cell>
          <cell r="L193">
            <v>36680.701951237126</v>
          </cell>
          <cell r="M193">
            <v>37080.701951237126</v>
          </cell>
          <cell r="N193">
            <v>36380.701951237126</v>
          </cell>
          <cell r="O193">
            <v>46980.701951237133</v>
          </cell>
          <cell r="P193">
            <v>53550</v>
          </cell>
          <cell r="Q193">
            <v>82275</v>
          </cell>
          <cell r="R193">
            <v>0</v>
          </cell>
          <cell r="S193">
            <v>43430.701951237126</v>
          </cell>
          <cell r="T193">
            <v>0</v>
          </cell>
          <cell r="U193">
            <v>55400</v>
          </cell>
          <cell r="V193">
            <v>0</v>
          </cell>
          <cell r="Y193">
            <v>27987.5</v>
          </cell>
          <cell r="Z193">
            <v>0</v>
          </cell>
          <cell r="AA193">
            <v>59899.999999999993</v>
          </cell>
          <cell r="AB193">
            <v>51930.701951237119</v>
          </cell>
          <cell r="AC193">
            <v>61500</v>
          </cell>
          <cell r="AD193">
            <v>89475</v>
          </cell>
          <cell r="AE193">
            <v>19106.224525587029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U193">
            <v>11250</v>
          </cell>
        </row>
        <row r="194">
          <cell r="B194">
            <v>38441</v>
          </cell>
          <cell r="C194">
            <v>3</v>
          </cell>
          <cell r="D194">
            <v>29</v>
          </cell>
          <cell r="E194">
            <v>180</v>
          </cell>
          <cell r="F194">
            <v>1402360.76786869</v>
          </cell>
          <cell r="G194">
            <v>7000</v>
          </cell>
          <cell r="H194">
            <v>6420.5720000000001</v>
          </cell>
          <cell r="I194">
            <v>94361.403902474252</v>
          </cell>
          <cell r="J194">
            <v>44775</v>
          </cell>
          <cell r="K194">
            <v>45700.000000000007</v>
          </cell>
          <cell r="L194">
            <v>36680.701951237126</v>
          </cell>
          <cell r="M194">
            <v>37080.701951237126</v>
          </cell>
          <cell r="N194">
            <v>36380.701951237126</v>
          </cell>
          <cell r="O194">
            <v>46980.701951237133</v>
          </cell>
          <cell r="P194">
            <v>53550</v>
          </cell>
          <cell r="Q194">
            <v>82275</v>
          </cell>
          <cell r="R194">
            <v>0</v>
          </cell>
          <cell r="S194">
            <v>43430.701951237126</v>
          </cell>
          <cell r="T194">
            <v>0</v>
          </cell>
          <cell r="U194">
            <v>55400</v>
          </cell>
          <cell r="V194">
            <v>0</v>
          </cell>
          <cell r="Y194">
            <v>27987.5</v>
          </cell>
          <cell r="Z194">
            <v>0</v>
          </cell>
          <cell r="AA194">
            <v>59899.999999999993</v>
          </cell>
          <cell r="AB194">
            <v>20740.23946635945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U194">
            <v>11250</v>
          </cell>
        </row>
        <row r="195">
          <cell r="B195">
            <v>38442</v>
          </cell>
          <cell r="C195">
            <v>3</v>
          </cell>
          <cell r="D195">
            <v>30</v>
          </cell>
          <cell r="E195">
            <v>181</v>
          </cell>
          <cell r="F195">
            <v>2029425.43203736</v>
          </cell>
          <cell r="G195">
            <v>455567</v>
          </cell>
          <cell r="H195">
            <v>6420.5720000000001</v>
          </cell>
          <cell r="I195">
            <v>94361.403902474252</v>
          </cell>
          <cell r="J195">
            <v>44775</v>
          </cell>
          <cell r="K195">
            <v>45700.000000000007</v>
          </cell>
          <cell r="L195">
            <v>36680.701951237126</v>
          </cell>
          <cell r="M195">
            <v>37080.701951237126</v>
          </cell>
          <cell r="N195">
            <v>36380.701951237126</v>
          </cell>
          <cell r="O195">
            <v>46980.701951237133</v>
          </cell>
          <cell r="P195">
            <v>53550</v>
          </cell>
          <cell r="Q195">
            <v>82275</v>
          </cell>
          <cell r="R195">
            <v>0</v>
          </cell>
          <cell r="S195">
            <v>43430.701951237126</v>
          </cell>
          <cell r="T195">
            <v>0</v>
          </cell>
          <cell r="U195">
            <v>55400</v>
          </cell>
          <cell r="V195">
            <v>0</v>
          </cell>
          <cell r="Y195">
            <v>27987.5</v>
          </cell>
          <cell r="Z195">
            <v>0</v>
          </cell>
          <cell r="AA195">
            <v>59899.999999999993</v>
          </cell>
          <cell r="AB195">
            <v>51930.701951237119</v>
          </cell>
          <cell r="AC195">
            <v>61500</v>
          </cell>
          <cell r="AD195">
            <v>89475</v>
          </cell>
          <cell r="AE195">
            <v>59449.999999999993</v>
          </cell>
          <cell r="AF195">
            <v>59599.999999999993</v>
          </cell>
          <cell r="AG195">
            <v>30200</v>
          </cell>
          <cell r="AH195">
            <v>45820.62297809837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U195">
            <v>11250</v>
          </cell>
        </row>
        <row r="196">
          <cell r="B196">
            <v>38443</v>
          </cell>
          <cell r="C196">
            <v>3</v>
          </cell>
          <cell r="D196">
            <v>31</v>
          </cell>
          <cell r="E196">
            <v>182</v>
          </cell>
          <cell r="F196">
            <v>2029425.43203736</v>
          </cell>
          <cell r="G196">
            <v>750819</v>
          </cell>
          <cell r="H196">
            <v>6420.5720000000001</v>
          </cell>
          <cell r="I196">
            <v>94361.403902474252</v>
          </cell>
          <cell r="J196">
            <v>44775</v>
          </cell>
          <cell r="K196">
            <v>45700.000000000007</v>
          </cell>
          <cell r="L196">
            <v>36680.701951237126</v>
          </cell>
          <cell r="M196">
            <v>37080.701951237126</v>
          </cell>
          <cell r="N196">
            <v>36380.701951237126</v>
          </cell>
          <cell r="O196">
            <v>46980.701951237133</v>
          </cell>
          <cell r="P196">
            <v>53550</v>
          </cell>
          <cell r="Q196">
            <v>82275</v>
          </cell>
          <cell r="R196">
            <v>0</v>
          </cell>
          <cell r="S196">
            <v>43430.701951237126</v>
          </cell>
          <cell r="T196">
            <v>0</v>
          </cell>
          <cell r="U196">
            <v>55400</v>
          </cell>
          <cell r="V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27050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U196">
            <v>0</v>
          </cell>
        </row>
        <row r="197">
          <cell r="B197">
            <v>38444</v>
          </cell>
          <cell r="C197">
            <v>4</v>
          </cell>
          <cell r="D197">
            <v>1</v>
          </cell>
          <cell r="E197">
            <v>183</v>
          </cell>
          <cell r="F197">
            <v>1413551.3804681639</v>
          </cell>
          <cell r="G197">
            <v>1118738</v>
          </cell>
          <cell r="H197">
            <v>6420.5720000000001</v>
          </cell>
          <cell r="I197">
            <v>94361.403902474252</v>
          </cell>
          <cell r="J197">
            <v>44775</v>
          </cell>
          <cell r="K197">
            <v>45700.000000000007</v>
          </cell>
          <cell r="L197">
            <v>36680.701951237126</v>
          </cell>
          <cell r="M197">
            <v>37080.701951237126</v>
          </cell>
          <cell r="N197">
            <v>36380.701951237126</v>
          </cell>
          <cell r="O197">
            <v>46980.701951237133</v>
          </cell>
          <cell r="P197">
            <v>53550</v>
          </cell>
          <cell r="Q197">
            <v>82275</v>
          </cell>
          <cell r="R197">
            <v>0</v>
          </cell>
          <cell r="S197">
            <v>43430.701951237126</v>
          </cell>
          <cell r="T197">
            <v>0</v>
          </cell>
          <cell r="U197">
            <v>55400</v>
          </cell>
          <cell r="V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27050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U197">
            <v>0</v>
          </cell>
        </row>
        <row r="198">
          <cell r="B198">
            <v>38445</v>
          </cell>
          <cell r="C198">
            <v>4</v>
          </cell>
          <cell r="D198">
            <v>2</v>
          </cell>
          <cell r="E198">
            <v>184</v>
          </cell>
          <cell r="F198">
            <v>1266608.8231623399</v>
          </cell>
          <cell r="G198">
            <v>413492</v>
          </cell>
          <cell r="H198">
            <v>6420.5720000000001</v>
          </cell>
          <cell r="I198">
            <v>94361.403902474252</v>
          </cell>
          <cell r="J198">
            <v>44775</v>
          </cell>
          <cell r="K198">
            <v>45700.000000000007</v>
          </cell>
          <cell r="L198">
            <v>36680.701951237126</v>
          </cell>
          <cell r="M198">
            <v>37080.701951237126</v>
          </cell>
          <cell r="N198">
            <v>36380.701951237126</v>
          </cell>
          <cell r="O198">
            <v>46980.701951237133</v>
          </cell>
          <cell r="P198">
            <v>53550</v>
          </cell>
          <cell r="Q198">
            <v>82275</v>
          </cell>
          <cell r="R198">
            <v>0</v>
          </cell>
          <cell r="S198">
            <v>43430.701951237126</v>
          </cell>
          <cell r="T198">
            <v>0</v>
          </cell>
          <cell r="U198">
            <v>55400</v>
          </cell>
          <cell r="V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26089.745926237447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U198">
            <v>0</v>
          </cell>
        </row>
        <row r="199">
          <cell r="B199">
            <v>38446</v>
          </cell>
          <cell r="C199">
            <v>4</v>
          </cell>
          <cell r="D199">
            <v>3</v>
          </cell>
          <cell r="E199">
            <v>185</v>
          </cell>
          <cell r="F199">
            <v>1227387.2684667439</v>
          </cell>
          <cell r="G199">
            <v>7000</v>
          </cell>
          <cell r="H199">
            <v>6420.5720000000001</v>
          </cell>
          <cell r="I199">
            <v>94361.403902474252</v>
          </cell>
          <cell r="J199">
            <v>44775</v>
          </cell>
          <cell r="K199">
            <v>45700.000000000007</v>
          </cell>
          <cell r="L199">
            <v>36680.701951237126</v>
          </cell>
          <cell r="M199">
            <v>37080.701951237126</v>
          </cell>
          <cell r="N199">
            <v>36380.701951237126</v>
          </cell>
          <cell r="O199">
            <v>46980.701951237133</v>
          </cell>
          <cell r="P199">
            <v>53550</v>
          </cell>
          <cell r="Q199">
            <v>82275</v>
          </cell>
          <cell r="R199">
            <v>0</v>
          </cell>
          <cell r="S199">
            <v>43430.701951237126</v>
          </cell>
          <cell r="T199">
            <v>0</v>
          </cell>
          <cell r="U199">
            <v>55400</v>
          </cell>
          <cell r="V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4582.6902903997925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U199">
            <v>0</v>
          </cell>
        </row>
        <row r="200">
          <cell r="B200">
            <v>38447</v>
          </cell>
          <cell r="C200">
            <v>4</v>
          </cell>
          <cell r="D200">
            <v>4</v>
          </cell>
          <cell r="E200">
            <v>186</v>
          </cell>
          <cell r="F200">
            <v>1266608.8231623399</v>
          </cell>
          <cell r="G200">
            <v>407237</v>
          </cell>
          <cell r="H200">
            <v>6420.5720000000001</v>
          </cell>
          <cell r="I200">
            <v>94361.403902474252</v>
          </cell>
          <cell r="J200">
            <v>44775</v>
          </cell>
          <cell r="K200">
            <v>45700.000000000007</v>
          </cell>
          <cell r="L200">
            <v>36680.701951237126</v>
          </cell>
          <cell r="M200">
            <v>37080.701951237126</v>
          </cell>
          <cell r="N200">
            <v>36380.701951237126</v>
          </cell>
          <cell r="O200">
            <v>46980.701951237133</v>
          </cell>
          <cell r="P200">
            <v>53550</v>
          </cell>
          <cell r="Q200">
            <v>82275</v>
          </cell>
          <cell r="R200">
            <v>0</v>
          </cell>
          <cell r="S200">
            <v>43430.701951237126</v>
          </cell>
          <cell r="T200">
            <v>0</v>
          </cell>
          <cell r="U200">
            <v>55400</v>
          </cell>
          <cell r="V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26089.745926237447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U200">
            <v>0</v>
          </cell>
        </row>
        <row r="201">
          <cell r="B201">
            <v>38448</v>
          </cell>
          <cell r="C201">
            <v>4</v>
          </cell>
          <cell r="D201">
            <v>5</v>
          </cell>
          <cell r="E201">
            <v>187</v>
          </cell>
          <cell r="F201">
            <v>1266608.8231623399</v>
          </cell>
          <cell r="G201">
            <v>907613</v>
          </cell>
          <cell r="H201">
            <v>6420.5720000000001</v>
          </cell>
          <cell r="I201">
            <v>94361.403902474252</v>
          </cell>
          <cell r="J201">
            <v>44775</v>
          </cell>
          <cell r="K201">
            <v>45700.000000000007</v>
          </cell>
          <cell r="L201">
            <v>36680.701951237126</v>
          </cell>
          <cell r="M201">
            <v>37080.701951237126</v>
          </cell>
          <cell r="N201">
            <v>36380.701951237126</v>
          </cell>
          <cell r="O201">
            <v>46980.701951237133</v>
          </cell>
          <cell r="P201">
            <v>53550</v>
          </cell>
          <cell r="Q201">
            <v>82275</v>
          </cell>
          <cell r="R201">
            <v>0</v>
          </cell>
          <cell r="S201">
            <v>43430.701951237126</v>
          </cell>
          <cell r="T201">
            <v>0</v>
          </cell>
          <cell r="U201">
            <v>55400</v>
          </cell>
          <cell r="V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26089.745926237447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U201">
            <v>0</v>
          </cell>
        </row>
        <row r="202">
          <cell r="B202">
            <v>38449</v>
          </cell>
          <cell r="C202">
            <v>4</v>
          </cell>
          <cell r="D202">
            <v>6</v>
          </cell>
          <cell r="E202">
            <v>188</v>
          </cell>
          <cell r="F202">
            <v>1482589.942559236</v>
          </cell>
          <cell r="G202">
            <v>299396</v>
          </cell>
          <cell r="H202">
            <v>6420.5720000000001</v>
          </cell>
          <cell r="I202">
            <v>94361.403902474252</v>
          </cell>
          <cell r="J202">
            <v>44775</v>
          </cell>
          <cell r="K202">
            <v>45700.000000000007</v>
          </cell>
          <cell r="L202">
            <v>36680.701951237126</v>
          </cell>
          <cell r="M202">
            <v>37080.701951237126</v>
          </cell>
          <cell r="N202">
            <v>36380.701951237126</v>
          </cell>
          <cell r="O202">
            <v>46980.701951237133</v>
          </cell>
          <cell r="P202">
            <v>53550</v>
          </cell>
          <cell r="Q202">
            <v>82275</v>
          </cell>
          <cell r="R202">
            <v>0</v>
          </cell>
          <cell r="S202">
            <v>43430.701951237126</v>
          </cell>
          <cell r="T202">
            <v>0</v>
          </cell>
          <cell r="U202">
            <v>55400</v>
          </cell>
          <cell r="V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27050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U202">
            <v>0</v>
          </cell>
        </row>
        <row r="203">
          <cell r="B203">
            <v>38450</v>
          </cell>
          <cell r="C203">
            <v>4</v>
          </cell>
          <cell r="D203">
            <v>7</v>
          </cell>
          <cell r="E203">
            <v>189</v>
          </cell>
          <cell r="F203">
            <v>1633946.2475947659</v>
          </cell>
          <cell r="G203">
            <v>264497</v>
          </cell>
          <cell r="H203">
            <v>6420.5720000000001</v>
          </cell>
          <cell r="I203">
            <v>94361.403902474252</v>
          </cell>
          <cell r="J203">
            <v>44775</v>
          </cell>
          <cell r="K203">
            <v>45700.000000000007</v>
          </cell>
          <cell r="L203">
            <v>36680.701951237126</v>
          </cell>
          <cell r="M203">
            <v>37080.701951237126</v>
          </cell>
          <cell r="N203">
            <v>36380.701951237126</v>
          </cell>
          <cell r="O203">
            <v>46980.701951237133</v>
          </cell>
          <cell r="P203">
            <v>53550</v>
          </cell>
          <cell r="Q203">
            <v>82275</v>
          </cell>
          <cell r="R203">
            <v>0</v>
          </cell>
          <cell r="S203">
            <v>43430.701951237126</v>
          </cell>
          <cell r="T203">
            <v>0</v>
          </cell>
          <cell r="U203">
            <v>55400</v>
          </cell>
          <cell r="V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27050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U203">
            <v>0</v>
          </cell>
        </row>
        <row r="204">
          <cell r="B204">
            <v>38451</v>
          </cell>
          <cell r="C204">
            <v>4</v>
          </cell>
          <cell r="D204">
            <v>8</v>
          </cell>
          <cell r="E204">
            <v>190</v>
          </cell>
          <cell r="F204">
            <v>1693178.9218321459</v>
          </cell>
          <cell r="G204">
            <v>110196</v>
          </cell>
          <cell r="H204">
            <v>6420.5720000000001</v>
          </cell>
          <cell r="I204">
            <v>94361.403902474252</v>
          </cell>
          <cell r="J204">
            <v>44775</v>
          </cell>
          <cell r="K204">
            <v>45700.000000000007</v>
          </cell>
          <cell r="L204">
            <v>36680.701951237126</v>
          </cell>
          <cell r="M204">
            <v>37080.701951237126</v>
          </cell>
          <cell r="N204">
            <v>36380.701951237126</v>
          </cell>
          <cell r="O204">
            <v>46980.701951237133</v>
          </cell>
          <cell r="P204">
            <v>53550</v>
          </cell>
          <cell r="Q204">
            <v>82275</v>
          </cell>
          <cell r="R204">
            <v>0</v>
          </cell>
          <cell r="S204">
            <v>43430.701951237126</v>
          </cell>
          <cell r="T204">
            <v>0</v>
          </cell>
          <cell r="U204">
            <v>55400</v>
          </cell>
          <cell r="V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27050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U204">
            <v>0</v>
          </cell>
        </row>
        <row r="205">
          <cell r="B205">
            <v>38452</v>
          </cell>
          <cell r="C205">
            <v>4</v>
          </cell>
          <cell r="D205">
            <v>9</v>
          </cell>
          <cell r="E205">
            <v>191</v>
          </cell>
          <cell r="F205">
            <v>1269127.6843978181</v>
          </cell>
          <cell r="G205">
            <v>110196</v>
          </cell>
          <cell r="H205">
            <v>6420.5720000000001</v>
          </cell>
          <cell r="I205">
            <v>94361.403902474252</v>
          </cell>
          <cell r="J205">
            <v>44775</v>
          </cell>
          <cell r="K205">
            <v>45700.000000000007</v>
          </cell>
          <cell r="L205">
            <v>36680.701951237126</v>
          </cell>
          <cell r="M205">
            <v>37080.701951237126</v>
          </cell>
          <cell r="N205">
            <v>36380.701951237126</v>
          </cell>
          <cell r="O205">
            <v>46980.701951237133</v>
          </cell>
          <cell r="P205">
            <v>53550</v>
          </cell>
          <cell r="Q205">
            <v>82275</v>
          </cell>
          <cell r="R205">
            <v>0</v>
          </cell>
          <cell r="S205">
            <v>43430.701951237126</v>
          </cell>
          <cell r="T205">
            <v>0</v>
          </cell>
          <cell r="U205">
            <v>55400</v>
          </cell>
          <cell r="V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27050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U205">
            <v>0</v>
          </cell>
        </row>
        <row r="206">
          <cell r="B206">
            <v>38453</v>
          </cell>
          <cell r="C206">
            <v>4</v>
          </cell>
          <cell r="D206">
            <v>10</v>
          </cell>
          <cell r="E206">
            <v>192</v>
          </cell>
          <cell r="F206">
            <v>1099640.170920942</v>
          </cell>
          <cell r="G206">
            <v>7000</v>
          </cell>
          <cell r="H206">
            <v>5791.751549584681</v>
          </cell>
          <cell r="I206">
            <v>85119.80042792781</v>
          </cell>
          <cell r="J206">
            <v>40389.808825857588</v>
          </cell>
          <cell r="K206">
            <v>41224.215820026628</v>
          </cell>
          <cell r="L206">
            <v>33088.253253126277</v>
          </cell>
          <cell r="M206">
            <v>33449.077899253425</v>
          </cell>
          <cell r="N206">
            <v>32817.634768530916</v>
          </cell>
          <cell r="O206">
            <v>42379.487890900331</v>
          </cell>
          <cell r="P206">
            <v>48305.399500271895</v>
          </cell>
          <cell r="Q206">
            <v>74217.119400277676</v>
          </cell>
          <cell r="R206">
            <v>0</v>
          </cell>
          <cell r="S206">
            <v>39177.169156521893</v>
          </cell>
          <cell r="T206">
            <v>0</v>
          </cell>
          <cell r="U206">
            <v>45079.819743775457</v>
          </cell>
          <cell r="V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4224.0425828140051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U206">
            <v>0</v>
          </cell>
        </row>
        <row r="207">
          <cell r="B207">
            <v>38454</v>
          </cell>
          <cell r="C207">
            <v>4</v>
          </cell>
          <cell r="D207">
            <v>11</v>
          </cell>
          <cell r="E207">
            <v>193</v>
          </cell>
          <cell r="F207">
            <v>1074328.7603370841</v>
          </cell>
          <cell r="G207">
            <v>7000</v>
          </cell>
          <cell r="H207">
            <v>5658.4375752975666</v>
          </cell>
          <cell r="I207">
            <v>83160.521134190349</v>
          </cell>
          <cell r="J207">
            <v>39460.120131656266</v>
          </cell>
          <cell r="K207">
            <v>40275.320826726776</v>
          </cell>
          <cell r="L207">
            <v>32326.631055483984</v>
          </cell>
          <cell r="M207">
            <v>32679.150274973937</v>
          </cell>
          <cell r="N207">
            <v>32062.241640866523</v>
          </cell>
          <cell r="O207">
            <v>41404.000957350196</v>
          </cell>
          <cell r="P207">
            <v>47193.510509217042</v>
          </cell>
          <cell r="Q207">
            <v>72508.79695883907</v>
          </cell>
          <cell r="R207">
            <v>0</v>
          </cell>
          <cell r="S207">
            <v>38275.392884376888</v>
          </cell>
          <cell r="T207">
            <v>0</v>
          </cell>
          <cell r="U207">
            <v>43028.418288019435</v>
          </cell>
          <cell r="V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4886.595829822315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U207">
            <v>0</v>
          </cell>
        </row>
        <row r="208">
          <cell r="B208">
            <v>38455</v>
          </cell>
          <cell r="C208">
            <v>4</v>
          </cell>
          <cell r="D208">
            <v>12</v>
          </cell>
          <cell r="E208">
            <v>194</v>
          </cell>
          <cell r="F208">
            <v>1266608.8231623399</v>
          </cell>
          <cell r="G208">
            <v>253909</v>
          </cell>
          <cell r="H208">
            <v>6420.5720000000001</v>
          </cell>
          <cell r="I208">
            <v>94361.403902474252</v>
          </cell>
          <cell r="J208">
            <v>44775</v>
          </cell>
          <cell r="K208">
            <v>45700.000000000007</v>
          </cell>
          <cell r="L208">
            <v>36680.701951237126</v>
          </cell>
          <cell r="M208">
            <v>37080.701951237126</v>
          </cell>
          <cell r="N208">
            <v>36380.701951237126</v>
          </cell>
          <cell r="O208">
            <v>46980.701951237133</v>
          </cell>
          <cell r="P208">
            <v>53550</v>
          </cell>
          <cell r="Q208">
            <v>82275</v>
          </cell>
          <cell r="R208">
            <v>0</v>
          </cell>
          <cell r="S208">
            <v>43430.701951237126</v>
          </cell>
          <cell r="T208">
            <v>0</v>
          </cell>
          <cell r="U208">
            <v>55400</v>
          </cell>
          <cell r="V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26089.745926237447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U208">
            <v>0</v>
          </cell>
        </row>
        <row r="209">
          <cell r="B209">
            <v>38456</v>
          </cell>
          <cell r="C209">
            <v>4</v>
          </cell>
          <cell r="D209">
            <v>13</v>
          </cell>
          <cell r="E209">
            <v>195</v>
          </cell>
          <cell r="F209">
            <v>1561969.5132420959</v>
          </cell>
          <cell r="G209">
            <v>172878</v>
          </cell>
          <cell r="H209">
            <v>6420.5720000000001</v>
          </cell>
          <cell r="I209">
            <v>94361.403902474252</v>
          </cell>
          <cell r="J209">
            <v>44775</v>
          </cell>
          <cell r="K209">
            <v>45700.000000000007</v>
          </cell>
          <cell r="L209">
            <v>36680.701951237126</v>
          </cell>
          <cell r="M209">
            <v>37080.701951237126</v>
          </cell>
          <cell r="N209">
            <v>36380.701951237126</v>
          </cell>
          <cell r="O209">
            <v>46980.701951237133</v>
          </cell>
          <cell r="P209">
            <v>53550</v>
          </cell>
          <cell r="Q209">
            <v>82275</v>
          </cell>
          <cell r="R209">
            <v>0</v>
          </cell>
          <cell r="S209">
            <v>43430.701951237126</v>
          </cell>
          <cell r="T209">
            <v>0</v>
          </cell>
          <cell r="U209">
            <v>55400</v>
          </cell>
          <cell r="V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27050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U209">
            <v>0</v>
          </cell>
        </row>
        <row r="210">
          <cell r="B210">
            <v>38457</v>
          </cell>
          <cell r="C210">
            <v>4</v>
          </cell>
          <cell r="D210">
            <v>14</v>
          </cell>
          <cell r="E210">
            <v>196</v>
          </cell>
          <cell r="F210">
            <v>2134299.113108316</v>
          </cell>
          <cell r="G210">
            <v>110196</v>
          </cell>
          <cell r="H210">
            <v>6420.5720000000001</v>
          </cell>
          <cell r="I210">
            <v>94361.403902474252</v>
          </cell>
          <cell r="J210">
            <v>44775</v>
          </cell>
          <cell r="K210">
            <v>45700.000000000007</v>
          </cell>
          <cell r="L210">
            <v>36680.701951237126</v>
          </cell>
          <cell r="M210">
            <v>37080.701951237126</v>
          </cell>
          <cell r="N210">
            <v>36380.701951237126</v>
          </cell>
          <cell r="O210">
            <v>46980.701951237133</v>
          </cell>
          <cell r="P210">
            <v>53550</v>
          </cell>
          <cell r="Q210">
            <v>82275</v>
          </cell>
          <cell r="R210">
            <v>0</v>
          </cell>
          <cell r="S210">
            <v>43430.701951237126</v>
          </cell>
          <cell r="T210">
            <v>0</v>
          </cell>
          <cell r="U210">
            <v>55400</v>
          </cell>
          <cell r="V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27050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U210">
            <v>0</v>
          </cell>
        </row>
        <row r="211">
          <cell r="B211">
            <v>38458</v>
          </cell>
          <cell r="C211">
            <v>4</v>
          </cell>
          <cell r="D211">
            <v>15</v>
          </cell>
          <cell r="E211">
            <v>197</v>
          </cell>
          <cell r="F211">
            <v>2308330.1610610778</v>
          </cell>
          <cell r="G211">
            <v>110197</v>
          </cell>
          <cell r="H211">
            <v>6420.5720000000001</v>
          </cell>
          <cell r="I211">
            <v>94361.403902474252</v>
          </cell>
          <cell r="J211">
            <v>44775</v>
          </cell>
          <cell r="K211">
            <v>45700.000000000007</v>
          </cell>
          <cell r="L211">
            <v>36680.701951237126</v>
          </cell>
          <cell r="M211">
            <v>37080.701951237126</v>
          </cell>
          <cell r="N211">
            <v>36380.701951237126</v>
          </cell>
          <cell r="O211">
            <v>46980.701951237133</v>
          </cell>
          <cell r="P211">
            <v>53550</v>
          </cell>
          <cell r="Q211">
            <v>82275</v>
          </cell>
          <cell r="R211">
            <v>0</v>
          </cell>
          <cell r="S211">
            <v>43430.701951237126</v>
          </cell>
          <cell r="T211">
            <v>0</v>
          </cell>
          <cell r="U211">
            <v>55400</v>
          </cell>
          <cell r="V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27050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U211">
            <v>0</v>
          </cell>
        </row>
        <row r="212">
          <cell r="B212">
            <v>38459</v>
          </cell>
          <cell r="C212">
            <v>4</v>
          </cell>
          <cell r="D212">
            <v>16</v>
          </cell>
          <cell r="E212">
            <v>198</v>
          </cell>
          <cell r="F212">
            <v>1888968.2186021919</v>
          </cell>
          <cell r="G212">
            <v>7000</v>
          </cell>
          <cell r="H212">
            <v>6420.5720000000001</v>
          </cell>
          <cell r="I212">
            <v>94361.403902474252</v>
          </cell>
          <cell r="J212">
            <v>44775</v>
          </cell>
          <cell r="K212">
            <v>45700.000000000007</v>
          </cell>
          <cell r="L212">
            <v>36680.701951237126</v>
          </cell>
          <cell r="M212">
            <v>37080.701951237126</v>
          </cell>
          <cell r="N212">
            <v>36380.701951237126</v>
          </cell>
          <cell r="O212">
            <v>46980.701951237133</v>
          </cell>
          <cell r="P212">
            <v>53550</v>
          </cell>
          <cell r="Q212">
            <v>82275</v>
          </cell>
          <cell r="R212">
            <v>0</v>
          </cell>
          <cell r="S212">
            <v>43430.701951237126</v>
          </cell>
          <cell r="T212">
            <v>0</v>
          </cell>
          <cell r="U212">
            <v>55400</v>
          </cell>
          <cell r="V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27050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U212">
            <v>0</v>
          </cell>
        </row>
        <row r="213">
          <cell r="B213">
            <v>38460</v>
          </cell>
          <cell r="C213">
            <v>4</v>
          </cell>
          <cell r="D213">
            <v>17</v>
          </cell>
          <cell r="E213">
            <v>199</v>
          </cell>
          <cell r="F213">
            <v>1798793.385715914</v>
          </cell>
          <cell r="G213">
            <v>7000</v>
          </cell>
          <cell r="H213">
            <v>6420.5720000000001</v>
          </cell>
          <cell r="I213">
            <v>94361.403902474252</v>
          </cell>
          <cell r="J213">
            <v>44775</v>
          </cell>
          <cell r="K213">
            <v>45700.000000000007</v>
          </cell>
          <cell r="L213">
            <v>36680.701951237126</v>
          </cell>
          <cell r="M213">
            <v>37080.701951237126</v>
          </cell>
          <cell r="N213">
            <v>36380.701951237126</v>
          </cell>
          <cell r="O213">
            <v>46980.701951237133</v>
          </cell>
          <cell r="P213">
            <v>53550</v>
          </cell>
          <cell r="Q213">
            <v>82275</v>
          </cell>
          <cell r="R213">
            <v>0</v>
          </cell>
          <cell r="S213">
            <v>43430.701951237126</v>
          </cell>
          <cell r="T213">
            <v>0</v>
          </cell>
          <cell r="U213">
            <v>55400</v>
          </cell>
          <cell r="V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27050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U213">
            <v>0</v>
          </cell>
        </row>
        <row r="214">
          <cell r="B214">
            <v>38461</v>
          </cell>
          <cell r="C214">
            <v>4</v>
          </cell>
          <cell r="D214">
            <v>18</v>
          </cell>
          <cell r="E214">
            <v>200</v>
          </cell>
          <cell r="F214">
            <v>2089096.386132994</v>
          </cell>
          <cell r="G214">
            <v>7000</v>
          </cell>
          <cell r="H214">
            <v>6420.5720000000001</v>
          </cell>
          <cell r="I214">
            <v>94361.403902474252</v>
          </cell>
          <cell r="J214">
            <v>44775</v>
          </cell>
          <cell r="K214">
            <v>45700.000000000007</v>
          </cell>
          <cell r="L214">
            <v>36680.701951237126</v>
          </cell>
          <cell r="M214">
            <v>37080.701951237126</v>
          </cell>
          <cell r="N214">
            <v>36380.701951237126</v>
          </cell>
          <cell r="O214">
            <v>46980.701951237133</v>
          </cell>
          <cell r="P214">
            <v>53550</v>
          </cell>
          <cell r="Q214">
            <v>82275</v>
          </cell>
          <cell r="R214">
            <v>0</v>
          </cell>
          <cell r="S214">
            <v>43430.701951237126</v>
          </cell>
          <cell r="T214">
            <v>0</v>
          </cell>
          <cell r="U214">
            <v>55400</v>
          </cell>
          <cell r="V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27050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U214">
            <v>0</v>
          </cell>
        </row>
        <row r="215">
          <cell r="B215">
            <v>38462</v>
          </cell>
          <cell r="C215">
            <v>4</v>
          </cell>
          <cell r="D215">
            <v>19</v>
          </cell>
          <cell r="E215">
            <v>201</v>
          </cell>
          <cell r="F215">
            <v>2331244.51027895</v>
          </cell>
          <cell r="G215">
            <v>7000</v>
          </cell>
          <cell r="H215">
            <v>6420.5720000000001</v>
          </cell>
          <cell r="I215">
            <v>94361.403902474252</v>
          </cell>
          <cell r="J215">
            <v>44775</v>
          </cell>
          <cell r="K215">
            <v>45700.000000000007</v>
          </cell>
          <cell r="L215">
            <v>36680.701951237126</v>
          </cell>
          <cell r="M215">
            <v>37080.701951237126</v>
          </cell>
          <cell r="N215">
            <v>36380.701951237126</v>
          </cell>
          <cell r="O215">
            <v>46980.701951237133</v>
          </cell>
          <cell r="P215">
            <v>53550</v>
          </cell>
          <cell r="Q215">
            <v>82275</v>
          </cell>
          <cell r="R215">
            <v>0</v>
          </cell>
          <cell r="S215">
            <v>43430.701951237126</v>
          </cell>
          <cell r="T215">
            <v>0</v>
          </cell>
          <cell r="U215">
            <v>55400</v>
          </cell>
          <cell r="V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27050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U215">
            <v>0</v>
          </cell>
        </row>
        <row r="216">
          <cell r="B216">
            <v>38463</v>
          </cell>
          <cell r="C216">
            <v>4</v>
          </cell>
          <cell r="D216">
            <v>20</v>
          </cell>
          <cell r="E216">
            <v>202</v>
          </cell>
          <cell r="F216">
            <v>2660459.5739199659</v>
          </cell>
          <cell r="G216">
            <v>7000</v>
          </cell>
          <cell r="H216">
            <v>6420.5720000000001</v>
          </cell>
          <cell r="I216">
            <v>94361.403902474252</v>
          </cell>
          <cell r="J216">
            <v>44775</v>
          </cell>
          <cell r="K216">
            <v>45700.000000000007</v>
          </cell>
          <cell r="L216">
            <v>36680.701951237126</v>
          </cell>
          <cell r="M216">
            <v>37080.701951237126</v>
          </cell>
          <cell r="N216">
            <v>36380.701951237126</v>
          </cell>
          <cell r="O216">
            <v>46980.701951237133</v>
          </cell>
          <cell r="P216">
            <v>53550</v>
          </cell>
          <cell r="Q216">
            <v>82275</v>
          </cell>
          <cell r="R216">
            <v>0</v>
          </cell>
          <cell r="S216">
            <v>43430.701951237126</v>
          </cell>
          <cell r="T216">
            <v>0</v>
          </cell>
          <cell r="U216">
            <v>55400</v>
          </cell>
          <cell r="V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27050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U216">
            <v>0</v>
          </cell>
        </row>
        <row r="217">
          <cell r="B217">
            <v>38464</v>
          </cell>
          <cell r="C217">
            <v>4</v>
          </cell>
          <cell r="D217">
            <v>21</v>
          </cell>
          <cell r="E217">
            <v>203</v>
          </cell>
          <cell r="F217">
            <v>2114685.3406817601</v>
          </cell>
          <cell r="G217">
            <v>7000</v>
          </cell>
          <cell r="H217">
            <v>6420.5720000000001</v>
          </cell>
          <cell r="I217">
            <v>94361.403902474252</v>
          </cell>
          <cell r="J217">
            <v>44775</v>
          </cell>
          <cell r="K217">
            <v>45700.000000000007</v>
          </cell>
          <cell r="L217">
            <v>36680.701951237126</v>
          </cell>
          <cell r="M217">
            <v>37080.701951237126</v>
          </cell>
          <cell r="N217">
            <v>36380.701951237126</v>
          </cell>
          <cell r="O217">
            <v>46980.701951237133</v>
          </cell>
          <cell r="P217">
            <v>53550</v>
          </cell>
          <cell r="Q217">
            <v>82275</v>
          </cell>
          <cell r="R217">
            <v>0</v>
          </cell>
          <cell r="S217">
            <v>43430.701951237126</v>
          </cell>
          <cell r="T217">
            <v>0</v>
          </cell>
          <cell r="U217">
            <v>55400</v>
          </cell>
          <cell r="V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27050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U217">
            <v>0</v>
          </cell>
        </row>
        <row r="218">
          <cell r="B218">
            <v>38465</v>
          </cell>
          <cell r="C218">
            <v>4</v>
          </cell>
          <cell r="D218">
            <v>22</v>
          </cell>
          <cell r="E218">
            <v>204</v>
          </cell>
          <cell r="F218">
            <v>1760122.92551179</v>
          </cell>
          <cell r="G218">
            <v>7000</v>
          </cell>
          <cell r="H218">
            <v>6420.5720000000001</v>
          </cell>
          <cell r="I218">
            <v>94361.403902474252</v>
          </cell>
          <cell r="J218">
            <v>44775</v>
          </cell>
          <cell r="K218">
            <v>45700.000000000007</v>
          </cell>
          <cell r="L218">
            <v>36680.701951237126</v>
          </cell>
          <cell r="M218">
            <v>37080.701951237126</v>
          </cell>
          <cell r="N218">
            <v>36380.701951237126</v>
          </cell>
          <cell r="O218">
            <v>46980.701951237133</v>
          </cell>
          <cell r="P218">
            <v>53550</v>
          </cell>
          <cell r="Q218">
            <v>82275</v>
          </cell>
          <cell r="R218">
            <v>0</v>
          </cell>
          <cell r="S218">
            <v>43430.701951237126</v>
          </cell>
          <cell r="T218">
            <v>0</v>
          </cell>
          <cell r="U218">
            <v>55400</v>
          </cell>
          <cell r="V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27050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U218">
            <v>0</v>
          </cell>
        </row>
        <row r="219">
          <cell r="B219">
            <v>38466</v>
          </cell>
          <cell r="C219">
            <v>4</v>
          </cell>
          <cell r="D219">
            <v>23</v>
          </cell>
          <cell r="E219">
            <v>205</v>
          </cell>
          <cell r="F219">
            <v>2012923.546440366</v>
          </cell>
          <cell r="G219">
            <v>7000</v>
          </cell>
          <cell r="H219">
            <v>6420.5720000000001</v>
          </cell>
          <cell r="I219">
            <v>94361.403902474252</v>
          </cell>
          <cell r="J219">
            <v>44775</v>
          </cell>
          <cell r="K219">
            <v>45700.000000000007</v>
          </cell>
          <cell r="L219">
            <v>36680.701951237126</v>
          </cell>
          <cell r="M219">
            <v>37080.701951237126</v>
          </cell>
          <cell r="N219">
            <v>36380.701951237126</v>
          </cell>
          <cell r="O219">
            <v>46980.701951237133</v>
          </cell>
          <cell r="P219">
            <v>53550</v>
          </cell>
          <cell r="Q219">
            <v>82275</v>
          </cell>
          <cell r="R219">
            <v>0</v>
          </cell>
          <cell r="S219">
            <v>43430.701951237126</v>
          </cell>
          <cell r="T219">
            <v>0</v>
          </cell>
          <cell r="U219">
            <v>55400</v>
          </cell>
          <cell r="V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27050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U219">
            <v>0</v>
          </cell>
        </row>
        <row r="220">
          <cell r="B220">
            <v>38467</v>
          </cell>
          <cell r="C220">
            <v>4</v>
          </cell>
          <cell r="D220">
            <v>24</v>
          </cell>
          <cell r="E220">
            <v>206</v>
          </cell>
          <cell r="F220">
            <v>1722521.708424272</v>
          </cell>
          <cell r="G220">
            <v>7000</v>
          </cell>
          <cell r="H220">
            <v>6420.5720000000001</v>
          </cell>
          <cell r="I220">
            <v>94361.403902474252</v>
          </cell>
          <cell r="J220">
            <v>44775</v>
          </cell>
          <cell r="K220">
            <v>45700.000000000007</v>
          </cell>
          <cell r="L220">
            <v>36680.701951237126</v>
          </cell>
          <cell r="M220">
            <v>37080.701951237126</v>
          </cell>
          <cell r="N220">
            <v>36380.701951237126</v>
          </cell>
          <cell r="O220">
            <v>46980.701951237133</v>
          </cell>
          <cell r="P220">
            <v>53550</v>
          </cell>
          <cell r="Q220">
            <v>82275</v>
          </cell>
          <cell r="R220">
            <v>0</v>
          </cell>
          <cell r="S220">
            <v>43430.701951237126</v>
          </cell>
          <cell r="T220">
            <v>0</v>
          </cell>
          <cell r="U220">
            <v>55400</v>
          </cell>
          <cell r="V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27050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U220">
            <v>0</v>
          </cell>
        </row>
        <row r="221">
          <cell r="B221">
            <v>38468</v>
          </cell>
          <cell r="C221">
            <v>4</v>
          </cell>
          <cell r="D221">
            <v>25</v>
          </cell>
          <cell r="E221">
            <v>207</v>
          </cell>
          <cell r="F221">
            <v>1225397.537811846</v>
          </cell>
          <cell r="G221">
            <v>7000</v>
          </cell>
          <cell r="H221">
            <v>6420.5720000000001</v>
          </cell>
          <cell r="I221">
            <v>94361.403902474252</v>
          </cell>
          <cell r="J221">
            <v>44775</v>
          </cell>
          <cell r="K221">
            <v>45700.000000000007</v>
          </cell>
          <cell r="L221">
            <v>36680.701951237126</v>
          </cell>
          <cell r="M221">
            <v>37080.701951237126</v>
          </cell>
          <cell r="N221">
            <v>36380.701951237126</v>
          </cell>
          <cell r="O221">
            <v>46980.701951237133</v>
          </cell>
          <cell r="P221">
            <v>53550</v>
          </cell>
          <cell r="Q221">
            <v>82275</v>
          </cell>
          <cell r="R221">
            <v>0</v>
          </cell>
          <cell r="S221">
            <v>43430.701951237126</v>
          </cell>
          <cell r="T221">
            <v>0</v>
          </cell>
          <cell r="U221">
            <v>55400</v>
          </cell>
          <cell r="V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3491.6257411399652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U221">
            <v>0</v>
          </cell>
        </row>
        <row r="222">
          <cell r="B222">
            <v>38469</v>
          </cell>
          <cell r="C222">
            <v>4</v>
          </cell>
          <cell r="D222">
            <v>26</v>
          </cell>
          <cell r="E222">
            <v>208</v>
          </cell>
          <cell r="F222">
            <v>1107159.8153226939</v>
          </cell>
          <cell r="G222">
            <v>7000</v>
          </cell>
          <cell r="H222">
            <v>5831.357152642724</v>
          </cell>
          <cell r="I222">
            <v>85701.87322564132</v>
          </cell>
          <cell r="J222">
            <v>40666.005538070123</v>
          </cell>
          <cell r="K222">
            <v>41506.118438633275</v>
          </cell>
          <cell r="L222">
            <v>33314.519903725486</v>
          </cell>
          <cell r="M222">
            <v>33677.81196883387</v>
          </cell>
          <cell r="N222">
            <v>33042.050854894194</v>
          </cell>
          <cell r="O222">
            <v>42669.290580266461</v>
          </cell>
          <cell r="P222">
            <v>48635.725216385377</v>
          </cell>
          <cell r="Q222">
            <v>74724.636641981444</v>
          </cell>
          <cell r="R222">
            <v>0</v>
          </cell>
          <cell r="S222">
            <v>39445.073502429521</v>
          </cell>
          <cell r="T222">
            <v>0</v>
          </cell>
          <cell r="U222">
            <v>45698.46438261056</v>
          </cell>
          <cell r="V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4012.3124746665412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U222">
            <v>0</v>
          </cell>
        </row>
        <row r="223">
          <cell r="B223">
            <v>38470</v>
          </cell>
          <cell r="C223">
            <v>4</v>
          </cell>
          <cell r="D223">
            <v>27</v>
          </cell>
          <cell r="E223">
            <v>209</v>
          </cell>
          <cell r="F223">
            <v>1298614.234770328</v>
          </cell>
          <cell r="G223">
            <v>7000</v>
          </cell>
          <cell r="H223">
            <v>6420.5720000000001</v>
          </cell>
          <cell r="I223">
            <v>94361.403902474252</v>
          </cell>
          <cell r="J223">
            <v>44775</v>
          </cell>
          <cell r="K223">
            <v>45700.000000000007</v>
          </cell>
          <cell r="L223">
            <v>36680.701951237126</v>
          </cell>
          <cell r="M223">
            <v>37080.701951237126</v>
          </cell>
          <cell r="N223">
            <v>36380.701951237126</v>
          </cell>
          <cell r="O223">
            <v>46980.701951237133</v>
          </cell>
          <cell r="P223">
            <v>53550</v>
          </cell>
          <cell r="Q223">
            <v>82275</v>
          </cell>
          <cell r="R223">
            <v>0</v>
          </cell>
          <cell r="S223">
            <v>43430.701951237126</v>
          </cell>
          <cell r="T223">
            <v>0</v>
          </cell>
          <cell r="U223">
            <v>55400</v>
          </cell>
          <cell r="V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27050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U223">
            <v>0</v>
          </cell>
        </row>
        <row r="224">
          <cell r="B224">
            <v>38471</v>
          </cell>
          <cell r="C224">
            <v>4</v>
          </cell>
          <cell r="D224">
            <v>28</v>
          </cell>
          <cell r="E224">
            <v>210</v>
          </cell>
          <cell r="F224">
            <v>1444775.076520314</v>
          </cell>
          <cell r="G224">
            <v>7000</v>
          </cell>
          <cell r="H224">
            <v>6420.5720000000001</v>
          </cell>
          <cell r="I224">
            <v>94361.403902474252</v>
          </cell>
          <cell r="J224">
            <v>44775</v>
          </cell>
          <cell r="K224">
            <v>45700.000000000007</v>
          </cell>
          <cell r="L224">
            <v>36680.701951237126</v>
          </cell>
          <cell r="M224">
            <v>37080.701951237126</v>
          </cell>
          <cell r="N224">
            <v>36380.701951237126</v>
          </cell>
          <cell r="O224">
            <v>46980.701951237133</v>
          </cell>
          <cell r="P224">
            <v>53550</v>
          </cell>
          <cell r="Q224">
            <v>82275</v>
          </cell>
          <cell r="R224">
            <v>0</v>
          </cell>
          <cell r="S224">
            <v>43430.701951237126</v>
          </cell>
          <cell r="T224">
            <v>0</v>
          </cell>
          <cell r="U224">
            <v>55400</v>
          </cell>
          <cell r="V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27050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U224">
            <v>0</v>
          </cell>
        </row>
        <row r="225">
          <cell r="B225">
            <v>38472</v>
          </cell>
          <cell r="C225">
            <v>4</v>
          </cell>
          <cell r="D225">
            <v>29</v>
          </cell>
          <cell r="E225">
            <v>211</v>
          </cell>
          <cell r="F225">
            <v>1258969.375610268</v>
          </cell>
          <cell r="G225">
            <v>7000</v>
          </cell>
          <cell r="H225">
            <v>6420.5720000000001</v>
          </cell>
          <cell r="I225">
            <v>94361.403902474252</v>
          </cell>
          <cell r="J225">
            <v>44775</v>
          </cell>
          <cell r="K225">
            <v>45700.000000000007</v>
          </cell>
          <cell r="L225">
            <v>36680.701951237126</v>
          </cell>
          <cell r="M225">
            <v>37080.701951237126</v>
          </cell>
          <cell r="N225">
            <v>36380.701951237126</v>
          </cell>
          <cell r="O225">
            <v>46980.701951237133</v>
          </cell>
          <cell r="P225">
            <v>53550</v>
          </cell>
          <cell r="Q225">
            <v>82275</v>
          </cell>
          <cell r="R225">
            <v>0</v>
          </cell>
          <cell r="S225">
            <v>43430.701951237126</v>
          </cell>
          <cell r="T225">
            <v>0</v>
          </cell>
          <cell r="U225">
            <v>55400</v>
          </cell>
          <cell r="V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21900.671199224584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U225">
            <v>0</v>
          </cell>
        </row>
        <row r="226">
          <cell r="B226">
            <v>38473</v>
          </cell>
          <cell r="C226">
            <v>4</v>
          </cell>
          <cell r="D226">
            <v>30</v>
          </cell>
          <cell r="E226">
            <v>212</v>
          </cell>
          <cell r="F226">
            <v>1032330.7676328219</v>
          </cell>
          <cell r="G226">
            <v>7000</v>
          </cell>
          <cell r="H226">
            <v>5437.2361807353409</v>
          </cell>
          <cell r="I226">
            <v>79909.584280577183</v>
          </cell>
          <cell r="J226">
            <v>37917.532891528179</v>
          </cell>
          <cell r="K226">
            <v>38700.865508494433</v>
          </cell>
          <cell r="L226">
            <v>31062.90838013123</v>
          </cell>
          <cell r="M226">
            <v>31401.646809089605</v>
          </cell>
          <cell r="N226">
            <v>30808.854558412448</v>
          </cell>
          <cell r="O226">
            <v>39785.422925809413</v>
          </cell>
          <cell r="P226">
            <v>45348.60717680255</v>
          </cell>
          <cell r="Q226">
            <v>69674.260606375901</v>
          </cell>
          <cell r="R226">
            <v>0</v>
          </cell>
          <cell r="S226">
            <v>36779.119368803818</v>
          </cell>
          <cell r="T226">
            <v>0</v>
          </cell>
          <cell r="U226">
            <v>39730.014176416487</v>
          </cell>
          <cell r="V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5821.5688588612556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U226">
            <v>0</v>
          </cell>
        </row>
        <row r="227">
          <cell r="B227">
            <v>38474</v>
          </cell>
          <cell r="C227">
            <v>5</v>
          </cell>
          <cell r="D227">
            <v>1</v>
          </cell>
          <cell r="E227">
            <v>213</v>
          </cell>
          <cell r="F227">
            <v>916096.75283277198</v>
          </cell>
          <cell r="G227">
            <v>7000</v>
          </cell>
          <cell r="H227">
            <v>4825.0372513629827</v>
          </cell>
          <cell r="I227">
            <v>70912.262789101427</v>
          </cell>
          <cell r="J227">
            <v>33648.254848598772</v>
          </cell>
          <cell r="K227">
            <v>34343.389091702156</v>
          </cell>
          <cell r="L227">
            <v>27565.418364728557</v>
          </cell>
          <cell r="M227">
            <v>27866.016956340831</v>
          </cell>
          <cell r="N227">
            <v>27339.969421019352</v>
          </cell>
          <cell r="O227">
            <v>35305.832098744584</v>
          </cell>
          <cell r="P227">
            <v>40242.636452093007</v>
          </cell>
          <cell r="Q227">
            <v>61829.372812249334</v>
          </cell>
          <cell r="R227">
            <v>0</v>
          </cell>
          <cell r="S227">
            <v>32638.01959818566</v>
          </cell>
          <cell r="T227">
            <v>0</v>
          </cell>
          <cell r="U227">
            <v>31286.981472951371</v>
          </cell>
          <cell r="V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7438.5689260758081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U227">
            <v>0</v>
          </cell>
        </row>
        <row r="228">
          <cell r="B228">
            <v>38475</v>
          </cell>
          <cell r="C228">
            <v>5</v>
          </cell>
          <cell r="D228">
            <v>2</v>
          </cell>
          <cell r="E228">
            <v>214</v>
          </cell>
          <cell r="F228">
            <v>928222.82836432802</v>
          </cell>
          <cell r="G228">
            <v>7000</v>
          </cell>
          <cell r="H228">
            <v>4888.9047041966232</v>
          </cell>
          <cell r="I228">
            <v>71850.905407400467</v>
          </cell>
          <cell r="J228">
            <v>34093.645882392382</v>
          </cell>
          <cell r="K228">
            <v>34797.981391967216</v>
          </cell>
          <cell r="L228">
            <v>27930.292865283256</v>
          </cell>
          <cell r="M228">
            <v>28234.870382937235</v>
          </cell>
          <cell r="N228">
            <v>27701.859727042771</v>
          </cell>
          <cell r="O228">
            <v>35773.163944873246</v>
          </cell>
          <cell r="P228">
            <v>40775.315175926567</v>
          </cell>
          <cell r="Q228">
            <v>62647.788162452998</v>
          </cell>
          <cell r="R228">
            <v>0</v>
          </cell>
          <cell r="S228">
            <v>33070.038475694164</v>
          </cell>
          <cell r="T228">
            <v>0</v>
          </cell>
          <cell r="U228">
            <v>32120.734500115217</v>
          </cell>
          <cell r="V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7331.1037655293794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U228">
            <v>0</v>
          </cell>
        </row>
        <row r="229">
          <cell r="B229">
            <v>38476</v>
          </cell>
          <cell r="C229">
            <v>5</v>
          </cell>
          <cell r="D229">
            <v>3</v>
          </cell>
          <cell r="E229">
            <v>215</v>
          </cell>
          <cell r="F229">
            <v>1029184.9365773359</v>
          </cell>
          <cell r="G229">
            <v>7000</v>
          </cell>
          <cell r="H229">
            <v>5420.6672408474105</v>
          </cell>
          <cell r="I229">
            <v>79666.075068469479</v>
          </cell>
          <cell r="J229">
            <v>37801.986444345268</v>
          </cell>
          <cell r="K229">
            <v>38582.932004613715</v>
          </cell>
          <cell r="L229">
            <v>30968.250093349747</v>
          </cell>
          <cell r="M229">
            <v>31305.956281573937</v>
          </cell>
          <cell r="N229">
            <v>30714.970452181606</v>
          </cell>
          <cell r="O229">
            <v>39664.184440122641</v>
          </cell>
          <cell r="P229">
            <v>45210.415948513444</v>
          </cell>
          <cell r="Q229">
            <v>69461.941590363087</v>
          </cell>
          <cell r="R229">
            <v>0</v>
          </cell>
          <cell r="S229">
            <v>36667.042019632951</v>
          </cell>
          <cell r="T229">
            <v>0</v>
          </cell>
          <cell r="U229">
            <v>39488.243836850859</v>
          </cell>
          <cell r="V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5883.6376009298301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U229">
            <v>0</v>
          </cell>
        </row>
        <row r="230">
          <cell r="B230">
            <v>38477</v>
          </cell>
          <cell r="C230">
            <v>5</v>
          </cell>
          <cell r="D230">
            <v>4</v>
          </cell>
          <cell r="E230">
            <v>216</v>
          </cell>
          <cell r="F230">
            <v>1171336.366229946</v>
          </cell>
          <cell r="G230">
            <v>7000</v>
          </cell>
          <cell r="H230">
            <v>6169.3719396550841</v>
          </cell>
          <cell r="I230">
            <v>90669.58480060412</v>
          </cell>
          <cell r="J230">
            <v>43023.211732234508</v>
          </cell>
          <cell r="K230">
            <v>43912.021801521325</v>
          </cell>
          <cell r="L230">
            <v>35245.597019208537</v>
          </cell>
          <cell r="M230">
            <v>35629.947319440675</v>
          </cell>
          <cell r="N230">
            <v>34957.334294034437</v>
          </cell>
          <cell r="O230">
            <v>45142.617250185998</v>
          </cell>
          <cell r="P230">
            <v>51454.896443576952</v>
          </cell>
          <cell r="Q230">
            <v>79056.052378997076</v>
          </cell>
          <cell r="R230">
            <v>0</v>
          </cell>
          <cell r="S230">
            <v>41731.508335625804</v>
          </cell>
          <cell r="T230">
            <v>0</v>
          </cell>
          <cell r="U230">
            <v>51149.834326153912</v>
          </cell>
          <cell r="V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1914.6236993041441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U230">
            <v>0</v>
          </cell>
        </row>
        <row r="231">
          <cell r="B231">
            <v>38478</v>
          </cell>
          <cell r="C231">
            <v>5</v>
          </cell>
          <cell r="D231">
            <v>5</v>
          </cell>
          <cell r="E231">
            <v>217</v>
          </cell>
          <cell r="F231">
            <v>1352643.4588454759</v>
          </cell>
          <cell r="G231">
            <v>7000</v>
          </cell>
          <cell r="H231">
            <v>6420.5720000000001</v>
          </cell>
          <cell r="I231">
            <v>94361.403902474252</v>
          </cell>
          <cell r="J231">
            <v>44775</v>
          </cell>
          <cell r="K231">
            <v>45700.000000000007</v>
          </cell>
          <cell r="L231">
            <v>36680.701951237126</v>
          </cell>
          <cell r="M231">
            <v>37080.701951237126</v>
          </cell>
          <cell r="N231">
            <v>36380.701951237126</v>
          </cell>
          <cell r="O231">
            <v>46980.701951237133</v>
          </cell>
          <cell r="P231">
            <v>53550</v>
          </cell>
          <cell r="Q231">
            <v>82275</v>
          </cell>
          <cell r="R231">
            <v>0</v>
          </cell>
          <cell r="S231">
            <v>43430.701951237126</v>
          </cell>
          <cell r="T231">
            <v>0</v>
          </cell>
          <cell r="U231">
            <v>55400</v>
          </cell>
          <cell r="V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27050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U231">
            <v>0</v>
          </cell>
        </row>
        <row r="232">
          <cell r="B232">
            <v>38479</v>
          </cell>
          <cell r="C232">
            <v>5</v>
          </cell>
          <cell r="D232">
            <v>6</v>
          </cell>
          <cell r="E232">
            <v>218</v>
          </cell>
          <cell r="F232">
            <v>1209221.117439888</v>
          </cell>
          <cell r="G232">
            <v>7000</v>
          </cell>
          <cell r="H232">
            <v>6368.9090903778051</v>
          </cell>
          <cell r="I232">
            <v>93602.128142987887</v>
          </cell>
          <cell r="J232">
            <v>44414.71951746141</v>
          </cell>
          <cell r="K232">
            <v>45332.276537085127</v>
          </cell>
          <cell r="L232">
            <v>36385.551956846379</v>
          </cell>
          <cell r="M232">
            <v>36782.333370737717</v>
          </cell>
          <cell r="N232">
            <v>36087.965896427879</v>
          </cell>
          <cell r="O232">
            <v>46602.673364548275</v>
          </cell>
          <cell r="P232">
            <v>53119.111784702589</v>
          </cell>
          <cell r="Q232">
            <v>81612.977069774148</v>
          </cell>
          <cell r="R232">
            <v>0</v>
          </cell>
          <cell r="S232">
            <v>43081.238316262665</v>
          </cell>
          <cell r="T232">
            <v>0</v>
          </cell>
          <cell r="U232">
            <v>54512.038554326617</v>
          </cell>
          <cell r="V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419.65339862242689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U232">
            <v>0</v>
          </cell>
        </row>
        <row r="233">
          <cell r="B233">
            <v>38480</v>
          </cell>
          <cell r="C233">
            <v>5</v>
          </cell>
          <cell r="D233">
            <v>7</v>
          </cell>
          <cell r="E233">
            <v>219</v>
          </cell>
          <cell r="F233">
            <v>1165712.6066820079</v>
          </cell>
          <cell r="G233">
            <v>7000</v>
          </cell>
          <cell r="H233">
            <v>6139.7518703473361</v>
          </cell>
          <cell r="I233">
            <v>90234.26668197423</v>
          </cell>
          <cell r="J233">
            <v>42816.65091440481</v>
          </cell>
          <cell r="K233">
            <v>43701.193674780574</v>
          </cell>
          <cell r="L233">
            <v>35076.377682667728</v>
          </cell>
          <cell r="M233">
            <v>35458.882660127514</v>
          </cell>
          <cell r="N233">
            <v>34789.498949572888</v>
          </cell>
          <cell r="O233">
            <v>44925.880852257229</v>
          </cell>
          <cell r="P233">
            <v>51207.853857428876</v>
          </cell>
          <cell r="Q233">
            <v>78676.492551259769</v>
          </cell>
          <cell r="R233">
            <v>0</v>
          </cell>
          <cell r="S233">
            <v>41531.149177301617</v>
          </cell>
          <cell r="T233">
            <v>0</v>
          </cell>
          <cell r="U233">
            <v>50659.857506848333</v>
          </cell>
          <cell r="V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2119.8818619509175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U233">
            <v>0</v>
          </cell>
        </row>
        <row r="234">
          <cell r="B234">
            <v>38481</v>
          </cell>
          <cell r="C234">
            <v>5</v>
          </cell>
          <cell r="D234">
            <v>8</v>
          </cell>
          <cell r="E234">
            <v>220</v>
          </cell>
          <cell r="F234">
            <v>1225908.6979198779</v>
          </cell>
          <cell r="G234">
            <v>7000</v>
          </cell>
          <cell r="H234">
            <v>6420.5720000000001</v>
          </cell>
          <cell r="I234">
            <v>94361.403902474252</v>
          </cell>
          <cell r="J234">
            <v>44775</v>
          </cell>
          <cell r="K234">
            <v>45700.000000000007</v>
          </cell>
          <cell r="L234">
            <v>36680.701951237126</v>
          </cell>
          <cell r="M234">
            <v>37080.701951237126</v>
          </cell>
          <cell r="N234">
            <v>36380.701951237126</v>
          </cell>
          <cell r="O234">
            <v>46980.701951237133</v>
          </cell>
          <cell r="P234">
            <v>53550</v>
          </cell>
          <cell r="Q234">
            <v>82275</v>
          </cell>
          <cell r="R234">
            <v>0</v>
          </cell>
          <cell r="S234">
            <v>43430.701951237126</v>
          </cell>
          <cell r="T234">
            <v>0</v>
          </cell>
          <cell r="U234">
            <v>55400</v>
          </cell>
          <cell r="V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3771.9192931826151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U234">
            <v>0</v>
          </cell>
        </row>
        <row r="235">
          <cell r="B235">
            <v>38482</v>
          </cell>
          <cell r="C235">
            <v>5</v>
          </cell>
          <cell r="D235">
            <v>9</v>
          </cell>
          <cell r="E235">
            <v>221</v>
          </cell>
          <cell r="F235">
            <v>1240136.3203799638</v>
          </cell>
          <cell r="G235">
            <v>7000</v>
          </cell>
          <cell r="H235">
            <v>6420.5720000000001</v>
          </cell>
          <cell r="I235">
            <v>94361.403902474252</v>
          </cell>
          <cell r="J235">
            <v>44775</v>
          </cell>
          <cell r="K235">
            <v>45700.000000000007</v>
          </cell>
          <cell r="L235">
            <v>36680.701951237126</v>
          </cell>
          <cell r="M235">
            <v>37080.701951237126</v>
          </cell>
          <cell r="N235">
            <v>36380.701951237126</v>
          </cell>
          <cell r="O235">
            <v>46980.701951237133</v>
          </cell>
          <cell r="P235">
            <v>53550</v>
          </cell>
          <cell r="Q235">
            <v>82275</v>
          </cell>
          <cell r="R235">
            <v>0</v>
          </cell>
          <cell r="S235">
            <v>43430.701951237126</v>
          </cell>
          <cell r="T235">
            <v>0</v>
          </cell>
          <cell r="U235">
            <v>55400</v>
          </cell>
          <cell r="V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11573.605641151873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U235">
            <v>0</v>
          </cell>
        </row>
        <row r="236">
          <cell r="B236">
            <v>38483</v>
          </cell>
          <cell r="C236">
            <v>5</v>
          </cell>
          <cell r="D236">
            <v>10</v>
          </cell>
          <cell r="E236">
            <v>222</v>
          </cell>
          <cell r="F236">
            <v>1695961.3499983279</v>
          </cell>
          <cell r="G236">
            <v>7000</v>
          </cell>
          <cell r="H236">
            <v>6420.5720000000001</v>
          </cell>
          <cell r="I236">
            <v>94361.403902474252</v>
          </cell>
          <cell r="J236">
            <v>44775</v>
          </cell>
          <cell r="K236">
            <v>45700.000000000007</v>
          </cell>
          <cell r="L236">
            <v>36680.701951237126</v>
          </cell>
          <cell r="M236">
            <v>37080.701951237126</v>
          </cell>
          <cell r="N236">
            <v>36380.701951237126</v>
          </cell>
          <cell r="O236">
            <v>46980.701951237133</v>
          </cell>
          <cell r="P236">
            <v>53550</v>
          </cell>
          <cell r="Q236">
            <v>82275</v>
          </cell>
          <cell r="R236">
            <v>0</v>
          </cell>
          <cell r="S236">
            <v>43430.701951237126</v>
          </cell>
          <cell r="T236">
            <v>0</v>
          </cell>
          <cell r="U236">
            <v>55400</v>
          </cell>
          <cell r="V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27050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U236">
            <v>0</v>
          </cell>
        </row>
        <row r="237">
          <cell r="B237">
            <v>38484</v>
          </cell>
          <cell r="C237">
            <v>5</v>
          </cell>
          <cell r="D237">
            <v>11</v>
          </cell>
          <cell r="E237">
            <v>223</v>
          </cell>
          <cell r="F237">
            <v>1562014.4394234659</v>
          </cell>
          <cell r="G237">
            <v>7000</v>
          </cell>
          <cell r="H237">
            <v>6420.5720000000001</v>
          </cell>
          <cell r="I237">
            <v>94361.403902474252</v>
          </cell>
          <cell r="J237">
            <v>44775</v>
          </cell>
          <cell r="K237">
            <v>45700.000000000007</v>
          </cell>
          <cell r="L237">
            <v>36680.701951237126</v>
          </cell>
          <cell r="M237">
            <v>37080.701951237126</v>
          </cell>
          <cell r="N237">
            <v>36380.701951237126</v>
          </cell>
          <cell r="O237">
            <v>46980.701951237133</v>
          </cell>
          <cell r="P237">
            <v>53550</v>
          </cell>
          <cell r="Q237">
            <v>82275</v>
          </cell>
          <cell r="R237">
            <v>0</v>
          </cell>
          <cell r="S237">
            <v>43430.701951237126</v>
          </cell>
          <cell r="T237">
            <v>0</v>
          </cell>
          <cell r="U237">
            <v>55400</v>
          </cell>
          <cell r="V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27050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U237">
            <v>0</v>
          </cell>
        </row>
        <row r="238">
          <cell r="B238">
            <v>38485</v>
          </cell>
          <cell r="C238">
            <v>5</v>
          </cell>
          <cell r="D238">
            <v>12</v>
          </cell>
          <cell r="E238">
            <v>224</v>
          </cell>
          <cell r="F238">
            <v>1549587.8576565241</v>
          </cell>
          <cell r="G238">
            <v>7000</v>
          </cell>
          <cell r="H238">
            <v>6420.5720000000001</v>
          </cell>
          <cell r="I238">
            <v>94361.403902474252</v>
          </cell>
          <cell r="J238">
            <v>44775</v>
          </cell>
          <cell r="K238">
            <v>45700.000000000007</v>
          </cell>
          <cell r="L238">
            <v>36680.701951237126</v>
          </cell>
          <cell r="M238">
            <v>37080.701951237126</v>
          </cell>
          <cell r="N238">
            <v>36380.701951237126</v>
          </cell>
          <cell r="O238">
            <v>46980.701951237133</v>
          </cell>
          <cell r="P238">
            <v>53550</v>
          </cell>
          <cell r="Q238">
            <v>82275</v>
          </cell>
          <cell r="R238">
            <v>0</v>
          </cell>
          <cell r="S238">
            <v>43430.701951237126</v>
          </cell>
          <cell r="T238">
            <v>0</v>
          </cell>
          <cell r="U238">
            <v>55400</v>
          </cell>
          <cell r="V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27050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U238">
            <v>0</v>
          </cell>
        </row>
        <row r="239">
          <cell r="B239">
            <v>38486</v>
          </cell>
          <cell r="C239">
            <v>5</v>
          </cell>
          <cell r="D239">
            <v>13</v>
          </cell>
          <cell r="E239">
            <v>225</v>
          </cell>
          <cell r="F239">
            <v>1330076.5387635319</v>
          </cell>
          <cell r="G239">
            <v>7000</v>
          </cell>
          <cell r="H239">
            <v>6420.5720000000001</v>
          </cell>
          <cell r="I239">
            <v>94361.403902474252</v>
          </cell>
          <cell r="J239">
            <v>44775</v>
          </cell>
          <cell r="K239">
            <v>45700.000000000007</v>
          </cell>
          <cell r="L239">
            <v>36680.701951237126</v>
          </cell>
          <cell r="M239">
            <v>37080.701951237126</v>
          </cell>
          <cell r="N239">
            <v>36380.701951237126</v>
          </cell>
          <cell r="O239">
            <v>46980.701951237133</v>
          </cell>
          <cell r="P239">
            <v>53550</v>
          </cell>
          <cell r="Q239">
            <v>82275</v>
          </cell>
          <cell r="R239">
            <v>0</v>
          </cell>
          <cell r="S239">
            <v>43430.701951237126</v>
          </cell>
          <cell r="T239">
            <v>0</v>
          </cell>
          <cell r="U239">
            <v>55400</v>
          </cell>
          <cell r="V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27050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U239">
            <v>0</v>
          </cell>
        </row>
        <row r="240">
          <cell r="B240">
            <v>38487</v>
          </cell>
          <cell r="C240">
            <v>5</v>
          </cell>
          <cell r="D240">
            <v>14</v>
          </cell>
          <cell r="E240">
            <v>226</v>
          </cell>
          <cell r="F240">
            <v>1201751.391017436</v>
          </cell>
          <cell r="G240">
            <v>7000</v>
          </cell>
          <cell r="H240">
            <v>6329.5664029003401</v>
          </cell>
          <cell r="I240">
            <v>93023.919344197071</v>
          </cell>
          <cell r="J240">
            <v>44140.35629377923</v>
          </cell>
          <cell r="K240">
            <v>45052.245284773002</v>
          </cell>
          <cell r="L240">
            <v>36160.787341899049</v>
          </cell>
          <cell r="M240">
            <v>36555.11771638284</v>
          </cell>
          <cell r="N240">
            <v>35865.03956103621</v>
          </cell>
          <cell r="O240">
            <v>46314.794484856648</v>
          </cell>
          <cell r="P240">
            <v>52790.978884017379</v>
          </cell>
          <cell r="Q240">
            <v>81108.828901634537</v>
          </cell>
          <cell r="R240">
            <v>0</v>
          </cell>
          <cell r="S240">
            <v>42815.112411313006</v>
          </cell>
          <cell r="T240">
            <v>0</v>
          </cell>
          <cell r="U240">
            <v>53840.643818282049</v>
          </cell>
          <cell r="V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730.1259889664907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U240">
            <v>0</v>
          </cell>
        </row>
        <row r="241">
          <cell r="B241">
            <v>38488</v>
          </cell>
          <cell r="C241">
            <v>5</v>
          </cell>
          <cell r="D241">
            <v>15</v>
          </cell>
          <cell r="E241">
            <v>227</v>
          </cell>
          <cell r="F241">
            <v>1338638.4705730679</v>
          </cell>
          <cell r="G241">
            <v>7000</v>
          </cell>
          <cell r="H241">
            <v>6420.5720000000001</v>
          </cell>
          <cell r="I241">
            <v>94361.403902474252</v>
          </cell>
          <cell r="J241">
            <v>44775</v>
          </cell>
          <cell r="K241">
            <v>45700.000000000007</v>
          </cell>
          <cell r="L241">
            <v>36680.701951237126</v>
          </cell>
          <cell r="M241">
            <v>37080.701951237126</v>
          </cell>
          <cell r="N241">
            <v>36380.701951237126</v>
          </cell>
          <cell r="O241">
            <v>46980.701951237133</v>
          </cell>
          <cell r="P241">
            <v>53550</v>
          </cell>
          <cell r="Q241">
            <v>82275</v>
          </cell>
          <cell r="R241">
            <v>0</v>
          </cell>
          <cell r="S241">
            <v>43430.701951237126</v>
          </cell>
          <cell r="T241">
            <v>0</v>
          </cell>
          <cell r="U241">
            <v>55400</v>
          </cell>
          <cell r="V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27050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U241">
            <v>0</v>
          </cell>
        </row>
        <row r="242">
          <cell r="B242">
            <v>38489</v>
          </cell>
          <cell r="C242">
            <v>5</v>
          </cell>
          <cell r="D242">
            <v>16</v>
          </cell>
          <cell r="E242">
            <v>228</v>
          </cell>
          <cell r="F242">
            <v>1208166.849717072</v>
          </cell>
          <cell r="G242">
            <v>7000</v>
          </cell>
          <cell r="H242">
            <v>6363.3563133160305</v>
          </cell>
          <cell r="I242">
            <v>93520.520485740752</v>
          </cell>
          <cell r="J242">
            <v>44375.996239700333</v>
          </cell>
          <cell r="K242">
            <v>45292.753280944846</v>
          </cell>
          <cell r="L242">
            <v>36353.828963878674</v>
          </cell>
          <cell r="M242">
            <v>36750.264441173596</v>
          </cell>
          <cell r="N242">
            <v>36056.502355907483</v>
          </cell>
          <cell r="O242">
            <v>46562.042504222918</v>
          </cell>
          <cell r="P242">
            <v>53072.799522857684</v>
          </cell>
          <cell r="Q242">
            <v>81541.82223609928</v>
          </cell>
          <cell r="R242">
            <v>0</v>
          </cell>
          <cell r="S242">
            <v>43043.677643230476</v>
          </cell>
          <cell r="T242">
            <v>0</v>
          </cell>
          <cell r="U242">
            <v>54417.026601600744</v>
          </cell>
          <cell r="V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463.94808018395639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U242">
            <v>0</v>
          </cell>
        </row>
        <row r="243">
          <cell r="B243">
            <v>38490</v>
          </cell>
          <cell r="C243">
            <v>5</v>
          </cell>
          <cell r="D243">
            <v>17</v>
          </cell>
          <cell r="E243">
            <v>229</v>
          </cell>
          <cell r="F243">
            <v>1175379.722553246</v>
          </cell>
          <cell r="G243">
            <v>7000</v>
          </cell>
          <cell r="H243">
            <v>6190.6681016817793</v>
          </cell>
          <cell r="I243">
            <v>90982.568713341738</v>
          </cell>
          <cell r="J243">
            <v>43171.724303193179</v>
          </cell>
          <cell r="K243">
            <v>44063.602471377526</v>
          </cell>
          <cell r="L243">
            <v>35367.261907010819</v>
          </cell>
          <cell r="M243">
            <v>35752.93895271216</v>
          </cell>
          <cell r="N243">
            <v>35078.004122734819</v>
          </cell>
          <cell r="O243">
            <v>45298.445833820202</v>
          </cell>
          <cell r="P243">
            <v>51632.514493266222</v>
          </cell>
          <cell r="Q243">
            <v>79328.947337693331</v>
          </cell>
          <cell r="R243">
            <v>0</v>
          </cell>
          <cell r="S243">
            <v>41875.562053220849</v>
          </cell>
          <cell r="T243">
            <v>0</v>
          </cell>
          <cell r="U243">
            <v>51503.573814889976</v>
          </cell>
          <cell r="V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1764.4248290000914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U243">
            <v>0</v>
          </cell>
        </row>
        <row r="244">
          <cell r="B244">
            <v>38491</v>
          </cell>
          <cell r="C244">
            <v>5</v>
          </cell>
          <cell r="D244">
            <v>18</v>
          </cell>
          <cell r="E244">
            <v>230</v>
          </cell>
          <cell r="F244">
            <v>1232769.4249948699</v>
          </cell>
          <cell r="G244">
            <v>7000</v>
          </cell>
          <cell r="H244">
            <v>6420.5720000000001</v>
          </cell>
          <cell r="I244">
            <v>94361.403902474252</v>
          </cell>
          <cell r="J244">
            <v>44775</v>
          </cell>
          <cell r="K244">
            <v>45700.000000000007</v>
          </cell>
          <cell r="L244">
            <v>36680.701951237126</v>
          </cell>
          <cell r="M244">
            <v>37080.701951237126</v>
          </cell>
          <cell r="N244">
            <v>36380.701951237126</v>
          </cell>
          <cell r="O244">
            <v>46980.701951237133</v>
          </cell>
          <cell r="P244">
            <v>53550</v>
          </cell>
          <cell r="Q244">
            <v>82275</v>
          </cell>
          <cell r="R244">
            <v>0</v>
          </cell>
          <cell r="S244">
            <v>43430.701951237126</v>
          </cell>
          <cell r="T244">
            <v>0</v>
          </cell>
          <cell r="U244">
            <v>55400</v>
          </cell>
          <cell r="V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7533.9843120054647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U244">
            <v>0</v>
          </cell>
        </row>
        <row r="245">
          <cell r="B245">
            <v>38492</v>
          </cell>
          <cell r="C245">
            <v>5</v>
          </cell>
          <cell r="D245">
            <v>19</v>
          </cell>
          <cell r="E245">
            <v>231</v>
          </cell>
          <cell r="F245">
            <v>1348892.621880874</v>
          </cell>
          <cell r="G245">
            <v>7000</v>
          </cell>
          <cell r="H245">
            <v>6420.5720000000001</v>
          </cell>
          <cell r="I245">
            <v>94361.403902474252</v>
          </cell>
          <cell r="J245">
            <v>44775</v>
          </cell>
          <cell r="K245">
            <v>45700.000000000007</v>
          </cell>
          <cell r="L245">
            <v>36680.701951237126</v>
          </cell>
          <cell r="M245">
            <v>37080.701951237126</v>
          </cell>
          <cell r="N245">
            <v>36380.701951237126</v>
          </cell>
          <cell r="O245">
            <v>46980.701951237133</v>
          </cell>
          <cell r="P245">
            <v>53550</v>
          </cell>
          <cell r="Q245">
            <v>82275</v>
          </cell>
          <cell r="R245">
            <v>0</v>
          </cell>
          <cell r="S245">
            <v>43430.701951237126</v>
          </cell>
          <cell r="T245">
            <v>0</v>
          </cell>
          <cell r="U245">
            <v>55400</v>
          </cell>
          <cell r="V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27050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U245">
            <v>0</v>
          </cell>
        </row>
        <row r="246">
          <cell r="B246">
            <v>38493</v>
          </cell>
          <cell r="C246">
            <v>5</v>
          </cell>
          <cell r="D246">
            <v>20</v>
          </cell>
          <cell r="E246">
            <v>232</v>
          </cell>
          <cell r="F246">
            <v>1263917.245718484</v>
          </cell>
          <cell r="G246">
            <v>7000</v>
          </cell>
          <cell r="H246">
            <v>6420.5720000000001</v>
          </cell>
          <cell r="I246">
            <v>94361.403902474252</v>
          </cell>
          <cell r="J246">
            <v>44775</v>
          </cell>
          <cell r="K246">
            <v>45700.000000000007</v>
          </cell>
          <cell r="L246">
            <v>36680.701951237126</v>
          </cell>
          <cell r="M246">
            <v>37080.701951237126</v>
          </cell>
          <cell r="N246">
            <v>36380.701951237126</v>
          </cell>
          <cell r="O246">
            <v>46980.701951237133</v>
          </cell>
          <cell r="P246">
            <v>53550</v>
          </cell>
          <cell r="Q246">
            <v>82275</v>
          </cell>
          <cell r="R246">
            <v>0</v>
          </cell>
          <cell r="S246">
            <v>43430.701951237126</v>
          </cell>
          <cell r="T246">
            <v>0</v>
          </cell>
          <cell r="U246">
            <v>55400</v>
          </cell>
          <cell r="V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24613.825191262789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U246">
            <v>0</v>
          </cell>
        </row>
        <row r="247">
          <cell r="B247">
            <v>38494</v>
          </cell>
          <cell r="C247">
            <v>5</v>
          </cell>
          <cell r="D247">
            <v>21</v>
          </cell>
          <cell r="E247">
            <v>233</v>
          </cell>
          <cell r="F247">
            <v>1440199.5945376758</v>
          </cell>
          <cell r="G247">
            <v>7000</v>
          </cell>
          <cell r="H247">
            <v>6420.5720000000001</v>
          </cell>
          <cell r="I247">
            <v>94361.403902474252</v>
          </cell>
          <cell r="J247">
            <v>44775</v>
          </cell>
          <cell r="K247">
            <v>45700.000000000007</v>
          </cell>
          <cell r="L247">
            <v>36680.701951237126</v>
          </cell>
          <cell r="M247">
            <v>37080.701951237126</v>
          </cell>
          <cell r="N247">
            <v>36380.701951237126</v>
          </cell>
          <cell r="O247">
            <v>46980.701951237133</v>
          </cell>
          <cell r="P247">
            <v>53550</v>
          </cell>
          <cell r="Q247">
            <v>82275</v>
          </cell>
          <cell r="R247">
            <v>0</v>
          </cell>
          <cell r="S247">
            <v>43430.701951237126</v>
          </cell>
          <cell r="T247">
            <v>0</v>
          </cell>
          <cell r="U247">
            <v>55400</v>
          </cell>
          <cell r="V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27050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U247">
            <v>0</v>
          </cell>
        </row>
        <row r="248">
          <cell r="B248">
            <v>38495</v>
          </cell>
          <cell r="C248">
            <v>5</v>
          </cell>
          <cell r="D248">
            <v>22</v>
          </cell>
          <cell r="E248">
            <v>234</v>
          </cell>
          <cell r="F248">
            <v>1415987.3778580041</v>
          </cell>
          <cell r="G248">
            <v>7000</v>
          </cell>
          <cell r="H248">
            <v>6420.5720000000001</v>
          </cell>
          <cell r="I248">
            <v>94361.403902474252</v>
          </cell>
          <cell r="J248">
            <v>44775</v>
          </cell>
          <cell r="K248">
            <v>45700.000000000007</v>
          </cell>
          <cell r="L248">
            <v>36680.701951237126</v>
          </cell>
          <cell r="M248">
            <v>37080.701951237126</v>
          </cell>
          <cell r="N248">
            <v>36380.701951237126</v>
          </cell>
          <cell r="O248">
            <v>46980.701951237133</v>
          </cell>
          <cell r="P248">
            <v>53550</v>
          </cell>
          <cell r="Q248">
            <v>82275</v>
          </cell>
          <cell r="R248">
            <v>0</v>
          </cell>
          <cell r="S248">
            <v>43430.701951237126</v>
          </cell>
          <cell r="T248">
            <v>0</v>
          </cell>
          <cell r="U248">
            <v>55400</v>
          </cell>
          <cell r="V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27050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U248">
            <v>0</v>
          </cell>
        </row>
        <row r="249">
          <cell r="B249">
            <v>38496</v>
          </cell>
          <cell r="C249">
            <v>5</v>
          </cell>
          <cell r="D249">
            <v>23</v>
          </cell>
          <cell r="E249">
            <v>235</v>
          </cell>
          <cell r="F249">
            <v>1216616.9652529759</v>
          </cell>
          <cell r="G249">
            <v>7000</v>
          </cell>
          <cell r="H249">
            <v>6407.8626627960184</v>
          </cell>
          <cell r="I249">
            <v>94174.618223373138</v>
          </cell>
          <cell r="J249">
            <v>44686.369178118664</v>
          </cell>
          <cell r="K249">
            <v>45609.538167281367</v>
          </cell>
          <cell r="L249">
            <v>36608.093559028923</v>
          </cell>
          <cell r="M249">
            <v>37007.301770558734</v>
          </cell>
          <cell r="N249">
            <v>36308.687400381561</v>
          </cell>
          <cell r="O249">
            <v>46887.705005921664</v>
          </cell>
          <cell r="P249">
            <v>53443.999318553986</v>
          </cell>
          <cell r="Q249">
            <v>82112.139009038816</v>
          </cell>
          <cell r="R249">
            <v>0</v>
          </cell>
          <cell r="S249">
            <v>43344.732128594544</v>
          </cell>
          <cell r="T249">
            <v>0</v>
          </cell>
          <cell r="U249">
            <v>55180.89166791855</v>
          </cell>
          <cell r="V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104.50355777944303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U249">
            <v>0</v>
          </cell>
        </row>
        <row r="250">
          <cell r="B250">
            <v>38497</v>
          </cell>
          <cell r="C250">
            <v>5</v>
          </cell>
          <cell r="D250">
            <v>24</v>
          </cell>
          <cell r="E250">
            <v>236</v>
          </cell>
          <cell r="F250">
            <v>1232247.2829313918</v>
          </cell>
          <cell r="G250">
            <v>7000</v>
          </cell>
          <cell r="H250">
            <v>6420.5720000000001</v>
          </cell>
          <cell r="I250">
            <v>94361.403902474252</v>
          </cell>
          <cell r="J250">
            <v>44775</v>
          </cell>
          <cell r="K250">
            <v>45700.000000000007</v>
          </cell>
          <cell r="L250">
            <v>36680.701951237126</v>
          </cell>
          <cell r="M250">
            <v>37080.701951237126</v>
          </cell>
          <cell r="N250">
            <v>36380.701951237126</v>
          </cell>
          <cell r="O250">
            <v>46980.701951237133</v>
          </cell>
          <cell r="P250">
            <v>53550</v>
          </cell>
          <cell r="Q250">
            <v>82275</v>
          </cell>
          <cell r="R250">
            <v>0</v>
          </cell>
          <cell r="S250">
            <v>43430.701951237126</v>
          </cell>
          <cell r="T250">
            <v>0</v>
          </cell>
          <cell r="U250">
            <v>55400</v>
          </cell>
          <cell r="V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7247.66882818061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U250">
            <v>0</v>
          </cell>
        </row>
        <row r="251">
          <cell r="B251">
            <v>38498</v>
          </cell>
          <cell r="C251">
            <v>5</v>
          </cell>
          <cell r="D251">
            <v>25</v>
          </cell>
          <cell r="E251">
            <v>237</v>
          </cell>
          <cell r="F251">
            <v>1041852.123004504</v>
          </cell>
          <cell r="G251">
            <v>7000</v>
          </cell>
          <cell r="H251">
            <v>5487.3846985745004</v>
          </cell>
          <cell r="I251">
            <v>80646.603435090423</v>
          </cell>
          <cell r="J251">
            <v>38267.252493807915</v>
          </cell>
          <cell r="K251">
            <v>39057.809915511381</v>
          </cell>
          <cell r="L251">
            <v>31349.406660370827</v>
          </cell>
          <cell r="M251">
            <v>31691.269329215564</v>
          </cell>
          <cell r="N251">
            <v>31093.009658737272</v>
          </cell>
          <cell r="O251">
            <v>40152.370383122849</v>
          </cell>
          <cell r="P251">
            <v>45766.864791589367</v>
          </cell>
          <cell r="Q251">
            <v>70316.87769800215</v>
          </cell>
          <cell r="R251">
            <v>0</v>
          </cell>
          <cell r="S251">
            <v>37118.339197125788</v>
          </cell>
          <cell r="T251">
            <v>0</v>
          </cell>
          <cell r="U251">
            <v>40466.266706065508</v>
          </cell>
          <cell r="V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5627.0583616873728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U251">
            <v>0</v>
          </cell>
        </row>
        <row r="252">
          <cell r="B252">
            <v>38499</v>
          </cell>
          <cell r="C252">
            <v>5</v>
          </cell>
          <cell r="D252">
            <v>26</v>
          </cell>
          <cell r="E252">
            <v>238</v>
          </cell>
          <cell r="F252">
            <v>1138870.710852812</v>
          </cell>
          <cell r="G252">
            <v>7000</v>
          </cell>
          <cell r="H252">
            <v>5998.3769043597467</v>
          </cell>
          <cell r="I252">
            <v>88156.51718126722</v>
          </cell>
          <cell r="J252">
            <v>41830.74746186284</v>
          </cell>
          <cell r="K252">
            <v>42694.922590890725</v>
          </cell>
          <cell r="L252">
            <v>34268.703071938806</v>
          </cell>
          <cell r="M252">
            <v>34642.400425031941</v>
          </cell>
          <cell r="N252">
            <v>33988.430057118952</v>
          </cell>
          <cell r="O252">
            <v>43891.409914087046</v>
          </cell>
          <cell r="P252">
            <v>50028.733145343504</v>
          </cell>
          <cell r="Q252">
            <v>76864.87431434427</v>
          </cell>
          <cell r="R252">
            <v>0</v>
          </cell>
          <cell r="S252">
            <v>40574.84590538546</v>
          </cell>
          <cell r="T252">
            <v>0</v>
          </cell>
          <cell r="U252">
            <v>48353.712679177297</v>
          </cell>
          <cell r="V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3042.022831075476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U252">
            <v>0</v>
          </cell>
        </row>
        <row r="253">
          <cell r="B253">
            <v>38500</v>
          </cell>
          <cell r="C253">
            <v>5</v>
          </cell>
          <cell r="D253">
            <v>27</v>
          </cell>
          <cell r="E253">
            <v>239</v>
          </cell>
          <cell r="F253">
            <v>1386701.4977622801</v>
          </cell>
          <cell r="G253">
            <v>7000</v>
          </cell>
          <cell r="H253">
            <v>6420.5720000000001</v>
          </cell>
          <cell r="I253">
            <v>94361.403902474252</v>
          </cell>
          <cell r="J253">
            <v>44775</v>
          </cell>
          <cell r="K253">
            <v>45700.000000000007</v>
          </cell>
          <cell r="L253">
            <v>36680.701951237126</v>
          </cell>
          <cell r="M253">
            <v>37080.701951237126</v>
          </cell>
          <cell r="N253">
            <v>36380.701951237126</v>
          </cell>
          <cell r="O253">
            <v>46980.701951237133</v>
          </cell>
          <cell r="P253">
            <v>53550</v>
          </cell>
          <cell r="Q253">
            <v>82275</v>
          </cell>
          <cell r="R253">
            <v>0</v>
          </cell>
          <cell r="S253">
            <v>43430.701951237126</v>
          </cell>
          <cell r="T253">
            <v>0</v>
          </cell>
          <cell r="U253">
            <v>55400</v>
          </cell>
          <cell r="V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27050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U253">
            <v>0</v>
          </cell>
        </row>
        <row r="254">
          <cell r="B254">
            <v>38501</v>
          </cell>
          <cell r="C254">
            <v>5</v>
          </cell>
          <cell r="D254">
            <v>28</v>
          </cell>
          <cell r="E254">
            <v>240</v>
          </cell>
          <cell r="F254">
            <v>1388407.694294754</v>
          </cell>
          <cell r="G254">
            <v>7000</v>
          </cell>
          <cell r="H254">
            <v>6420.5720000000001</v>
          </cell>
          <cell r="I254">
            <v>94361.403902474252</v>
          </cell>
          <cell r="J254">
            <v>44775</v>
          </cell>
          <cell r="K254">
            <v>45700.000000000007</v>
          </cell>
          <cell r="L254">
            <v>36680.701951237126</v>
          </cell>
          <cell r="M254">
            <v>37080.701951237126</v>
          </cell>
          <cell r="N254">
            <v>36380.701951237126</v>
          </cell>
          <cell r="O254">
            <v>46980.701951237133</v>
          </cell>
          <cell r="P254">
            <v>53550</v>
          </cell>
          <cell r="Q254">
            <v>82275</v>
          </cell>
          <cell r="R254">
            <v>0</v>
          </cell>
          <cell r="S254">
            <v>43430.701951237126</v>
          </cell>
          <cell r="T254">
            <v>0</v>
          </cell>
          <cell r="U254">
            <v>55400</v>
          </cell>
          <cell r="V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27050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U254">
            <v>0</v>
          </cell>
        </row>
        <row r="255">
          <cell r="B255">
            <v>38502</v>
          </cell>
          <cell r="C255">
            <v>5</v>
          </cell>
          <cell r="D255">
            <v>29</v>
          </cell>
          <cell r="E255">
            <v>241</v>
          </cell>
          <cell r="F255">
            <v>1406018.7573917939</v>
          </cell>
          <cell r="G255">
            <v>7000</v>
          </cell>
          <cell r="H255">
            <v>6420.5720000000001</v>
          </cell>
          <cell r="I255">
            <v>94361.403902474252</v>
          </cell>
          <cell r="J255">
            <v>44775</v>
          </cell>
          <cell r="K255">
            <v>45700.000000000007</v>
          </cell>
          <cell r="L255">
            <v>36680.701951237126</v>
          </cell>
          <cell r="M255">
            <v>37080.701951237126</v>
          </cell>
          <cell r="N255">
            <v>36380.701951237126</v>
          </cell>
          <cell r="O255">
            <v>46980.701951237133</v>
          </cell>
          <cell r="P255">
            <v>53550</v>
          </cell>
          <cell r="Q255">
            <v>82275</v>
          </cell>
          <cell r="R255">
            <v>0</v>
          </cell>
          <cell r="S255">
            <v>43430.701951237126</v>
          </cell>
          <cell r="T255">
            <v>0</v>
          </cell>
          <cell r="U255">
            <v>55400</v>
          </cell>
          <cell r="V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27050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U255">
            <v>0</v>
          </cell>
        </row>
        <row r="256">
          <cell r="B256">
            <v>38503</v>
          </cell>
          <cell r="C256">
            <v>5</v>
          </cell>
          <cell r="D256">
            <v>30</v>
          </cell>
          <cell r="E256">
            <v>242</v>
          </cell>
          <cell r="F256">
            <v>1139727.3033775999</v>
          </cell>
          <cell r="G256">
            <v>7000</v>
          </cell>
          <cell r="H256">
            <v>6002.8885357224372</v>
          </cell>
          <cell r="I256">
            <v>88222.823402780501</v>
          </cell>
          <cell r="J256">
            <v>41862.210125043704</v>
          </cell>
          <cell r="K256">
            <v>42727.035236504693</v>
          </cell>
          <cell r="L256">
            <v>34294.478003725053</v>
          </cell>
          <cell r="M256">
            <v>34668.45643030278</v>
          </cell>
          <cell r="N256">
            <v>34013.994183791765</v>
          </cell>
          <cell r="O256">
            <v>43924.422488101394</v>
          </cell>
          <cell r="P256">
            <v>50066.361858092481</v>
          </cell>
          <cell r="Q256">
            <v>76922.687616705109</v>
          </cell>
          <cell r="R256">
            <v>0</v>
          </cell>
          <cell r="S256">
            <v>40605.363952224114</v>
          </cell>
          <cell r="T256">
            <v>0</v>
          </cell>
          <cell r="U256">
            <v>48426.477752646126</v>
          </cell>
          <cell r="V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3014.0442504413681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U256">
            <v>0</v>
          </cell>
        </row>
        <row r="257">
          <cell r="B257">
            <v>38504</v>
          </cell>
          <cell r="C257">
            <v>5</v>
          </cell>
          <cell r="D257">
            <v>31</v>
          </cell>
          <cell r="E257">
            <v>243</v>
          </cell>
          <cell r="F257">
            <v>1183433.4893335081</v>
          </cell>
          <cell r="G257">
            <v>7000</v>
          </cell>
          <cell r="H257">
            <v>6233.0869014519903</v>
          </cell>
          <cell r="I257">
            <v>91605.986299527998</v>
          </cell>
          <cell r="J257">
            <v>43467.539342680509</v>
          </cell>
          <cell r="K257">
            <v>44365.528709335551</v>
          </cell>
          <cell r="L257">
            <v>35609.600339085147</v>
          </cell>
          <cell r="M257">
            <v>35997.92006520625</v>
          </cell>
          <cell r="N257">
            <v>35318.360544494324</v>
          </cell>
          <cell r="O257">
            <v>45608.833286703455</v>
          </cell>
          <cell r="P257">
            <v>51986.303334462114</v>
          </cell>
          <cell r="Q257">
            <v>79872.51366653353</v>
          </cell>
          <cell r="R257">
            <v>0</v>
          </cell>
          <cell r="S257">
            <v>42162.495717378697</v>
          </cell>
          <cell r="T257">
            <v>0</v>
          </cell>
          <cell r="U257">
            <v>52211.802606812584</v>
          </cell>
          <cell r="V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1458.6627832957079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U257">
            <v>0</v>
          </cell>
        </row>
        <row r="258">
          <cell r="B258">
            <v>38505</v>
          </cell>
          <cell r="C258">
            <v>6</v>
          </cell>
          <cell r="D258">
            <v>1</v>
          </cell>
          <cell r="E258">
            <v>244</v>
          </cell>
          <cell r="F258">
            <v>1227074.7819163259</v>
          </cell>
          <cell r="G258">
            <v>7000</v>
          </cell>
          <cell r="H258">
            <v>6420.5720000000001</v>
          </cell>
          <cell r="I258">
            <v>94361.403902474252</v>
          </cell>
          <cell r="J258">
            <v>44775</v>
          </cell>
          <cell r="K258">
            <v>45700.000000000007</v>
          </cell>
          <cell r="L258">
            <v>36680.701951237126</v>
          </cell>
          <cell r="M258">
            <v>37080.701951237126</v>
          </cell>
          <cell r="N258">
            <v>36380.701951237126</v>
          </cell>
          <cell r="O258">
            <v>46980.701951237133</v>
          </cell>
          <cell r="P258">
            <v>53550</v>
          </cell>
          <cell r="Q258">
            <v>82275</v>
          </cell>
          <cell r="R258">
            <v>0</v>
          </cell>
          <cell r="S258">
            <v>43430.701951237126</v>
          </cell>
          <cell r="T258">
            <v>0</v>
          </cell>
          <cell r="U258">
            <v>55400</v>
          </cell>
          <cell r="V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4411.3389587799702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U258">
            <v>0</v>
          </cell>
        </row>
        <row r="259">
          <cell r="B259">
            <v>38506</v>
          </cell>
          <cell r="C259">
            <v>6</v>
          </cell>
          <cell r="D259">
            <v>2</v>
          </cell>
          <cell r="E259">
            <v>245</v>
          </cell>
          <cell r="F259">
            <v>1169360.6126092519</v>
          </cell>
          <cell r="G259">
            <v>7000</v>
          </cell>
          <cell r="H259">
            <v>6158.9657409758656</v>
          </cell>
          <cell r="I259">
            <v>90516.647723244168</v>
          </cell>
          <cell r="J259">
            <v>42950.642256203086</v>
          </cell>
          <cell r="K259">
            <v>43837.953123584171</v>
          </cell>
          <cell r="L259">
            <v>35186.146448107123</v>
          </cell>
          <cell r="M259">
            <v>35569.848444812458</v>
          </cell>
          <cell r="N259">
            <v>34898.369950578126</v>
          </cell>
          <cell r="O259">
            <v>45066.472863269424</v>
          </cell>
          <cell r="P259">
            <v>51368.104808926306</v>
          </cell>
          <cell r="Q259">
            <v>78922.704447327953</v>
          </cell>
          <cell r="R259">
            <v>0</v>
          </cell>
          <cell r="S259">
            <v>41661.117642509598</v>
          </cell>
          <cell r="T259">
            <v>0</v>
          </cell>
          <cell r="U259">
            <v>50977.425712946781</v>
          </cell>
          <cell r="V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1987.2178998822199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U259">
            <v>0</v>
          </cell>
        </row>
        <row r="260">
          <cell r="B260">
            <v>38507</v>
          </cell>
          <cell r="C260">
            <v>6</v>
          </cell>
          <cell r="D260">
            <v>3</v>
          </cell>
          <cell r="E260">
            <v>246</v>
          </cell>
          <cell r="F260">
            <v>1107071.959679126</v>
          </cell>
          <cell r="G260">
            <v>7000</v>
          </cell>
          <cell r="H260">
            <v>5830.8944212209099</v>
          </cell>
          <cell r="I260">
            <v>85695.07258753739</v>
          </cell>
          <cell r="J260">
            <v>40662.7785982567</v>
          </cell>
          <cell r="K260">
            <v>41502.824833954917</v>
          </cell>
          <cell r="L260">
            <v>33311.876320978175</v>
          </cell>
          <cell r="M260">
            <v>33675.139558036863</v>
          </cell>
          <cell r="N260">
            <v>33039.428893184166</v>
          </cell>
          <cell r="O260">
            <v>42665.904675239355</v>
          </cell>
          <cell r="P260">
            <v>48631.865861231629</v>
          </cell>
          <cell r="Q260">
            <v>74718.70707250855</v>
          </cell>
          <cell r="R260">
            <v>0</v>
          </cell>
          <cell r="S260">
            <v>39441.94344634351</v>
          </cell>
          <cell r="T260">
            <v>0</v>
          </cell>
          <cell r="U260">
            <v>45691.212116680559</v>
          </cell>
          <cell r="V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4014.8262396756713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U260">
            <v>0</v>
          </cell>
        </row>
        <row r="261">
          <cell r="B261">
            <v>38508</v>
          </cell>
          <cell r="C261">
            <v>6</v>
          </cell>
          <cell r="D261">
            <v>4</v>
          </cell>
          <cell r="E261">
            <v>247</v>
          </cell>
          <cell r="F261">
            <v>1039084.6702321119</v>
          </cell>
          <cell r="G261">
            <v>7000</v>
          </cell>
          <cell r="H261">
            <v>5472.8086587873404</v>
          </cell>
          <cell r="I261">
            <v>80432.383334816695</v>
          </cell>
          <cell r="J261">
            <v>38165.603889685081</v>
          </cell>
          <cell r="K261">
            <v>38954.061368143128</v>
          </cell>
          <cell r="L261">
            <v>31266.133803830602</v>
          </cell>
          <cell r="M261">
            <v>31607.088389109755</v>
          </cell>
          <cell r="N261">
            <v>31010.417864871237</v>
          </cell>
          <cell r="O261">
            <v>40045.714374768773</v>
          </cell>
          <cell r="P261">
            <v>45645.295104246485</v>
          </cell>
          <cell r="Q261">
            <v>70130.096259605591</v>
          </cell>
          <cell r="R261">
            <v>0</v>
          </cell>
          <cell r="S261">
            <v>37019.742430416292</v>
          </cell>
          <cell r="T261">
            <v>0</v>
          </cell>
          <cell r="U261">
            <v>40251.572618421676</v>
          </cell>
          <cell r="V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5684.6302119008014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U261">
            <v>0</v>
          </cell>
        </row>
        <row r="262">
          <cell r="B262">
            <v>38509</v>
          </cell>
          <cell r="C262">
            <v>6</v>
          </cell>
          <cell r="D262">
            <v>5</v>
          </cell>
          <cell r="E262">
            <v>248</v>
          </cell>
          <cell r="F262">
            <v>1055751.285160796</v>
          </cell>
          <cell r="G262">
            <v>7000</v>
          </cell>
          <cell r="H262">
            <v>5560.5909128302192</v>
          </cell>
          <cell r="I262">
            <v>81722.495295123284</v>
          </cell>
          <cell r="J262">
            <v>38777.769040199695</v>
          </cell>
          <cell r="K262">
            <v>39578.873146557817</v>
          </cell>
          <cell r="L262">
            <v>31767.633467280306</v>
          </cell>
          <cell r="M262">
            <v>32114.056864624359</v>
          </cell>
          <cell r="N262">
            <v>31507.815919272271</v>
          </cell>
          <cell r="O262">
            <v>40688.035948889621</v>
          </cell>
          <cell r="P262">
            <v>46377.432319434811</v>
          </cell>
          <cell r="Q262">
            <v>71254.96254120447</v>
          </cell>
          <cell r="R262">
            <v>0</v>
          </cell>
          <cell r="S262">
            <v>37613.528297461169</v>
          </cell>
          <cell r="T262">
            <v>0</v>
          </cell>
          <cell r="U262">
            <v>41553.175191235241</v>
          </cell>
          <cell r="V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5324.9137149992694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U262">
            <v>0</v>
          </cell>
        </row>
        <row r="263">
          <cell r="B263">
            <v>38510</v>
          </cell>
          <cell r="C263">
            <v>6</v>
          </cell>
          <cell r="D263">
            <v>6</v>
          </cell>
          <cell r="E263">
            <v>249</v>
          </cell>
          <cell r="F263">
            <v>1255933.3641092419</v>
          </cell>
          <cell r="G263">
            <v>7000</v>
          </cell>
          <cell r="H263">
            <v>6420.5720000000001</v>
          </cell>
          <cell r="I263">
            <v>94361.403902474252</v>
          </cell>
          <cell r="J263">
            <v>44775</v>
          </cell>
          <cell r="K263">
            <v>45700.000000000007</v>
          </cell>
          <cell r="L263">
            <v>36680.701951237126</v>
          </cell>
          <cell r="M263">
            <v>37080.701951237126</v>
          </cell>
          <cell r="N263">
            <v>36380.701951237126</v>
          </cell>
          <cell r="O263">
            <v>46980.701951237133</v>
          </cell>
          <cell r="P263">
            <v>53550</v>
          </cell>
          <cell r="Q263">
            <v>82275</v>
          </cell>
          <cell r="R263">
            <v>0</v>
          </cell>
          <cell r="S263">
            <v>43430.701951237126</v>
          </cell>
          <cell r="T263">
            <v>0</v>
          </cell>
          <cell r="U263">
            <v>55400</v>
          </cell>
          <cell r="V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20235.880785627254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U263">
            <v>0</v>
          </cell>
        </row>
        <row r="264">
          <cell r="B264">
            <v>38511</v>
          </cell>
          <cell r="C264">
            <v>6</v>
          </cell>
          <cell r="D264">
            <v>7</v>
          </cell>
          <cell r="E264">
            <v>250</v>
          </cell>
          <cell r="F264">
            <v>1305116.550753946</v>
          </cell>
          <cell r="G264">
            <v>7000</v>
          </cell>
          <cell r="H264">
            <v>6420.5720000000001</v>
          </cell>
          <cell r="I264">
            <v>94361.403902474252</v>
          </cell>
          <cell r="J264">
            <v>44775</v>
          </cell>
          <cell r="K264">
            <v>45700.000000000007</v>
          </cell>
          <cell r="L264">
            <v>36680.701951237126</v>
          </cell>
          <cell r="M264">
            <v>37080.701951237126</v>
          </cell>
          <cell r="N264">
            <v>36380.701951237126</v>
          </cell>
          <cell r="O264">
            <v>46980.701951237133</v>
          </cell>
          <cell r="P264">
            <v>53550</v>
          </cell>
          <cell r="Q264">
            <v>82275</v>
          </cell>
          <cell r="R264">
            <v>0</v>
          </cell>
          <cell r="S264">
            <v>43430.701951237126</v>
          </cell>
          <cell r="T264">
            <v>0</v>
          </cell>
          <cell r="U264">
            <v>55400</v>
          </cell>
          <cell r="V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27050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U264">
            <v>0</v>
          </cell>
        </row>
        <row r="265">
          <cell r="B265">
            <v>38512</v>
          </cell>
          <cell r="C265">
            <v>6</v>
          </cell>
          <cell r="D265">
            <v>8</v>
          </cell>
          <cell r="E265">
            <v>251</v>
          </cell>
          <cell r="F265">
            <v>1287634.2760435001</v>
          </cell>
          <cell r="G265">
            <v>7000</v>
          </cell>
          <cell r="H265">
            <v>6420.5720000000001</v>
          </cell>
          <cell r="I265">
            <v>94361.403902474252</v>
          </cell>
          <cell r="J265">
            <v>44775</v>
          </cell>
          <cell r="K265">
            <v>45700.000000000007</v>
          </cell>
          <cell r="L265">
            <v>36680.701951237126</v>
          </cell>
          <cell r="M265">
            <v>37080.701951237126</v>
          </cell>
          <cell r="N265">
            <v>36380.701951237126</v>
          </cell>
          <cell r="O265">
            <v>46980.701951237133</v>
          </cell>
          <cell r="P265">
            <v>53550</v>
          </cell>
          <cell r="Q265">
            <v>82275</v>
          </cell>
          <cell r="R265">
            <v>0</v>
          </cell>
          <cell r="S265">
            <v>43430.701951237126</v>
          </cell>
          <cell r="T265">
            <v>0</v>
          </cell>
          <cell r="U265">
            <v>55400</v>
          </cell>
          <cell r="V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27050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U265">
            <v>0</v>
          </cell>
        </row>
        <row r="266">
          <cell r="B266">
            <v>38513</v>
          </cell>
          <cell r="C266">
            <v>6</v>
          </cell>
          <cell r="D266">
            <v>9</v>
          </cell>
          <cell r="E266">
            <v>252</v>
          </cell>
          <cell r="F266">
            <v>1362539.1990619081</v>
          </cell>
          <cell r="G266">
            <v>7000</v>
          </cell>
          <cell r="H266">
            <v>6420.5720000000001</v>
          </cell>
          <cell r="I266">
            <v>94361.403902474252</v>
          </cell>
          <cell r="J266">
            <v>44775</v>
          </cell>
          <cell r="K266">
            <v>45700.000000000007</v>
          </cell>
          <cell r="L266">
            <v>36680.701951237126</v>
          </cell>
          <cell r="M266">
            <v>37080.701951237126</v>
          </cell>
          <cell r="N266">
            <v>36380.701951237126</v>
          </cell>
          <cell r="O266">
            <v>46980.701951237133</v>
          </cell>
          <cell r="P266">
            <v>53550</v>
          </cell>
          <cell r="Q266">
            <v>82275</v>
          </cell>
          <cell r="R266">
            <v>0</v>
          </cell>
          <cell r="S266">
            <v>43430.701951237126</v>
          </cell>
          <cell r="T266">
            <v>0</v>
          </cell>
          <cell r="U266">
            <v>55400</v>
          </cell>
          <cell r="V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27050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U266">
            <v>0</v>
          </cell>
        </row>
        <row r="267">
          <cell r="B267">
            <v>38514</v>
          </cell>
          <cell r="C267">
            <v>6</v>
          </cell>
          <cell r="D267">
            <v>10</v>
          </cell>
          <cell r="E267">
            <v>253</v>
          </cell>
          <cell r="F267">
            <v>1420061.68332847</v>
          </cell>
          <cell r="G267">
            <v>7000</v>
          </cell>
          <cell r="H267">
            <v>6420.5720000000001</v>
          </cell>
          <cell r="I267">
            <v>94361.403902474252</v>
          </cell>
          <cell r="J267">
            <v>44775</v>
          </cell>
          <cell r="K267">
            <v>45700.000000000007</v>
          </cell>
          <cell r="L267">
            <v>36680.701951237126</v>
          </cell>
          <cell r="M267">
            <v>37080.701951237126</v>
          </cell>
          <cell r="N267">
            <v>36380.701951237126</v>
          </cell>
          <cell r="O267">
            <v>46980.701951237133</v>
          </cell>
          <cell r="P267">
            <v>53550</v>
          </cell>
          <cell r="Q267">
            <v>82275</v>
          </cell>
          <cell r="R267">
            <v>0</v>
          </cell>
          <cell r="S267">
            <v>43430.701951237126</v>
          </cell>
          <cell r="T267">
            <v>0</v>
          </cell>
          <cell r="U267">
            <v>55400</v>
          </cell>
          <cell r="V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27050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U267">
            <v>0</v>
          </cell>
        </row>
        <row r="268">
          <cell r="B268">
            <v>38515</v>
          </cell>
          <cell r="C268">
            <v>6</v>
          </cell>
          <cell r="D268">
            <v>11</v>
          </cell>
          <cell r="E268">
            <v>254</v>
          </cell>
          <cell r="F268">
            <v>1415199.67214465</v>
          </cell>
          <cell r="G268">
            <v>7000</v>
          </cell>
          <cell r="H268">
            <v>6420.5720000000001</v>
          </cell>
          <cell r="I268">
            <v>94361.403902474252</v>
          </cell>
          <cell r="J268">
            <v>44775</v>
          </cell>
          <cell r="K268">
            <v>45700.000000000007</v>
          </cell>
          <cell r="L268">
            <v>36680.701951237126</v>
          </cell>
          <cell r="M268">
            <v>37080.701951237126</v>
          </cell>
          <cell r="N268">
            <v>36380.701951237126</v>
          </cell>
          <cell r="O268">
            <v>46980.701951237133</v>
          </cell>
          <cell r="P268">
            <v>53550</v>
          </cell>
          <cell r="Q268">
            <v>82275</v>
          </cell>
          <cell r="R268">
            <v>0</v>
          </cell>
          <cell r="S268">
            <v>43430.701951237126</v>
          </cell>
          <cell r="T268">
            <v>0</v>
          </cell>
          <cell r="U268">
            <v>55400</v>
          </cell>
          <cell r="V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27050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U268">
            <v>0</v>
          </cell>
        </row>
        <row r="269">
          <cell r="B269">
            <v>38516</v>
          </cell>
          <cell r="C269">
            <v>6</v>
          </cell>
          <cell r="D269">
            <v>12</v>
          </cell>
          <cell r="E269">
            <v>255</v>
          </cell>
          <cell r="F269">
            <v>1157937.3822262399</v>
          </cell>
          <cell r="G269">
            <v>7000</v>
          </cell>
          <cell r="H269">
            <v>6098.8001395167412</v>
          </cell>
          <cell r="I269">
            <v>89632.410209776572</v>
          </cell>
          <cell r="J269">
            <v>42531.066740916867</v>
          </cell>
          <cell r="K269">
            <v>43409.709660745975</v>
          </cell>
          <cell r="L269">
            <v>34842.420609530891</v>
          </cell>
          <cell r="M269">
            <v>35222.374304592129</v>
          </cell>
          <cell r="N269">
            <v>34557.45533823497</v>
          </cell>
          <cell r="O269">
            <v>44626.228257357674</v>
          </cell>
          <cell r="P269">
            <v>50866.300926322685</v>
          </cell>
          <cell r="Q269">
            <v>78151.725652907538</v>
          </cell>
          <cell r="R269">
            <v>0</v>
          </cell>
          <cell r="S269">
            <v>41254.139213689217</v>
          </cell>
          <cell r="T269">
            <v>0</v>
          </cell>
          <cell r="U269">
            <v>49986.315597774796</v>
          </cell>
          <cell r="V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2396.7274394735255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U269">
            <v>0</v>
          </cell>
        </row>
        <row r="270">
          <cell r="B270">
            <v>38517</v>
          </cell>
          <cell r="C270">
            <v>6</v>
          </cell>
          <cell r="D270">
            <v>13</v>
          </cell>
          <cell r="E270">
            <v>256</v>
          </cell>
          <cell r="F270">
            <v>1140375.2387489139</v>
          </cell>
          <cell r="G270">
            <v>7000</v>
          </cell>
          <cell r="H270">
            <v>6006.3011799583201</v>
          </cell>
          <cell r="I270">
            <v>88272.978108796975</v>
          </cell>
          <cell r="J270">
            <v>41886.008806167702</v>
          </cell>
          <cell r="K270">
            <v>42751.325571007583</v>
          </cell>
          <cell r="L270">
            <v>34313.974426486457</v>
          </cell>
          <cell r="M270">
            <v>34688.165459930729</v>
          </cell>
          <cell r="N270">
            <v>34033.331151403261</v>
          </cell>
          <cell r="O270">
            <v>43949.393537676355</v>
          </cell>
          <cell r="P270">
            <v>50094.824602351327</v>
          </cell>
          <cell r="Q270">
            <v>76966.418191567791</v>
          </cell>
          <cell r="R270">
            <v>0</v>
          </cell>
          <cell r="S270">
            <v>40628.448115858475</v>
          </cell>
          <cell r="T270">
            <v>0</v>
          </cell>
          <cell r="U270">
            <v>48481.554342868381</v>
          </cell>
          <cell r="V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2992.8182166147449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U270">
            <v>0</v>
          </cell>
        </row>
        <row r="271">
          <cell r="B271">
            <v>38518</v>
          </cell>
          <cell r="C271">
            <v>6</v>
          </cell>
          <cell r="D271">
            <v>14</v>
          </cell>
          <cell r="E271">
            <v>257</v>
          </cell>
          <cell r="F271">
            <v>1284418.559816994</v>
          </cell>
          <cell r="G271">
            <v>7000</v>
          </cell>
          <cell r="H271">
            <v>6420.5720000000001</v>
          </cell>
          <cell r="I271">
            <v>94361.403902474252</v>
          </cell>
          <cell r="J271">
            <v>44775</v>
          </cell>
          <cell r="K271">
            <v>45700.000000000007</v>
          </cell>
          <cell r="L271">
            <v>36680.701951237126</v>
          </cell>
          <cell r="M271">
            <v>37080.701951237126</v>
          </cell>
          <cell r="N271">
            <v>36380.701951237126</v>
          </cell>
          <cell r="O271">
            <v>46980.701951237133</v>
          </cell>
          <cell r="P271">
            <v>53550</v>
          </cell>
          <cell r="Q271">
            <v>82275</v>
          </cell>
          <cell r="R271">
            <v>0</v>
          </cell>
          <cell r="S271">
            <v>43430.701951237126</v>
          </cell>
          <cell r="T271">
            <v>0</v>
          </cell>
          <cell r="U271">
            <v>55400</v>
          </cell>
          <cell r="V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27050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U271">
            <v>0</v>
          </cell>
        </row>
        <row r="272">
          <cell r="B272">
            <v>38519</v>
          </cell>
          <cell r="C272">
            <v>6</v>
          </cell>
          <cell r="D272">
            <v>15</v>
          </cell>
          <cell r="E272">
            <v>258</v>
          </cell>
          <cell r="F272">
            <v>1153631.457331822</v>
          </cell>
          <cell r="G272">
            <v>7000</v>
          </cell>
          <cell r="H272">
            <v>6076.1210415362148</v>
          </cell>
          <cell r="I272">
            <v>89299.101662705652</v>
          </cell>
          <cell r="J272">
            <v>42372.910020288531</v>
          </cell>
          <cell r="K272">
            <v>43248.285604180594</v>
          </cell>
          <cell r="L272">
            <v>34712.855014199733</v>
          </cell>
          <cell r="M272">
            <v>35091.395807234134</v>
          </cell>
          <cell r="N272">
            <v>34428.949419423931</v>
          </cell>
          <cell r="O272">
            <v>44460.280434835622</v>
          </cell>
          <cell r="P272">
            <v>50677.14866748076</v>
          </cell>
          <cell r="Q272">
            <v>77861.109367263867</v>
          </cell>
          <cell r="R272">
            <v>0</v>
          </cell>
          <cell r="S272">
            <v>41100.730896655288</v>
          </cell>
          <cell r="T272">
            <v>0</v>
          </cell>
          <cell r="U272">
            <v>49615.246951923487</v>
          </cell>
          <cell r="V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2546.6075038486692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U272">
            <v>0</v>
          </cell>
        </row>
        <row r="273">
          <cell r="B273">
            <v>38520</v>
          </cell>
          <cell r="C273">
            <v>6</v>
          </cell>
          <cell r="D273">
            <v>16</v>
          </cell>
          <cell r="E273">
            <v>259</v>
          </cell>
          <cell r="F273">
            <v>1087975.3375181179</v>
          </cell>
          <cell r="G273">
            <v>7000</v>
          </cell>
          <cell r="H273">
            <v>5730.3134367155662</v>
          </cell>
          <cell r="I273">
            <v>84216.861159674401</v>
          </cell>
          <cell r="J273">
            <v>39961.359226084445</v>
          </cell>
          <cell r="K273">
            <v>40786.91494432294</v>
          </cell>
          <cell r="L273">
            <v>32737.257561994946</v>
          </cell>
          <cell r="M273">
            <v>33094.254629341318</v>
          </cell>
          <cell r="N273">
            <v>32469.509761485169</v>
          </cell>
          <cell r="O273">
            <v>41929.932046164016</v>
          </cell>
          <cell r="P273">
            <v>47792.982390995472</v>
          </cell>
          <cell r="Q273">
            <v>73429.834289806764</v>
          </cell>
          <cell r="R273">
            <v>0</v>
          </cell>
          <cell r="S273">
            <v>38761.583073464964</v>
          </cell>
          <cell r="T273">
            <v>0</v>
          </cell>
          <cell r="U273">
            <v>44128.491235016176</v>
          </cell>
          <cell r="V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4538.8971489701671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U273">
            <v>0</v>
          </cell>
        </row>
        <row r="274">
          <cell r="B274">
            <v>38521</v>
          </cell>
          <cell r="C274">
            <v>6</v>
          </cell>
          <cell r="D274">
            <v>17</v>
          </cell>
          <cell r="E274">
            <v>260</v>
          </cell>
          <cell r="F274">
            <v>1002226.232676578</v>
          </cell>
          <cell r="G274">
            <v>7000</v>
          </cell>
          <cell r="H274">
            <v>5278.6770524012718</v>
          </cell>
          <cell r="I274">
            <v>77579.283810283348</v>
          </cell>
          <cell r="J274">
            <v>36811.792628642259</v>
          </cell>
          <cell r="K274">
            <v>37572.281923594674</v>
          </cell>
          <cell r="L274">
            <v>30157.060719195415</v>
          </cell>
          <cell r="M274">
            <v>30485.920954850513</v>
          </cell>
          <cell r="N274">
            <v>29910.415542454095</v>
          </cell>
          <cell r="O274">
            <v>38625.211787314132</v>
          </cell>
          <cell r="P274">
            <v>44026.164048325925</v>
          </cell>
          <cell r="Q274">
            <v>67642.43972130747</v>
          </cell>
          <cell r="R274">
            <v>0</v>
          </cell>
          <cell r="S274">
            <v>35706.577195875157</v>
          </cell>
          <cell r="T274">
            <v>0</v>
          </cell>
          <cell r="U274">
            <v>37446.610153561975</v>
          </cell>
          <cell r="V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6371.7410904337803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U274">
            <v>0</v>
          </cell>
        </row>
        <row r="275">
          <cell r="B275">
            <v>38522</v>
          </cell>
          <cell r="C275">
            <v>6</v>
          </cell>
          <cell r="D275">
            <v>18</v>
          </cell>
          <cell r="E275">
            <v>261</v>
          </cell>
          <cell r="F275">
            <v>955689.69729435991</v>
          </cell>
          <cell r="G275">
            <v>7000</v>
          </cell>
          <cell r="H275">
            <v>5033.5713732530312</v>
          </cell>
          <cell r="I275">
            <v>73977.032174619526</v>
          </cell>
          <cell r="J275">
            <v>35102.504611334392</v>
          </cell>
          <cell r="K275">
            <v>35827.681981864473</v>
          </cell>
          <cell r="L275">
            <v>28756.772962373725</v>
          </cell>
          <cell r="M275">
            <v>29070.363176657003</v>
          </cell>
          <cell r="N275">
            <v>28521.58030166127</v>
          </cell>
          <cell r="O275">
            <v>36831.720980168131</v>
          </cell>
          <cell r="P275">
            <v>41981.889937173793</v>
          </cell>
          <cell r="Q275">
            <v>64501.587200391674</v>
          </cell>
          <cell r="R275">
            <v>0</v>
          </cell>
          <cell r="S275">
            <v>34048.607828404041</v>
          </cell>
          <cell r="T275">
            <v>0</v>
          </cell>
          <cell r="U275">
            <v>34049.817288627812</v>
          </cell>
          <cell r="V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7037.3783842670036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U275">
            <v>0</v>
          </cell>
        </row>
        <row r="276">
          <cell r="B276">
            <v>38523</v>
          </cell>
          <cell r="C276">
            <v>6</v>
          </cell>
          <cell r="D276">
            <v>19</v>
          </cell>
          <cell r="E276">
            <v>262</v>
          </cell>
          <cell r="F276">
            <v>891446.25629484595</v>
          </cell>
          <cell r="G276">
            <v>7000</v>
          </cell>
          <cell r="H276">
            <v>4695.2042793626988</v>
          </cell>
          <cell r="I276">
            <v>69004.142841100329</v>
          </cell>
          <cell r="J276">
            <v>32742.841542539336</v>
          </cell>
          <cell r="K276">
            <v>33419.270988141776</v>
          </cell>
          <cell r="L276">
            <v>26823.683119117155</v>
          </cell>
          <cell r="M276">
            <v>27116.193149647937</v>
          </cell>
          <cell r="N276">
            <v>26604.300596219069</v>
          </cell>
          <cell r="O276">
            <v>34355.816405284779</v>
          </cell>
          <cell r="P276">
            <v>39159.780337308352</v>
          </cell>
          <cell r="Q276">
            <v>60165.656904800082</v>
          </cell>
          <cell r="R276">
            <v>0</v>
          </cell>
          <cell r="S276">
            <v>31759.789884324091</v>
          </cell>
          <cell r="T276">
            <v>0</v>
          </cell>
          <cell r="U276">
            <v>29625.883344037335</v>
          </cell>
          <cell r="V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7616.7979746586507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U276">
            <v>0</v>
          </cell>
        </row>
        <row r="277">
          <cell r="B277">
            <v>38524</v>
          </cell>
          <cell r="C277">
            <v>6</v>
          </cell>
          <cell r="D277">
            <v>20</v>
          </cell>
          <cell r="E277">
            <v>263</v>
          </cell>
          <cell r="F277">
            <v>853970.83251516393</v>
          </cell>
          <cell r="G277">
            <v>7000</v>
          </cell>
          <cell r="H277">
            <v>4497.823036400704</v>
          </cell>
          <cell r="I277">
            <v>66103.284289882591</v>
          </cell>
          <cell r="J277">
            <v>31366.368363261328</v>
          </cell>
          <cell r="K277">
            <v>32014.36145619303</v>
          </cell>
          <cell r="L277">
            <v>25696.044873824732</v>
          </cell>
          <cell r="M277">
            <v>25976.258103200602</v>
          </cell>
          <cell r="N277">
            <v>25485.884951792832</v>
          </cell>
          <cell r="O277">
            <v>32911.535530253364</v>
          </cell>
          <cell r="P277">
            <v>37513.546082694455</v>
          </cell>
          <cell r="Q277">
            <v>57636.358617249047</v>
          </cell>
          <cell r="R277">
            <v>0</v>
          </cell>
          <cell r="S277">
            <v>30424.643119542521</v>
          </cell>
          <cell r="T277">
            <v>0</v>
          </cell>
          <cell r="U277">
            <v>27187.360918849012</v>
          </cell>
          <cell r="V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7789.4913269896615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U277">
            <v>0</v>
          </cell>
        </row>
        <row r="278">
          <cell r="B278">
            <v>38525</v>
          </cell>
          <cell r="C278">
            <v>6</v>
          </cell>
          <cell r="D278">
            <v>21</v>
          </cell>
          <cell r="E278">
            <v>264</v>
          </cell>
          <cell r="F278">
            <v>959928.73209651595</v>
          </cell>
          <cell r="G278">
            <v>7000</v>
          </cell>
          <cell r="H278">
            <v>5055.8981643555871</v>
          </cell>
          <cell r="I278">
            <v>74305.162963134091</v>
          </cell>
          <cell r="J278">
            <v>35258.20445733206</v>
          </cell>
          <cell r="K278">
            <v>35986.598407595207</v>
          </cell>
          <cell r="L278">
            <v>28884.325829931382</v>
          </cell>
          <cell r="M278">
            <v>29199.306997612741</v>
          </cell>
          <cell r="N278">
            <v>28648.089954170366</v>
          </cell>
          <cell r="O278">
            <v>36995.090897726361</v>
          </cell>
          <cell r="P278">
            <v>42168.103823341866</v>
          </cell>
          <cell r="Q278">
            <v>64787.688927459414</v>
          </cell>
          <cell r="R278">
            <v>0</v>
          </cell>
          <cell r="S278">
            <v>34199.633034554303</v>
          </cell>
          <cell r="T278">
            <v>0</v>
          </cell>
          <cell r="U278">
            <v>34352.548337891996</v>
          </cell>
          <cell r="V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6985.6574233089768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U278">
            <v>0</v>
          </cell>
        </row>
        <row r="279">
          <cell r="B279">
            <v>38526</v>
          </cell>
          <cell r="C279">
            <v>6</v>
          </cell>
          <cell r="D279">
            <v>22</v>
          </cell>
          <cell r="E279">
            <v>265</v>
          </cell>
          <cell r="F279">
            <v>1004140.0880029399</v>
          </cell>
          <cell r="G279">
            <v>7000</v>
          </cell>
          <cell r="H279">
            <v>5288.7572357605741</v>
          </cell>
          <cell r="I279">
            <v>77727.429528979148</v>
          </cell>
          <cell r="J279">
            <v>36882.088578896037</v>
          </cell>
          <cell r="K279">
            <v>37644.030107326616</v>
          </cell>
          <cell r="L279">
            <v>30214.648766088492</v>
          </cell>
          <cell r="M279">
            <v>30544.136994599012</v>
          </cell>
          <cell r="N279">
            <v>29967.532594705608</v>
          </cell>
          <cell r="O279">
            <v>38698.970650234325</v>
          </cell>
          <cell r="P279">
            <v>44110.236591845518</v>
          </cell>
          <cell r="Q279">
            <v>67771.610001757042</v>
          </cell>
          <cell r="R279">
            <v>0</v>
          </cell>
          <cell r="S279">
            <v>35774.762622203474</v>
          </cell>
          <cell r="T279">
            <v>0</v>
          </cell>
          <cell r="U279">
            <v>37589.763106723462</v>
          </cell>
          <cell r="V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6339.6371724521559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U279">
            <v>0</v>
          </cell>
        </row>
        <row r="280">
          <cell r="B280">
            <v>38527</v>
          </cell>
          <cell r="C280">
            <v>6</v>
          </cell>
          <cell r="D280">
            <v>23</v>
          </cell>
          <cell r="E280">
            <v>266</v>
          </cell>
          <cell r="F280">
            <v>1066955.8747944739</v>
          </cell>
          <cell r="G280">
            <v>7000</v>
          </cell>
          <cell r="H280">
            <v>5619.6049440464167</v>
          </cell>
          <cell r="I280">
            <v>82589.808493309509</v>
          </cell>
          <cell r="J280">
            <v>39189.313875722961</v>
          </cell>
          <cell r="K280">
            <v>39998.920025026011</v>
          </cell>
          <cell r="L280">
            <v>32104.780389701293</v>
          </cell>
          <cell r="M280">
            <v>32454.880346156664</v>
          </cell>
          <cell r="N280">
            <v>31842.205422359766</v>
          </cell>
          <cell r="O280">
            <v>41119.85426842708</v>
          </cell>
          <cell r="P280">
            <v>46869.631670462637</v>
          </cell>
          <cell r="Q280">
            <v>72011.184793413893</v>
          </cell>
          <cell r="R280">
            <v>0</v>
          </cell>
          <cell r="S280">
            <v>38012.717154885664</v>
          </cell>
          <cell r="T280">
            <v>0</v>
          </cell>
          <cell r="U280">
            <v>42439.855405355491</v>
          </cell>
          <cell r="V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5065.3330853517291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U280">
            <v>0</v>
          </cell>
        </row>
        <row r="281">
          <cell r="B281">
            <v>38528</v>
          </cell>
          <cell r="C281">
            <v>6</v>
          </cell>
          <cell r="D281">
            <v>24</v>
          </cell>
          <cell r="E281">
            <v>267</v>
          </cell>
          <cell r="F281">
            <v>1089058.5576689281</v>
          </cell>
          <cell r="G281">
            <v>7000</v>
          </cell>
          <cell r="H281">
            <v>5736.018704814077</v>
          </cell>
          <cell r="I281">
            <v>84300.709936296713</v>
          </cell>
          <cell r="J281">
            <v>40001.145927193145</v>
          </cell>
          <cell r="K281">
            <v>40827.523592914054</v>
          </cell>
          <cell r="L281">
            <v>32769.851735640754</v>
          </cell>
          <cell r="M281">
            <v>33127.204239736282</v>
          </cell>
          <cell r="N281">
            <v>32501.837357569108</v>
          </cell>
          <cell r="O281">
            <v>41971.678716100592</v>
          </cell>
          <cell r="P281">
            <v>47840.56648578879</v>
          </cell>
          <cell r="Q281">
            <v>73502.94318614887</v>
          </cell>
          <cell r="R281">
            <v>0</v>
          </cell>
          <cell r="S281">
            <v>38800.175242252779</v>
          </cell>
          <cell r="T281">
            <v>0</v>
          </cell>
          <cell r="U281">
            <v>44216.406218482924</v>
          </cell>
          <cell r="V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4510.3491923974379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U281">
            <v>0</v>
          </cell>
        </row>
        <row r="282">
          <cell r="B282">
            <v>38529</v>
          </cell>
          <cell r="C282">
            <v>6</v>
          </cell>
          <cell r="D282">
            <v>25</v>
          </cell>
          <cell r="E282">
            <v>268</v>
          </cell>
          <cell r="F282">
            <v>1003590.9902306399</v>
          </cell>
          <cell r="G282">
            <v>7000</v>
          </cell>
          <cell r="H282">
            <v>5285.8651643742323</v>
          </cell>
          <cell r="I282">
            <v>77684.925540829601</v>
          </cell>
          <cell r="J282">
            <v>36861.920205062139</v>
          </cell>
          <cell r="K282">
            <v>37623.445078086879</v>
          </cell>
          <cell r="L282">
            <v>30198.126373917818</v>
          </cell>
          <cell r="M282">
            <v>30527.434427117703</v>
          </cell>
          <cell r="N282">
            <v>29951.145334017903</v>
          </cell>
          <cell r="O282">
            <v>38677.808743814865</v>
          </cell>
          <cell r="P282">
            <v>44086.115622134625</v>
          </cell>
          <cell r="Q282">
            <v>67734.550192551367</v>
          </cell>
          <cell r="R282">
            <v>0</v>
          </cell>
          <cell r="S282">
            <v>35755.199771665881</v>
          </cell>
          <cell r="T282">
            <v>0</v>
          </cell>
          <cell r="U282">
            <v>37548.663638670791</v>
          </cell>
          <cell r="V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6348.8872675808143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U282">
            <v>0</v>
          </cell>
        </row>
        <row r="283">
          <cell r="B283">
            <v>38530</v>
          </cell>
          <cell r="C283">
            <v>6</v>
          </cell>
          <cell r="D283">
            <v>26</v>
          </cell>
          <cell r="E283">
            <v>269</v>
          </cell>
          <cell r="F283">
            <v>877424.295909476</v>
          </cell>
          <cell r="G283">
            <v>7000</v>
          </cell>
          <cell r="H283">
            <v>4621.3512927787633</v>
          </cell>
          <cell r="I283">
            <v>67918.745543717669</v>
          </cell>
          <cell r="J283">
            <v>32227.814614362884</v>
          </cell>
          <cell r="K283">
            <v>32893.604196010812</v>
          </cell>
          <cell r="L283">
            <v>26401.761304504053</v>
          </cell>
          <cell r="M283">
            <v>26689.670312784234</v>
          </cell>
          <cell r="N283">
            <v>26185.829548293917</v>
          </cell>
          <cell r="O283">
            <v>33815.418267718742</v>
          </cell>
          <cell r="P283">
            <v>38543.818483509378</v>
          </cell>
          <cell r="Q283">
            <v>59219.284140629949</v>
          </cell>
          <cell r="R283">
            <v>0</v>
          </cell>
          <cell r="S283">
            <v>31260.225819232124</v>
          </cell>
          <cell r="T283">
            <v>0</v>
          </cell>
          <cell r="U283">
            <v>28701.215478174003</v>
          </cell>
          <cell r="V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7694.9214256932592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U283">
            <v>0</v>
          </cell>
        </row>
        <row r="284">
          <cell r="B284">
            <v>38531</v>
          </cell>
          <cell r="C284">
            <v>6</v>
          </cell>
          <cell r="D284">
            <v>27</v>
          </cell>
          <cell r="E284">
            <v>270</v>
          </cell>
          <cell r="F284">
            <v>852012.05100743193</v>
          </cell>
          <cell r="G284">
            <v>7000</v>
          </cell>
          <cell r="H284">
            <v>4487.5062290188835</v>
          </cell>
          <cell r="I284">
            <v>65951.660972156373</v>
          </cell>
          <cell r="J284">
            <v>31294.422273330238</v>
          </cell>
          <cell r="K284">
            <v>31940.929042796026</v>
          </cell>
          <cell r="L284">
            <v>25637.104994844962</v>
          </cell>
          <cell r="M284">
            <v>25916.675489749083</v>
          </cell>
          <cell r="N284">
            <v>25427.427123666868</v>
          </cell>
          <cell r="O284">
            <v>32836.045238626124</v>
          </cell>
          <cell r="P284">
            <v>37427.500005289432</v>
          </cell>
          <cell r="Q284">
            <v>57504.156170591748</v>
          </cell>
          <cell r="R284">
            <v>0</v>
          </cell>
          <cell r="S284">
            <v>30354.857096352032</v>
          </cell>
          <cell r="T284">
            <v>0</v>
          </cell>
          <cell r="U284">
            <v>27062.782836249171</v>
          </cell>
          <cell r="V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7795.4024803761113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U284">
            <v>0</v>
          </cell>
        </row>
        <row r="285">
          <cell r="B285">
            <v>38532</v>
          </cell>
          <cell r="C285">
            <v>6</v>
          </cell>
          <cell r="D285">
            <v>28</v>
          </cell>
          <cell r="E285">
            <v>271</v>
          </cell>
          <cell r="F285">
            <v>964092.88992972195</v>
          </cell>
          <cell r="G285">
            <v>7000</v>
          </cell>
          <cell r="H285">
            <v>5077.8305820872783</v>
          </cell>
          <cell r="I285">
            <v>74627.497753264601</v>
          </cell>
          <cell r="J285">
            <v>35411.154070534198</v>
          </cell>
          <cell r="K285">
            <v>36142.707783884158</v>
          </cell>
          <cell r="L285">
            <v>29009.625644011216</v>
          </cell>
          <cell r="M285">
            <v>29325.973195730116</v>
          </cell>
          <cell r="N285">
            <v>28772.364980222043</v>
          </cell>
          <cell r="O285">
            <v>37155.575100772854</v>
          </cell>
          <cell r="P285">
            <v>42351.028486367533</v>
          </cell>
          <cell r="Q285">
            <v>65068.737044180918</v>
          </cell>
          <cell r="R285">
            <v>0</v>
          </cell>
          <cell r="S285">
            <v>34347.990579267629</v>
          </cell>
          <cell r="T285">
            <v>0</v>
          </cell>
          <cell r="U285">
            <v>34651.236566944834</v>
          </cell>
          <cell r="V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6933.1497763109892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U285">
            <v>0</v>
          </cell>
        </row>
        <row r="286">
          <cell r="B286">
            <v>38533</v>
          </cell>
          <cell r="C286">
            <v>6</v>
          </cell>
          <cell r="D286">
            <v>29</v>
          </cell>
          <cell r="E286">
            <v>272</v>
          </cell>
          <cell r="F286">
            <v>963171.40403184399</v>
          </cell>
          <cell r="G286">
            <v>7000</v>
          </cell>
          <cell r="H286">
            <v>5072.9771604698371</v>
          </cell>
          <cell r="I286">
            <v>74556.168333151829</v>
          </cell>
          <cell r="J286">
            <v>35377.30787226386</v>
          </cell>
          <cell r="K286">
            <v>36108.1623620873</v>
          </cell>
          <cell r="L286">
            <v>28981.898065877514</v>
          </cell>
          <cell r="M286">
            <v>29297.943250666027</v>
          </cell>
          <cell r="N286">
            <v>28744.864177286134</v>
          </cell>
          <cell r="O286">
            <v>37120.061574181658</v>
          </cell>
          <cell r="P286">
            <v>42310.549113561807</v>
          </cell>
          <cell r="Q286">
            <v>65006.543946186692</v>
          </cell>
          <cell r="R286">
            <v>0</v>
          </cell>
          <cell r="S286">
            <v>34315.16055918362</v>
          </cell>
          <cell r="T286">
            <v>0</v>
          </cell>
          <cell r="U286">
            <v>34585.028494196202</v>
          </cell>
          <cell r="V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6944.9150305559833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U286">
            <v>0</v>
          </cell>
        </row>
        <row r="287">
          <cell r="B287">
            <v>38534</v>
          </cell>
          <cell r="C287">
            <v>6</v>
          </cell>
          <cell r="D287">
            <v>30</v>
          </cell>
          <cell r="E287">
            <v>273</v>
          </cell>
          <cell r="F287">
            <v>997283.35436629201</v>
          </cell>
          <cell r="G287">
            <v>7000</v>
          </cell>
          <cell r="H287">
            <v>5252.6431516125876</v>
          </cell>
          <cell r="I287">
            <v>77196.670636958923</v>
          </cell>
          <cell r="J287">
            <v>36630.240594366609</v>
          </cell>
          <cell r="K287">
            <v>37386.979233111204</v>
          </cell>
          <cell r="L287">
            <v>30008.329148946254</v>
          </cell>
          <cell r="M287">
            <v>30335.567479214187</v>
          </cell>
          <cell r="N287">
            <v>29762.900401245308</v>
          </cell>
          <cell r="O287">
            <v>38434.7161533455</v>
          </cell>
          <cell r="P287">
            <v>43809.031464619366</v>
          </cell>
          <cell r="Q287">
            <v>67308.834056985201</v>
          </cell>
          <cell r="R287">
            <v>0</v>
          </cell>
          <cell r="S287">
            <v>35530.475972217602</v>
          </cell>
          <cell r="T287">
            <v>0</v>
          </cell>
          <cell r="U287">
            <v>37078.155210803387</v>
          </cell>
          <cell r="V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6452.8855660172649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U287">
            <v>0</v>
          </cell>
        </row>
        <row r="288">
          <cell r="B288">
            <v>38535</v>
          </cell>
          <cell r="C288">
            <v>7</v>
          </cell>
          <cell r="D288">
            <v>1</v>
          </cell>
          <cell r="E288">
            <v>274</v>
          </cell>
          <cell r="F288">
            <v>841940.59950386395</v>
          </cell>
          <cell r="G288">
            <v>7000</v>
          </cell>
          <cell r="H288">
            <v>4434.4603814817701</v>
          </cell>
          <cell r="I288">
            <v>65172.060549515125</v>
          </cell>
          <cell r="J288">
            <v>30924.49762744601</v>
          </cell>
          <cell r="K288">
            <v>31563.362179213462</v>
          </cell>
          <cell r="L288">
            <v>25334.054281721645</v>
          </cell>
          <cell r="M288">
            <v>25610.320033837299</v>
          </cell>
          <cell r="N288">
            <v>25126.854967634907</v>
          </cell>
          <cell r="O288">
            <v>32447.897398699737</v>
          </cell>
          <cell r="P288">
            <v>36985.077564483166</v>
          </cell>
          <cell r="Q288">
            <v>56824.41188828856</v>
          </cell>
          <cell r="R288">
            <v>0</v>
          </cell>
          <cell r="S288">
            <v>29996.038848673303</v>
          </cell>
          <cell r="T288">
            <v>0</v>
          </cell>
          <cell r="U288">
            <v>26426.757655489637</v>
          </cell>
          <cell r="V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7821.0847794938136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U288">
            <v>0</v>
          </cell>
        </row>
        <row r="289">
          <cell r="B289">
            <v>38536</v>
          </cell>
          <cell r="C289">
            <v>7</v>
          </cell>
          <cell r="D289">
            <v>2</v>
          </cell>
          <cell r="E289">
            <v>275</v>
          </cell>
          <cell r="F289">
            <v>836572.42000994203</v>
          </cell>
          <cell r="G289">
            <v>7000</v>
          </cell>
          <cell r="H289">
            <v>4406.1864399465749</v>
          </cell>
          <cell r="I289">
            <v>64756.526105369419</v>
          </cell>
          <cell r="J289">
            <v>30727.324270891739</v>
          </cell>
          <cell r="K289">
            <v>31362.115447900673</v>
          </cell>
          <cell r="L289">
            <v>25172.52536771847</v>
          </cell>
          <cell r="M289">
            <v>25447.029660479089</v>
          </cell>
          <cell r="N289">
            <v>24966.647148148008</v>
          </cell>
          <cell r="O289">
            <v>32241.0109063044</v>
          </cell>
          <cell r="P289">
            <v>36749.262193327813</v>
          </cell>
          <cell r="Q289">
            <v>56462.101717199715</v>
          </cell>
          <cell r="R289">
            <v>0</v>
          </cell>
          <cell r="S289">
            <v>29804.785308053906</v>
          </cell>
          <cell r="T289">
            <v>0</v>
          </cell>
          <cell r="U289">
            <v>26090.840085112519</v>
          </cell>
          <cell r="V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7831.5932261450371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U289">
            <v>0</v>
          </cell>
        </row>
        <row r="290">
          <cell r="B290">
            <v>38537</v>
          </cell>
          <cell r="C290">
            <v>7</v>
          </cell>
          <cell r="D290">
            <v>3</v>
          </cell>
          <cell r="E290">
            <v>276</v>
          </cell>
          <cell r="F290">
            <v>729876.73269453598</v>
          </cell>
          <cell r="G290">
            <v>7000</v>
          </cell>
          <cell r="H290">
            <v>3844.2254197107718</v>
          </cell>
          <cell r="I290">
            <v>56497.537528040615</v>
          </cell>
          <cell r="J290">
            <v>26808.389216342377</v>
          </cell>
          <cell r="K290">
            <v>27362.219702665476</v>
          </cell>
          <cell r="L290">
            <v>21962.044324677034</v>
          </cell>
          <cell r="M290">
            <v>22201.538589032967</v>
          </cell>
          <cell r="N290">
            <v>21782.423626410084</v>
          </cell>
          <cell r="O290">
            <v>28129.021631842341</v>
          </cell>
          <cell r="P290">
            <v>32062.294640650682</v>
          </cell>
          <cell r="Q290">
            <v>49260.9764997112</v>
          </cell>
          <cell r="R290">
            <v>0</v>
          </cell>
          <cell r="S290">
            <v>26003.510035683423</v>
          </cell>
          <cell r="T290">
            <v>0</v>
          </cell>
          <cell r="U290">
            <v>19860.035295813854</v>
          </cell>
          <cell r="V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7624.3664421021249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U290">
            <v>0</v>
          </cell>
        </row>
        <row r="291">
          <cell r="B291">
            <v>38538</v>
          </cell>
          <cell r="C291">
            <v>7</v>
          </cell>
          <cell r="D291">
            <v>4</v>
          </cell>
          <cell r="E291">
            <v>277</v>
          </cell>
          <cell r="F291">
            <v>538298.51665823802</v>
          </cell>
          <cell r="G291">
            <v>7000</v>
          </cell>
          <cell r="H291">
            <v>2835.192229639481</v>
          </cell>
          <cell r="I291">
            <v>41668.050622618612</v>
          </cell>
          <cell r="J291">
            <v>19771.716925237775</v>
          </cell>
          <cell r="K291">
            <v>20180.177855574908</v>
          </cell>
          <cell r="L291">
            <v>16197.441777752707</v>
          </cell>
          <cell r="M291">
            <v>16374.073531412007</v>
          </cell>
          <cell r="N291">
            <v>16064.967962508234</v>
          </cell>
          <cell r="O291">
            <v>20745.709434479657</v>
          </cell>
          <cell r="P291">
            <v>23646.576021138648</v>
          </cell>
          <cell r="Q291">
            <v>36330.943830797049</v>
          </cell>
          <cell r="R291">
            <v>0</v>
          </cell>
          <cell r="S291">
            <v>16995.531490176105</v>
          </cell>
          <cell r="T291">
            <v>0</v>
          </cell>
          <cell r="U291">
            <v>12023.573208397211</v>
          </cell>
          <cell r="V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6423.7432648289287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U291">
            <v>0</v>
          </cell>
        </row>
        <row r="292">
          <cell r="B292">
            <v>38539</v>
          </cell>
          <cell r="C292">
            <v>7</v>
          </cell>
          <cell r="D292">
            <v>5</v>
          </cell>
          <cell r="E292">
            <v>278</v>
          </cell>
          <cell r="F292">
            <v>578549.38008699997</v>
          </cell>
          <cell r="G292">
            <v>7000</v>
          </cell>
          <cell r="H292">
            <v>3047.1915788815286</v>
          </cell>
          <cell r="I292">
            <v>44783.747513937727</v>
          </cell>
          <cell r="J292">
            <v>21250.13206680346</v>
          </cell>
          <cell r="K292">
            <v>21689.135353499012</v>
          </cell>
          <cell r="L292">
            <v>17408.593205289657</v>
          </cell>
          <cell r="M292">
            <v>17598.432464401249</v>
          </cell>
          <cell r="N292">
            <v>17266.213760955969</v>
          </cell>
          <cell r="O292">
            <v>22296.954127413072</v>
          </cell>
          <cell r="P292">
            <v>25414.73081356394</v>
          </cell>
          <cell r="Q292">
            <v>39047.562608514898</v>
          </cell>
          <cell r="R292">
            <v>0</v>
          </cell>
          <cell r="S292">
            <v>19632.212650143356</v>
          </cell>
          <cell r="T292">
            <v>0</v>
          </cell>
          <cell r="U292">
            <v>13067.671463757995</v>
          </cell>
          <cell r="V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6568.7538334775527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U292">
            <v>0</v>
          </cell>
        </row>
        <row r="293">
          <cell r="B293">
            <v>38540</v>
          </cell>
          <cell r="C293">
            <v>7</v>
          </cell>
          <cell r="D293">
            <v>6</v>
          </cell>
          <cell r="E293">
            <v>279</v>
          </cell>
          <cell r="F293">
            <v>714041.75130099</v>
          </cell>
          <cell r="G293">
            <v>7000</v>
          </cell>
          <cell r="H293">
            <v>3760.8233392402981</v>
          </cell>
          <cell r="I293">
            <v>55271.799789785968</v>
          </cell>
          <cell r="J293">
            <v>26226.769984743463</v>
          </cell>
          <cell r="K293">
            <v>26768.584886717508</v>
          </cell>
          <cell r="L293">
            <v>21485.568575187648</v>
          </cell>
          <cell r="M293">
            <v>21719.866911176425</v>
          </cell>
          <cell r="N293">
            <v>21309.844823196068</v>
          </cell>
          <cell r="O293">
            <v>27518.750726898601</v>
          </cell>
          <cell r="P293">
            <v>31366.689730497212</v>
          </cell>
          <cell r="Q293">
            <v>48192.238983691095</v>
          </cell>
          <cell r="R293">
            <v>0</v>
          </cell>
          <cell r="S293">
            <v>25439.352994998222</v>
          </cell>
          <cell r="T293">
            <v>0</v>
          </cell>
          <cell r="U293">
            <v>19007.639673061443</v>
          </cell>
          <cell r="V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7533.3517982630228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U293">
            <v>0</v>
          </cell>
        </row>
        <row r="294">
          <cell r="B294">
            <v>38541</v>
          </cell>
          <cell r="C294">
            <v>7</v>
          </cell>
          <cell r="D294">
            <v>7</v>
          </cell>
          <cell r="E294">
            <v>280</v>
          </cell>
          <cell r="F294">
            <v>832346.36388240394</v>
          </cell>
          <cell r="G294">
            <v>7000</v>
          </cell>
          <cell r="H294">
            <v>4383.9280068949693</v>
          </cell>
          <cell r="I294">
            <v>64429.399956574758</v>
          </cell>
          <cell r="J294">
            <v>30572.101131911957</v>
          </cell>
          <cell r="K294">
            <v>31203.685577406512</v>
          </cell>
          <cell r="L294">
            <v>25045.3630294303</v>
          </cell>
          <cell r="M294">
            <v>25318.480627482</v>
          </cell>
          <cell r="N294">
            <v>24840.524830891529</v>
          </cell>
          <cell r="O294">
            <v>32078.141179261529</v>
          </cell>
          <cell r="P294">
            <v>36563.618439171085</v>
          </cell>
          <cell r="Q294">
            <v>56176.875949258661</v>
          </cell>
          <cell r="R294">
            <v>0</v>
          </cell>
          <cell r="S294">
            <v>29654.222496552706</v>
          </cell>
          <cell r="T294">
            <v>0</v>
          </cell>
          <cell r="U294">
            <v>25827.903244064415</v>
          </cell>
          <cell r="V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7838.3333806764294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U294">
            <v>0</v>
          </cell>
        </row>
        <row r="295">
          <cell r="B295">
            <v>38542</v>
          </cell>
          <cell r="C295">
            <v>7</v>
          </cell>
          <cell r="D295">
            <v>8</v>
          </cell>
          <cell r="E295">
            <v>281</v>
          </cell>
          <cell r="F295">
            <v>863820.64819063991</v>
          </cell>
          <cell r="G295">
            <v>7000</v>
          </cell>
          <cell r="H295">
            <v>4549.7015387600577</v>
          </cell>
          <cell r="I295">
            <v>66865.728557307113</v>
          </cell>
          <cell r="J295">
            <v>31728.152320070796</v>
          </cell>
          <cell r="K295">
            <v>32383.619453427931</v>
          </cell>
          <cell r="L295">
            <v>25992.426548653701</v>
          </cell>
          <cell r="M295">
            <v>26275.87179551084</v>
          </cell>
          <cell r="N295">
            <v>25779.842613510849</v>
          </cell>
          <cell r="O295">
            <v>33291.141655224987</v>
          </cell>
          <cell r="P295">
            <v>37946.232422999245</v>
          </cell>
          <cell r="Q295">
            <v>58301.144212927407</v>
          </cell>
          <cell r="R295">
            <v>0</v>
          </cell>
          <cell r="S295">
            <v>30775.565089367894</v>
          </cell>
          <cell r="T295">
            <v>0</v>
          </cell>
          <cell r="U295">
            <v>27818.143258194064</v>
          </cell>
          <cell r="V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7755.169903368298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U295">
            <v>0</v>
          </cell>
        </row>
        <row r="296">
          <cell r="B296">
            <v>38543</v>
          </cell>
          <cell r="C296">
            <v>7</v>
          </cell>
          <cell r="D296">
            <v>9</v>
          </cell>
          <cell r="E296">
            <v>282</v>
          </cell>
          <cell r="F296">
            <v>756523.94840446196</v>
          </cell>
          <cell r="G296">
            <v>7000</v>
          </cell>
          <cell r="H296">
            <v>3984.5750149341143</v>
          </cell>
          <cell r="I296">
            <v>58560.217432949175</v>
          </cell>
          <cell r="J296">
            <v>27787.142063615978</v>
          </cell>
          <cell r="K296">
            <v>28361.192458006706</v>
          </cell>
          <cell r="L296">
            <v>22763.860996363637</v>
          </cell>
          <cell r="M296">
            <v>23012.099004748819</v>
          </cell>
          <cell r="N296">
            <v>22577.682490074756</v>
          </cell>
          <cell r="O296">
            <v>29155.989712282</v>
          </cell>
          <cell r="P296">
            <v>33232.863372565844</v>
          </cell>
          <cell r="Q296">
            <v>51059.455349726515</v>
          </cell>
          <cell r="R296">
            <v>0</v>
          </cell>
          <cell r="S296">
            <v>26952.877387863533</v>
          </cell>
          <cell r="T296">
            <v>0</v>
          </cell>
          <cell r="U296">
            <v>21336.655174437652</v>
          </cell>
          <cell r="V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7745.0200177240449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U296">
            <v>0</v>
          </cell>
        </row>
        <row r="297">
          <cell r="B297">
            <v>38544</v>
          </cell>
          <cell r="C297">
            <v>7</v>
          </cell>
          <cell r="D297">
            <v>10</v>
          </cell>
          <cell r="E297">
            <v>283</v>
          </cell>
          <cell r="F297">
            <v>805420.60584798397</v>
          </cell>
          <cell r="G297">
            <v>7000</v>
          </cell>
          <cell r="H297">
            <v>4242.1113427320106</v>
          </cell>
          <cell r="I297">
            <v>62345.15893767761</v>
          </cell>
          <cell r="J297">
            <v>29583.117418638984</v>
          </cell>
          <cell r="K297">
            <v>30194.270598141862</v>
          </cell>
          <cell r="L297">
            <v>24235.164998806213</v>
          </cell>
          <cell r="M297">
            <v>24499.447454807454</v>
          </cell>
          <cell r="N297">
            <v>24036.953156805281</v>
          </cell>
          <cell r="O297">
            <v>31040.438240838186</v>
          </cell>
          <cell r="P297">
            <v>35380.813797166229</v>
          </cell>
          <cell r="Q297">
            <v>54359.597668755392</v>
          </cell>
          <cell r="R297">
            <v>0</v>
          </cell>
          <cell r="S297">
            <v>28694.931443827165</v>
          </cell>
          <cell r="T297">
            <v>0</v>
          </cell>
          <cell r="U297">
            <v>24183.906230454188</v>
          </cell>
          <cell r="V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7850.4695037211122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U297">
            <v>0</v>
          </cell>
        </row>
        <row r="298">
          <cell r="B298">
            <v>38545</v>
          </cell>
          <cell r="C298">
            <v>7</v>
          </cell>
          <cell r="D298">
            <v>11</v>
          </cell>
          <cell r="E298">
            <v>284</v>
          </cell>
          <cell r="F298">
            <v>794061.27047847596</v>
          </cell>
          <cell r="G298">
            <v>7000</v>
          </cell>
          <cell r="H298">
            <v>4182.282273216023</v>
          </cell>
          <cell r="I298">
            <v>61465.867342831043</v>
          </cell>
          <cell r="J298">
            <v>29165.888768671615</v>
          </cell>
          <cell r="K298">
            <v>29768.422484160648</v>
          </cell>
          <cell r="L298">
            <v>23893.361765864385</v>
          </cell>
          <cell r="M298">
            <v>24153.916886075858</v>
          </cell>
          <cell r="N298">
            <v>23697.945425705784</v>
          </cell>
          <cell r="O298">
            <v>30602.656111309789</v>
          </cell>
          <cell r="P298">
            <v>34881.81671831078</v>
          </cell>
          <cell r="Q298">
            <v>53592.931288497086</v>
          </cell>
          <cell r="R298">
            <v>0</v>
          </cell>
          <cell r="S298">
            <v>28290.229419432973</v>
          </cell>
          <cell r="T298">
            <v>0</v>
          </cell>
          <cell r="U298">
            <v>23506.5560939385</v>
          </cell>
          <cell r="V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7840.157134123494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U298">
            <v>0</v>
          </cell>
        </row>
        <row r="299">
          <cell r="B299">
            <v>38546</v>
          </cell>
          <cell r="C299">
            <v>7</v>
          </cell>
          <cell r="D299">
            <v>12</v>
          </cell>
          <cell r="E299">
            <v>285</v>
          </cell>
          <cell r="F299">
            <v>777661.21755925403</v>
          </cell>
          <cell r="G299">
            <v>7000</v>
          </cell>
          <cell r="H299">
            <v>4095.9039883734231</v>
          </cell>
          <cell r="I299">
            <v>60196.389136771591</v>
          </cell>
          <cell r="J299">
            <v>28563.514446909096</v>
          </cell>
          <cell r="K299">
            <v>29153.603801758702</v>
          </cell>
          <cell r="L299">
            <v>23399.88297279572</v>
          </cell>
          <cell r="M299">
            <v>23655.056747865819</v>
          </cell>
          <cell r="N299">
            <v>23208.502641493149</v>
          </cell>
          <cell r="O299">
            <v>29970.60768085075</v>
          </cell>
          <cell r="P299">
            <v>34161.389137509374</v>
          </cell>
          <cell r="Q299">
            <v>52486.055859730783</v>
          </cell>
          <cell r="R299">
            <v>0</v>
          </cell>
          <cell r="S299">
            <v>27705.940427103626</v>
          </cell>
          <cell r="T299">
            <v>0</v>
          </cell>
          <cell r="U299">
            <v>22545.603211170539</v>
          </cell>
          <cell r="V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7809.8421934135777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U299">
            <v>0</v>
          </cell>
        </row>
        <row r="300">
          <cell r="B300">
            <v>38547</v>
          </cell>
          <cell r="C300">
            <v>7</v>
          </cell>
          <cell r="D300">
            <v>13</v>
          </cell>
          <cell r="E300">
            <v>286</v>
          </cell>
          <cell r="F300">
            <v>800776.23705391202</v>
          </cell>
          <cell r="G300">
            <v>7000</v>
          </cell>
          <cell r="H300">
            <v>4217.6496771151733</v>
          </cell>
          <cell r="I300">
            <v>61985.652477910851</v>
          </cell>
          <cell r="J300">
            <v>29412.529645774845</v>
          </cell>
          <cell r="K300">
            <v>30020.158678099626</v>
          </cell>
          <cell r="L300">
            <v>24095.415601755292</v>
          </cell>
          <cell r="M300">
            <v>24358.174102220062</v>
          </cell>
          <cell r="N300">
            <v>23898.346726406719</v>
          </cell>
          <cell r="O300">
            <v>30861.446988723044</v>
          </cell>
          <cell r="P300">
            <v>35176.794249720675</v>
          </cell>
          <cell r="Q300">
            <v>54046.139064346746</v>
          </cell>
          <cell r="R300">
            <v>0</v>
          </cell>
          <cell r="S300">
            <v>28529.465297098235</v>
          </cell>
          <cell r="T300">
            <v>0</v>
          </cell>
          <cell r="U300">
            <v>23905.802737398084</v>
          </cell>
          <cell r="V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7847.3310608277188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U300">
            <v>0</v>
          </cell>
        </row>
        <row r="301">
          <cell r="B301">
            <v>38548</v>
          </cell>
          <cell r="C301">
            <v>7</v>
          </cell>
          <cell r="D301">
            <v>14</v>
          </cell>
          <cell r="E301">
            <v>287</v>
          </cell>
          <cell r="F301">
            <v>774905.74510189402</v>
          </cell>
          <cell r="G301">
            <v>7000</v>
          </cell>
          <cell r="H301">
            <v>4081.3910483256013</v>
          </cell>
          <cell r="I301">
            <v>59983.096396239293</v>
          </cell>
          <cell r="J301">
            <v>28462.305880033553</v>
          </cell>
          <cell r="K301">
            <v>29050.304382301139</v>
          </cell>
          <cell r="L301">
            <v>23316.970604811944</v>
          </cell>
          <cell r="M301">
            <v>23571.240227414142</v>
          </cell>
          <cell r="N301">
            <v>23126.268387860295</v>
          </cell>
          <cell r="O301">
            <v>29864.413386818545</v>
          </cell>
          <cell r="P301">
            <v>34040.345725869272</v>
          </cell>
          <cell r="Q301">
            <v>52300.08299898963</v>
          </cell>
          <cell r="R301">
            <v>0</v>
          </cell>
          <cell r="S301">
            <v>27607.770486224035</v>
          </cell>
          <cell r="T301">
            <v>0</v>
          </cell>
          <cell r="U301">
            <v>22386.11543872398</v>
          </cell>
          <cell r="V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7803.0073731130087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U301">
            <v>0</v>
          </cell>
        </row>
        <row r="302">
          <cell r="B302">
            <v>38549</v>
          </cell>
          <cell r="C302">
            <v>7</v>
          </cell>
          <cell r="D302">
            <v>15</v>
          </cell>
          <cell r="E302">
            <v>288</v>
          </cell>
          <cell r="F302">
            <v>770650.73654636194</v>
          </cell>
          <cell r="G302">
            <v>7000</v>
          </cell>
          <cell r="H302">
            <v>4058.980124237261</v>
          </cell>
          <cell r="I302">
            <v>59653.729128069484</v>
          </cell>
          <cell r="J302">
            <v>28306.019317706174</v>
          </cell>
          <cell r="K302">
            <v>28890.789119356163</v>
          </cell>
          <cell r="L302">
            <v>23188.93708584569</v>
          </cell>
          <cell r="M302">
            <v>23441.810513586224</v>
          </cell>
          <cell r="N302">
            <v>22999.282015040288</v>
          </cell>
          <cell r="O302">
            <v>29700.427850164477</v>
          </cell>
          <cell r="P302">
            <v>33853.430138764168</v>
          </cell>
          <cell r="Q302">
            <v>52012.903168381359</v>
          </cell>
          <cell r="R302">
            <v>0</v>
          </cell>
          <cell r="S302">
            <v>27456.176178967224</v>
          </cell>
          <cell r="T302">
            <v>0</v>
          </cell>
          <cell r="U302">
            <v>22140.946020821957</v>
          </cell>
          <cell r="V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7791.489303678959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U302">
            <v>0</v>
          </cell>
        </row>
        <row r="303">
          <cell r="B303">
            <v>38550</v>
          </cell>
          <cell r="C303">
            <v>7</v>
          </cell>
          <cell r="D303">
            <v>16</v>
          </cell>
          <cell r="E303">
            <v>289</v>
          </cell>
          <cell r="F303">
            <v>727361.864897402</v>
          </cell>
          <cell r="G303">
            <v>7000</v>
          </cell>
          <cell r="H303">
            <v>3830.9797327613283</v>
          </cell>
          <cell r="I303">
            <v>56302.86926231566</v>
          </cell>
          <cell r="J303">
            <v>26716.018064183139</v>
          </cell>
          <cell r="K303">
            <v>27267.940268747509</v>
          </cell>
          <cell r="L303">
            <v>21886.371768535319</v>
          </cell>
          <cell r="M303">
            <v>22125.040829968555</v>
          </cell>
          <cell r="N303">
            <v>21707.36997246039</v>
          </cell>
          <cell r="O303">
            <v>28032.100100441214</v>
          </cell>
          <cell r="P303">
            <v>31951.820599374812</v>
          </cell>
          <cell r="Q303">
            <v>49091.242573549251</v>
          </cell>
          <cell r="R303">
            <v>0</v>
          </cell>
          <cell r="S303">
            <v>25913.912180221218</v>
          </cell>
          <cell r="T303">
            <v>0</v>
          </cell>
          <cell r="U303">
            <v>19723.411356577719</v>
          </cell>
          <cell r="V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7610.8450763166502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U303">
            <v>0</v>
          </cell>
        </row>
        <row r="304">
          <cell r="B304">
            <v>38551</v>
          </cell>
          <cell r="C304">
            <v>7</v>
          </cell>
          <cell r="D304">
            <v>17</v>
          </cell>
          <cell r="E304">
            <v>290</v>
          </cell>
          <cell r="F304">
            <v>795908.23571257596</v>
          </cell>
          <cell r="G304">
            <v>7000</v>
          </cell>
          <cell r="H304">
            <v>4192.0101496973539</v>
          </cell>
          <cell r="I304">
            <v>61608.835302970445</v>
          </cell>
          <cell r="J304">
            <v>29233.727844294714</v>
          </cell>
          <cell r="K304">
            <v>29837.663037057926</v>
          </cell>
          <cell r="L304">
            <v>23948.937084983947</v>
          </cell>
          <cell r="M304">
            <v>24210.098249422092</v>
          </cell>
          <cell r="N304">
            <v>23753.066211655339</v>
          </cell>
          <cell r="O304">
            <v>30673.837069266152</v>
          </cell>
          <cell r="P304">
            <v>34962.950889156491</v>
          </cell>
          <cell r="Q304">
            <v>53717.587010370691</v>
          </cell>
          <cell r="R304">
            <v>0</v>
          </cell>
          <cell r="S304">
            <v>28356.031734877623</v>
          </cell>
          <cell r="T304">
            <v>0</v>
          </cell>
          <cell r="U304">
            <v>23616.034506950466</v>
          </cell>
          <cell r="V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7842.4385790097958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U304">
            <v>0</v>
          </cell>
        </row>
        <row r="305">
          <cell r="B305">
            <v>38552</v>
          </cell>
          <cell r="C305">
            <v>7</v>
          </cell>
          <cell r="D305">
            <v>18</v>
          </cell>
          <cell r="E305">
            <v>291</v>
          </cell>
          <cell r="F305">
            <v>729215.81864860398</v>
          </cell>
          <cell r="G305">
            <v>7000</v>
          </cell>
          <cell r="H305">
            <v>3840.7444174239395</v>
          </cell>
          <cell r="I305">
            <v>56446.378182304245</v>
          </cell>
          <cell r="J305">
            <v>26784.11382820049</v>
          </cell>
          <cell r="K305">
            <v>27337.442812926023</v>
          </cell>
          <cell r="L305">
            <v>21942.157372646143</v>
          </cell>
          <cell r="M305">
            <v>22181.434771446373</v>
          </cell>
          <cell r="N305">
            <v>21762.699323545974</v>
          </cell>
          <cell r="O305">
            <v>28103.550391752011</v>
          </cell>
          <cell r="P305">
            <v>32033.261764380488</v>
          </cell>
          <cell r="Q305">
            <v>49216.369965721839</v>
          </cell>
          <cell r="R305">
            <v>0</v>
          </cell>
          <cell r="S305">
            <v>25979.963477399986</v>
          </cell>
          <cell r="T305">
            <v>0</v>
          </cell>
          <cell r="U305">
            <v>19824.084475898835</v>
          </cell>
          <cell r="V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7620.8476739947882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U305">
            <v>0</v>
          </cell>
        </row>
        <row r="306">
          <cell r="B306">
            <v>38553</v>
          </cell>
          <cell r="C306">
            <v>7</v>
          </cell>
          <cell r="D306">
            <v>19</v>
          </cell>
          <cell r="E306">
            <v>292</v>
          </cell>
          <cell r="F306">
            <v>606801.95801121392</v>
          </cell>
          <cell r="G306">
            <v>7000</v>
          </cell>
          <cell r="H306">
            <v>3195.9965391762103</v>
          </cell>
          <cell r="I306">
            <v>46970.693624199877</v>
          </cell>
          <cell r="J306">
            <v>22287.849905213247</v>
          </cell>
          <cell r="K306">
            <v>22748.291248872036</v>
          </cell>
          <cell r="L306">
            <v>18258.71534354072</v>
          </cell>
          <cell r="M306">
            <v>18457.825113771545</v>
          </cell>
          <cell r="N306">
            <v>18109.383015867599</v>
          </cell>
          <cell r="O306">
            <v>23385.79192698453</v>
          </cell>
          <cell r="P306">
            <v>26655.820489652022</v>
          </cell>
          <cell r="Q306">
            <v>40954.390864353314</v>
          </cell>
          <cell r="R306">
            <v>0</v>
          </cell>
          <cell r="S306">
            <v>21596.448169449348</v>
          </cell>
          <cell r="T306">
            <v>0</v>
          </cell>
          <cell r="U306">
            <v>13741.005510281488</v>
          </cell>
          <cell r="V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6602.532049291166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U306">
            <v>0</v>
          </cell>
        </row>
        <row r="307">
          <cell r="B307">
            <v>38554</v>
          </cell>
          <cell r="C307">
            <v>7</v>
          </cell>
          <cell r="D307">
            <v>20</v>
          </cell>
          <cell r="E307">
            <v>293</v>
          </cell>
          <cell r="F307">
            <v>599211.43007885595</v>
          </cell>
          <cell r="G307">
            <v>7000</v>
          </cell>
          <cell r="H307">
            <v>3156.0175959937496</v>
          </cell>
          <cell r="I307">
            <v>46383.133948016162</v>
          </cell>
          <cell r="J307">
            <v>22009.049639287612</v>
          </cell>
          <cell r="K307">
            <v>22463.731290127169</v>
          </cell>
          <cell r="L307">
            <v>18030.315802315843</v>
          </cell>
          <cell r="M307">
            <v>18226.934894570786</v>
          </cell>
          <cell r="N307">
            <v>17882.851483124636</v>
          </cell>
          <cell r="O307">
            <v>23093.257427880613</v>
          </cell>
          <cell r="P307">
            <v>26322.380975630411</v>
          </cell>
          <cell r="Q307">
            <v>40442.089538188462</v>
          </cell>
          <cell r="R307">
            <v>0</v>
          </cell>
          <cell r="S307">
            <v>21059.524566067714</v>
          </cell>
          <cell r="T307">
            <v>0</v>
          </cell>
          <cell r="U307">
            <v>13565.509527778016</v>
          </cell>
          <cell r="V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6599.020550637314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U307">
            <v>0</v>
          </cell>
        </row>
        <row r="308">
          <cell r="B308">
            <v>38555</v>
          </cell>
          <cell r="C308">
            <v>7</v>
          </cell>
          <cell r="D308">
            <v>21</v>
          </cell>
          <cell r="E308">
            <v>294</v>
          </cell>
          <cell r="F308">
            <v>623440.61887149001</v>
          </cell>
          <cell r="G308">
            <v>7000</v>
          </cell>
          <cell r="H308">
            <v>3283.6315604939668</v>
          </cell>
          <cell r="I308">
            <v>48258.641745109788</v>
          </cell>
          <cell r="J308">
            <v>22898.988302150861</v>
          </cell>
          <cell r="K308">
            <v>23372.055062161799</v>
          </cell>
          <cell r="L308">
            <v>18759.373867025377</v>
          </cell>
          <cell r="M308">
            <v>18963.943276759837</v>
          </cell>
          <cell r="N308">
            <v>18605.946809724537</v>
          </cell>
          <cell r="O308">
            <v>24027.036167687667</v>
          </cell>
          <cell r="P308">
            <v>27386.729728200531</v>
          </cell>
          <cell r="Q308">
            <v>42077.370464756277</v>
          </cell>
          <cell r="R308">
            <v>0</v>
          </cell>
          <cell r="S308">
            <v>22211.482656294353</v>
          </cell>
          <cell r="T308">
            <v>0</v>
          </cell>
          <cell r="U308">
            <v>14490.09277693993</v>
          </cell>
          <cell r="V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6773.2467712136931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U308">
            <v>0</v>
          </cell>
        </row>
        <row r="309">
          <cell r="B309">
            <v>38556</v>
          </cell>
          <cell r="C309">
            <v>7</v>
          </cell>
          <cell r="D309">
            <v>22</v>
          </cell>
          <cell r="E309">
            <v>295</v>
          </cell>
          <cell r="F309">
            <v>459815.47288360598</v>
          </cell>
          <cell r="G309">
            <v>7000</v>
          </cell>
          <cell r="H309">
            <v>2421.8258372338987</v>
          </cell>
          <cell r="I309">
            <v>35592.916956413821</v>
          </cell>
          <cell r="J309">
            <v>16889.032918273919</v>
          </cell>
          <cell r="K309">
            <v>17237.940912677124</v>
          </cell>
          <cell r="L309">
            <v>13835.881244440832</v>
          </cell>
          <cell r="M309">
            <v>13986.760377155731</v>
          </cell>
          <cell r="N309">
            <v>13722.721894904658</v>
          </cell>
          <cell r="O309">
            <v>17721.018911849464</v>
          </cell>
          <cell r="P309">
            <v>20198.943892207</v>
          </cell>
          <cell r="Q309">
            <v>27260.572390280653</v>
          </cell>
          <cell r="R309">
            <v>0</v>
          </cell>
          <cell r="S309">
            <v>13535.704383163593</v>
          </cell>
          <cell r="T309">
            <v>0</v>
          </cell>
          <cell r="U309">
            <v>10679.928249047474</v>
          </cell>
          <cell r="V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6363.7283257293184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U309">
            <v>0</v>
          </cell>
        </row>
        <row r="310">
          <cell r="B310">
            <v>38557</v>
          </cell>
          <cell r="C310">
            <v>7</v>
          </cell>
          <cell r="D310">
            <v>23</v>
          </cell>
          <cell r="E310">
            <v>296</v>
          </cell>
          <cell r="F310">
            <v>733435.88461862598</v>
          </cell>
          <cell r="G310">
            <v>7000</v>
          </cell>
          <cell r="H310">
            <v>3862.9713006058755</v>
          </cell>
          <cell r="I310">
            <v>56773.04065122817</v>
          </cell>
          <cell r="J310">
            <v>26939.116948556617</v>
          </cell>
          <cell r="K310">
            <v>27495.648119464826</v>
          </cell>
          <cell r="L310">
            <v>22069.139466656081</v>
          </cell>
          <cell r="M310">
            <v>22309.801594616387</v>
          </cell>
          <cell r="N310">
            <v>21888.642870685853</v>
          </cell>
          <cell r="O310">
            <v>28266.189261633932</v>
          </cell>
          <cell r="P310">
            <v>32218.642380685807</v>
          </cell>
          <cell r="Q310">
            <v>49501.191444835196</v>
          </cell>
          <cell r="R310">
            <v>0</v>
          </cell>
          <cell r="S310">
            <v>26130.312875986223</v>
          </cell>
          <cell r="T310">
            <v>0</v>
          </cell>
          <cell r="U310">
            <v>20054.197467654772</v>
          </cell>
          <cell r="V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7642.887879647059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U310">
            <v>0</v>
          </cell>
        </row>
        <row r="311">
          <cell r="B311">
            <v>38558</v>
          </cell>
          <cell r="C311">
            <v>7</v>
          </cell>
          <cell r="D311">
            <v>24</v>
          </cell>
          <cell r="E311">
            <v>297</v>
          </cell>
          <cell r="F311">
            <v>756677.69578070601</v>
          </cell>
          <cell r="G311">
            <v>7000</v>
          </cell>
          <cell r="H311">
            <v>3985.3847949222895</v>
          </cell>
          <cell r="I311">
            <v>58572.118549631043</v>
          </cell>
          <cell r="J311">
            <v>27792.789208289465</v>
          </cell>
          <cell r="K311">
            <v>28366.956266193829</v>
          </cell>
          <cell r="L311">
            <v>22768.487266171425</v>
          </cell>
          <cell r="M311">
            <v>23016.775723643583</v>
          </cell>
          <cell r="N311">
            <v>22582.27092306731</v>
          </cell>
          <cell r="O311">
            <v>29161.915046079448</v>
          </cell>
          <cell r="P311">
            <v>33239.61724408489</v>
          </cell>
          <cell r="Q311">
            <v>51069.832096304097</v>
          </cell>
          <cell r="R311">
            <v>0</v>
          </cell>
          <cell r="S311">
            <v>26958.354986014059</v>
          </cell>
          <cell r="T311">
            <v>0</v>
          </cell>
          <cell r="U311">
            <v>21345.328496938819</v>
          </cell>
          <cell r="V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7745.5926934625968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U311">
            <v>0</v>
          </cell>
        </row>
        <row r="312">
          <cell r="B312">
            <v>38559</v>
          </cell>
          <cell r="C312">
            <v>7</v>
          </cell>
          <cell r="D312">
            <v>25</v>
          </cell>
          <cell r="E312">
            <v>298</v>
          </cell>
          <cell r="F312">
            <v>745947.32695037802</v>
          </cell>
          <cell r="G312">
            <v>7000</v>
          </cell>
          <cell r="H312">
            <v>3928.8684617215677</v>
          </cell>
          <cell r="I312">
            <v>57741.513341210339</v>
          </cell>
          <cell r="J312">
            <v>27398.66251380456</v>
          </cell>
          <cell r="K312">
            <v>27964.687367523587</v>
          </cell>
          <cell r="L312">
            <v>22445.609682443293</v>
          </cell>
          <cell r="M312">
            <v>22690.377186754224</v>
          </cell>
          <cell r="N312">
            <v>22262.0340542101</v>
          </cell>
          <cell r="O312">
            <v>28748.37291844971</v>
          </cell>
          <cell r="P312">
            <v>32768.249639625559</v>
          </cell>
          <cell r="Q312">
            <v>50345.616042954105</v>
          </cell>
          <cell r="R312">
            <v>0</v>
          </cell>
          <cell r="S312">
            <v>26576.061317690215</v>
          </cell>
          <cell r="T312">
            <v>0</v>
          </cell>
          <cell r="U312">
            <v>20744.229166435412</v>
          </cell>
          <cell r="V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7702.1705320036035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U312">
            <v>0</v>
          </cell>
        </row>
        <row r="313">
          <cell r="B313">
            <v>38560</v>
          </cell>
          <cell r="C313">
            <v>7</v>
          </cell>
          <cell r="D313">
            <v>26</v>
          </cell>
          <cell r="E313">
            <v>299</v>
          </cell>
          <cell r="F313">
            <v>635402.96343094204</v>
          </cell>
          <cell r="G313">
            <v>7000</v>
          </cell>
          <cell r="H313">
            <v>3346.6366502233172</v>
          </cell>
          <cell r="I313">
            <v>49184.61044694241</v>
          </cell>
          <cell r="J313">
            <v>23338.365493564907</v>
          </cell>
          <cell r="K313">
            <v>23820.509280980823</v>
          </cell>
          <cell r="L313">
            <v>19119.321690641911</v>
          </cell>
          <cell r="M313">
            <v>19327.816301416362</v>
          </cell>
          <cell r="N313">
            <v>18962.950732561076</v>
          </cell>
          <cell r="O313">
            <v>24488.057918083981</v>
          </cell>
          <cell r="P313">
            <v>27912.216017429386</v>
          </cell>
          <cell r="Q313">
            <v>42884.735253669518</v>
          </cell>
          <cell r="R313">
            <v>0</v>
          </cell>
          <cell r="S313">
            <v>22637.668247460741</v>
          </cell>
          <cell r="T313">
            <v>0</v>
          </cell>
          <cell r="U313">
            <v>15051.488442488742</v>
          </cell>
          <cell r="V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6894.3549401109085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U313">
            <v>0</v>
          </cell>
        </row>
        <row r="314">
          <cell r="B314">
            <v>38561</v>
          </cell>
          <cell r="C314">
            <v>7</v>
          </cell>
          <cell r="D314">
            <v>27</v>
          </cell>
          <cell r="E314">
            <v>300</v>
          </cell>
          <cell r="F314">
            <v>612297.92753214401</v>
          </cell>
          <cell r="G314">
            <v>7000</v>
          </cell>
          <cell r="H314">
            <v>3224.9435445976828</v>
          </cell>
          <cell r="I314">
            <v>47396.119905587693</v>
          </cell>
          <cell r="J314">
            <v>22489.716992405229</v>
          </cell>
          <cell r="K314">
            <v>22954.328677898808</v>
          </cell>
          <cell r="L314">
            <v>18424.089468812715</v>
          </cell>
          <cell r="M314">
            <v>18625.002630107236</v>
          </cell>
          <cell r="N314">
            <v>18273.404597841829</v>
          </cell>
          <cell r="O314">
            <v>23597.603372146586</v>
          </cell>
          <cell r="P314">
            <v>26897.249468303744</v>
          </cell>
          <cell r="Q314">
            <v>41325.325863766397</v>
          </cell>
          <cell r="R314">
            <v>0</v>
          </cell>
          <cell r="S314">
            <v>21814.499065657725</v>
          </cell>
          <cell r="T314">
            <v>0</v>
          </cell>
          <cell r="U314">
            <v>13976.761564544977</v>
          </cell>
          <cell r="V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6655.5246405042935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U314">
            <v>0</v>
          </cell>
        </row>
        <row r="315">
          <cell r="B315">
            <v>38562</v>
          </cell>
          <cell r="C315">
            <v>7</v>
          </cell>
          <cell r="D315">
            <v>28</v>
          </cell>
          <cell r="E315">
            <v>301</v>
          </cell>
          <cell r="F315">
            <v>584926.90112236794</v>
          </cell>
          <cell r="G315">
            <v>7000</v>
          </cell>
          <cell r="H315">
            <v>3080.7816734559806</v>
          </cell>
          <cell r="I315">
            <v>45277.412016300164</v>
          </cell>
          <cell r="J315">
            <v>21484.378561441492</v>
          </cell>
          <cell r="K315">
            <v>21928.221111287021</v>
          </cell>
          <cell r="L315">
            <v>17600.493280173851</v>
          </cell>
          <cell r="M315">
            <v>17792.425193620566</v>
          </cell>
          <cell r="N315">
            <v>17456.544345088816</v>
          </cell>
          <cell r="O315">
            <v>22542.740051426725</v>
          </cell>
          <cell r="P315">
            <v>25694.884912678772</v>
          </cell>
          <cell r="Q315">
            <v>39477.995447070884</v>
          </cell>
          <cell r="R315">
            <v>0</v>
          </cell>
          <cell r="S315">
            <v>20067.421600435933</v>
          </cell>
          <cell r="T315">
            <v>0</v>
          </cell>
          <cell r="U315">
            <v>13224.352444150327</v>
          </cell>
          <cell r="V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6581.3210519435561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U315">
            <v>0</v>
          </cell>
        </row>
        <row r="316">
          <cell r="B316">
            <v>38563</v>
          </cell>
          <cell r="C316">
            <v>7</v>
          </cell>
          <cell r="D316">
            <v>29</v>
          </cell>
          <cell r="E316">
            <v>302</v>
          </cell>
          <cell r="F316">
            <v>652975.09050412802</v>
          </cell>
          <cell r="G316">
            <v>7000</v>
          </cell>
          <cell r="H316">
            <v>3439.1881928978532</v>
          </cell>
          <cell r="I316">
            <v>50544.815347706543</v>
          </cell>
          <cell r="J316">
            <v>23983.79012602014</v>
          </cell>
          <cell r="K316">
            <v>24479.267643978124</v>
          </cell>
          <cell r="L316">
            <v>19648.068280816722</v>
          </cell>
          <cell r="M316">
            <v>19862.328829122875</v>
          </cell>
          <cell r="N316">
            <v>19487.372869587107</v>
          </cell>
          <cell r="O316">
            <v>25165.277399700197</v>
          </cell>
          <cell r="P316">
            <v>28684.130904486399</v>
          </cell>
          <cell r="Q316">
            <v>44070.7165297221</v>
          </cell>
          <cell r="R316">
            <v>0</v>
          </cell>
          <cell r="S316">
            <v>23263.715033483073</v>
          </cell>
          <cell r="T316">
            <v>0</v>
          </cell>
          <cell r="U316">
            <v>15895.500461557134</v>
          </cell>
          <cell r="V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7061.7372403589379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U316">
            <v>0</v>
          </cell>
        </row>
        <row r="317">
          <cell r="B317">
            <v>38564</v>
          </cell>
          <cell r="C317">
            <v>7</v>
          </cell>
          <cell r="D317">
            <v>30</v>
          </cell>
          <cell r="E317">
            <v>303</v>
          </cell>
          <cell r="F317">
            <v>664585.01412972203</v>
          </cell>
          <cell r="G317">
            <v>7000</v>
          </cell>
          <cell r="H317">
            <v>3500.3370986283335</v>
          </cell>
          <cell r="I317">
            <v>51443.50421714499</v>
          </cell>
          <cell r="J317">
            <v>24410.222888409884</v>
          </cell>
          <cell r="K317">
            <v>24914.510016757831</v>
          </cell>
          <cell r="L317">
            <v>19997.41173273098</v>
          </cell>
          <cell r="M317">
            <v>20215.481842286848</v>
          </cell>
          <cell r="N317">
            <v>19833.85915056408</v>
          </cell>
          <cell r="O317">
            <v>25612.717053794564</v>
          </cell>
          <cell r="P317">
            <v>29194.135916791722</v>
          </cell>
          <cell r="Q317">
            <v>44854.295659272429</v>
          </cell>
          <cell r="R317">
            <v>0</v>
          </cell>
          <cell r="S317">
            <v>23677.34483148624</v>
          </cell>
          <cell r="T317">
            <v>0</v>
          </cell>
          <cell r="U317">
            <v>16465.770791041385</v>
          </cell>
          <cell r="V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7165.0514340470281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U317">
            <v>0</v>
          </cell>
        </row>
        <row r="318">
          <cell r="B318">
            <v>38565</v>
          </cell>
          <cell r="C318">
            <v>7</v>
          </cell>
          <cell r="D318">
            <v>31</v>
          </cell>
          <cell r="E318">
            <v>304</v>
          </cell>
          <cell r="F318">
            <v>730186.22416619596</v>
          </cell>
          <cell r="G318">
            <v>7000</v>
          </cell>
          <cell r="H318">
            <v>3845.8554963103461</v>
          </cell>
          <cell r="I318">
            <v>56521.494321361271</v>
          </cell>
          <cell r="J318">
            <v>26819.756845230571</v>
          </cell>
          <cell r="K318">
            <v>27373.822173691507</v>
          </cell>
          <cell r="L318">
            <v>21971.35694571869</v>
          </cell>
          <cell r="M318">
            <v>22210.952763431527</v>
          </cell>
          <cell r="N318">
            <v>21791.660082434064</v>
          </cell>
          <cell r="O318">
            <v>28140.949251824219</v>
          </cell>
          <cell r="P318">
            <v>32075.890096305913</v>
          </cell>
          <cell r="Q318">
            <v>49281.864755808943</v>
          </cell>
          <cell r="R318">
            <v>0</v>
          </cell>
          <cell r="S318">
            <v>26014.536369622794</v>
          </cell>
          <cell r="T318">
            <v>0</v>
          </cell>
          <cell r="U318">
            <v>19876.881468423308</v>
          </cell>
          <cell r="V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7626.0056776126903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U318">
            <v>0</v>
          </cell>
        </row>
        <row r="319">
          <cell r="B319">
            <v>38566</v>
          </cell>
          <cell r="C319">
            <v>8</v>
          </cell>
          <cell r="D319">
            <v>1</v>
          </cell>
          <cell r="E319">
            <v>305</v>
          </cell>
          <cell r="F319">
            <v>721178.02562171803</v>
          </cell>
          <cell r="G319">
            <v>7000</v>
          </cell>
          <cell r="H319">
            <v>3798.4097506395124</v>
          </cell>
          <cell r="I319">
            <v>55824.197075773249</v>
          </cell>
          <cell r="J319">
            <v>26488.885505042883</v>
          </cell>
          <cell r="K319">
            <v>27036.11541218224</v>
          </cell>
          <cell r="L319">
            <v>21700.29959198042</v>
          </cell>
          <cell r="M319">
            <v>21936.939551824467</v>
          </cell>
          <cell r="N319">
            <v>21522.819622097388</v>
          </cell>
          <cell r="O319">
            <v>27793.778557964604</v>
          </cell>
          <cell r="P319">
            <v>31680.174624121639</v>
          </cell>
          <cell r="Q319">
            <v>48673.881740422177</v>
          </cell>
          <cell r="R319">
            <v>0</v>
          </cell>
          <cell r="S319">
            <v>25693.598914348695</v>
          </cell>
          <cell r="T319">
            <v>0</v>
          </cell>
          <cell r="U319">
            <v>19389.470443515838</v>
          </cell>
          <cell r="V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7576.0872610648485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U319">
            <v>0</v>
          </cell>
        </row>
        <row r="320">
          <cell r="B320">
            <v>38567</v>
          </cell>
          <cell r="C320">
            <v>8</v>
          </cell>
          <cell r="D320">
            <v>2</v>
          </cell>
          <cell r="E320">
            <v>306</v>
          </cell>
          <cell r="F320">
            <v>618361.96365750802</v>
          </cell>
          <cell r="G320">
            <v>7000</v>
          </cell>
          <cell r="H320">
            <v>3256.8825293261148</v>
          </cell>
          <cell r="I320">
            <v>47865.518494715652</v>
          </cell>
          <cell r="J320">
            <v>22712.449179072642</v>
          </cell>
          <cell r="K320">
            <v>23181.662255357227</v>
          </cell>
          <cell r="L320">
            <v>18606.556759803101</v>
          </cell>
          <cell r="M320">
            <v>18809.459711709947</v>
          </cell>
          <cell r="N320">
            <v>18454.379545872966</v>
          </cell>
          <cell r="O320">
            <v>23831.307771404405</v>
          </cell>
          <cell r="P320">
            <v>27163.63268652909</v>
          </cell>
          <cell r="Q320">
            <v>41734.600920339508</v>
          </cell>
          <cell r="R320">
            <v>0</v>
          </cell>
          <cell r="S320">
            <v>22030.544073231136</v>
          </cell>
          <cell r="T320">
            <v>0</v>
          </cell>
          <cell r="U320">
            <v>14254.976732782317</v>
          </cell>
          <cell r="V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6720.1632211490887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U320">
            <v>0</v>
          </cell>
        </row>
        <row r="321">
          <cell r="B321">
            <v>38568</v>
          </cell>
          <cell r="C321">
            <v>8</v>
          </cell>
          <cell r="D321">
            <v>3</v>
          </cell>
          <cell r="E321">
            <v>307</v>
          </cell>
          <cell r="F321">
            <v>588134.63047218602</v>
          </cell>
          <cell r="G321">
            <v>7000</v>
          </cell>
          <cell r="H321">
            <v>3097.6766286638262</v>
          </cell>
          <cell r="I321">
            <v>45525.712587072005</v>
          </cell>
          <cell r="J321">
            <v>21602.198534402047</v>
          </cell>
          <cell r="K321">
            <v>22048.475109372946</v>
          </cell>
          <cell r="L321">
            <v>17697.014091163663</v>
          </cell>
          <cell r="M321">
            <v>17889.998556015944</v>
          </cell>
          <cell r="N321">
            <v>17552.275742524453</v>
          </cell>
          <cell r="O321">
            <v>22666.364061109864</v>
          </cell>
          <cell r="P321">
            <v>25835.795232098932</v>
          </cell>
          <cell r="Q321">
            <v>39694.492114303255</v>
          </cell>
          <cell r="R321">
            <v>0</v>
          </cell>
          <cell r="S321">
            <v>20288.123918868128</v>
          </cell>
          <cell r="T321">
            <v>0</v>
          </cell>
          <cell r="U321">
            <v>13302.160799475958</v>
          </cell>
          <cell r="V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6586.5549549849911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U321">
            <v>0</v>
          </cell>
        </row>
        <row r="322">
          <cell r="B322">
            <v>38569</v>
          </cell>
          <cell r="C322">
            <v>8</v>
          </cell>
          <cell r="D322">
            <v>4</v>
          </cell>
          <cell r="E322">
            <v>308</v>
          </cell>
          <cell r="F322">
            <v>716151.28510620794</v>
          </cell>
          <cell r="G322">
            <v>7000</v>
          </cell>
          <cell r="H322">
            <v>3771.9341516754598</v>
          </cell>
          <cell r="I322">
            <v>55435.0923842587</v>
          </cell>
          <cell r="J322">
            <v>26304.253210036226</v>
          </cell>
          <cell r="K322">
            <v>26847.66882632397</v>
          </cell>
          <cell r="L322">
            <v>21549.044601836096</v>
          </cell>
          <cell r="M322">
            <v>21784.035138609175</v>
          </cell>
          <cell r="N322">
            <v>21372.801699256292</v>
          </cell>
          <cell r="O322">
            <v>27600.050923742816</v>
          </cell>
          <cell r="P322">
            <v>31459.358110495588</v>
          </cell>
          <cell r="Q322">
            <v>48334.616032512131</v>
          </cell>
          <cell r="R322">
            <v>0</v>
          </cell>
          <cell r="S322">
            <v>25514.509909881759</v>
          </cell>
          <cell r="T322">
            <v>0</v>
          </cell>
          <cell r="U322">
            <v>19120.11625911613</v>
          </cell>
          <cell r="V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7546.2739799299106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U322">
            <v>0</v>
          </cell>
        </row>
        <row r="323">
          <cell r="B323">
            <v>38570</v>
          </cell>
          <cell r="C323">
            <v>8</v>
          </cell>
          <cell r="D323">
            <v>5</v>
          </cell>
          <cell r="E323">
            <v>309</v>
          </cell>
          <cell r="F323">
            <v>736312.15858589194</v>
          </cell>
          <cell r="G323">
            <v>7000</v>
          </cell>
          <cell r="H323">
            <v>3878.1204963586929</v>
          </cell>
          <cell r="I323">
            <v>56995.68426915336</v>
          </cell>
          <cell r="J323">
            <v>27044.762557675618</v>
          </cell>
          <cell r="K323">
            <v>27603.47624535513</v>
          </cell>
          <cell r="L323">
            <v>22155.686760917404</v>
          </cell>
          <cell r="M323">
            <v>22397.29267991395</v>
          </cell>
          <cell r="N323">
            <v>21974.482321669999</v>
          </cell>
          <cell r="O323">
            <v>28377.039175078415</v>
          </cell>
          <cell r="P323">
            <v>32344.992405662299</v>
          </cell>
          <cell r="Q323">
            <v>49695.317463601597</v>
          </cell>
          <cell r="R323">
            <v>0</v>
          </cell>
          <cell r="S323">
            <v>26232.786643984084</v>
          </cell>
          <cell r="T323">
            <v>0</v>
          </cell>
          <cell r="U323">
            <v>20211.796707604437</v>
          </cell>
          <cell r="V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7657.3246186995266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U323">
            <v>0</v>
          </cell>
        </row>
        <row r="324">
          <cell r="B324">
            <v>38571</v>
          </cell>
          <cell r="C324">
            <v>8</v>
          </cell>
          <cell r="D324">
            <v>6</v>
          </cell>
          <cell r="E324">
            <v>310</v>
          </cell>
          <cell r="F324">
            <v>710972.79393362603</v>
          </cell>
          <cell r="G324">
            <v>7000</v>
          </cell>
          <cell r="H324">
            <v>3744.6592893464549</v>
          </cell>
          <cell r="I324">
            <v>55034.241136019198</v>
          </cell>
          <cell r="J324">
            <v>26114.047109897296</v>
          </cell>
          <cell r="K324">
            <v>26653.533286930353</v>
          </cell>
          <cell r="L324">
            <v>21393.223423310064</v>
          </cell>
          <cell r="M324">
            <v>21626.514743108142</v>
          </cell>
          <cell r="N324">
            <v>21218.254933461507</v>
          </cell>
          <cell r="O324">
            <v>27400.474908110562</v>
          </cell>
          <cell r="P324">
            <v>31231.875437967621</v>
          </cell>
          <cell r="Q324">
            <v>47985.108340967054</v>
          </cell>
          <cell r="R324">
            <v>0</v>
          </cell>
          <cell r="S324">
            <v>25330.014444902623</v>
          </cell>
          <cell r="T324">
            <v>0</v>
          </cell>
          <cell r="U324">
            <v>18844.600812995872</v>
          </cell>
          <cell r="V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7514.1237678393281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U324">
            <v>0</v>
          </cell>
        </row>
        <row r="325">
          <cell r="B325">
            <v>38572</v>
          </cell>
          <cell r="C325">
            <v>8</v>
          </cell>
          <cell r="D325">
            <v>7</v>
          </cell>
          <cell r="E325">
            <v>311</v>
          </cell>
          <cell r="F325">
            <v>778237.27104037593</v>
          </cell>
          <cell r="G325">
            <v>7000</v>
          </cell>
          <cell r="H325">
            <v>4098.9380341732758</v>
          </cell>
          <cell r="I325">
            <v>60240.979684339392</v>
          </cell>
          <cell r="J325">
            <v>28584.672904549378</v>
          </cell>
          <cell r="K325">
            <v>29175.199368797472</v>
          </cell>
          <cell r="L325">
            <v>23417.216464218414</v>
          </cell>
          <cell r="M325">
            <v>23672.579259568942</v>
          </cell>
          <cell r="N325">
            <v>23225.694367705521</v>
          </cell>
          <cell r="O325">
            <v>29992.808444494432</v>
          </cell>
          <cell r="P325">
            <v>34186.694227551518</v>
          </cell>
          <cell r="Q325">
            <v>52524.934968661095</v>
          </cell>
          <cell r="R325">
            <v>0</v>
          </cell>
          <cell r="S325">
            <v>27726.463635758522</v>
          </cell>
          <cell r="T325">
            <v>0</v>
          </cell>
          <cell r="U325">
            <v>22579.016947547236</v>
          </cell>
          <cell r="V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7811.2086386535857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U325">
            <v>0</v>
          </cell>
        </row>
        <row r="326">
          <cell r="B326">
            <v>38573</v>
          </cell>
          <cell r="C326">
            <v>8</v>
          </cell>
          <cell r="D326">
            <v>8</v>
          </cell>
          <cell r="E326">
            <v>312</v>
          </cell>
          <cell r="F326">
            <v>765291.54228871397</v>
          </cell>
          <cell r="G326">
            <v>7000</v>
          </cell>
          <cell r="H326">
            <v>4030.7535075065689</v>
          </cell>
          <cell r="I326">
            <v>59238.890203729847</v>
          </cell>
          <cell r="J326">
            <v>28109.175989087362</v>
          </cell>
          <cell r="K326">
            <v>28689.879233976382</v>
          </cell>
          <cell r="L326">
            <v>23027.678538259843</v>
          </cell>
          <cell r="M326">
            <v>23278.793454968611</v>
          </cell>
          <cell r="N326">
            <v>22839.342350728271</v>
          </cell>
          <cell r="O326">
            <v>29493.887643510541</v>
          </cell>
          <cell r="P326">
            <v>33618.009474385894</v>
          </cell>
          <cell r="Q326">
            <v>51651.199430534063</v>
          </cell>
          <cell r="R326">
            <v>0</v>
          </cell>
          <cell r="S326">
            <v>27265.242757720251</v>
          </cell>
          <cell r="T326">
            <v>0</v>
          </cell>
          <cell r="U326">
            <v>21834.075357551294</v>
          </cell>
          <cell r="V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7775.3362921381331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U326">
            <v>0</v>
          </cell>
        </row>
        <row r="327">
          <cell r="B327">
            <v>38574</v>
          </cell>
          <cell r="C327">
            <v>8</v>
          </cell>
          <cell r="D327">
            <v>9</v>
          </cell>
          <cell r="E327">
            <v>313</v>
          </cell>
          <cell r="F327">
            <v>636144.74460333993</v>
          </cell>
          <cell r="G327">
            <v>7000</v>
          </cell>
          <cell r="H327">
            <v>3350.5435757506834</v>
          </cell>
          <cell r="I327">
            <v>49242.029470933521</v>
          </cell>
          <cell r="J327">
            <v>23365.611133125964</v>
          </cell>
          <cell r="K327">
            <v>23848.317784117404</v>
          </cell>
          <cell r="L327">
            <v>19141.641940428846</v>
          </cell>
          <cell r="M327">
            <v>19350.379951668387</v>
          </cell>
          <cell r="N327">
            <v>18985.088431999193</v>
          </cell>
          <cell r="O327">
            <v>24516.64572984699</v>
          </cell>
          <cell r="P327">
            <v>27944.801254693364</v>
          </cell>
          <cell r="Q327">
            <v>42934.799686832797</v>
          </cell>
          <cell r="R327">
            <v>0</v>
          </cell>
          <cell r="S327">
            <v>22664.095880096073</v>
          </cell>
          <cell r="T327">
            <v>0</v>
          </cell>
          <cell r="U327">
            <v>15086.651727672468</v>
          </cell>
          <cell r="V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6901.6784386380341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U327">
            <v>0</v>
          </cell>
        </row>
        <row r="328">
          <cell r="B328">
            <v>38575</v>
          </cell>
          <cell r="C328">
            <v>8</v>
          </cell>
          <cell r="D328">
            <v>10</v>
          </cell>
          <cell r="E328">
            <v>314</v>
          </cell>
          <cell r="F328">
            <v>613922.25857856602</v>
          </cell>
          <cell r="G328">
            <v>7000</v>
          </cell>
          <cell r="H328">
            <v>3233.4988175896415</v>
          </cell>
          <cell r="I328">
            <v>47521.854430531908</v>
          </cell>
          <cell r="J328">
            <v>22549.378709182951</v>
          </cell>
          <cell r="K328">
            <v>23015.222937122522</v>
          </cell>
          <cell r="L328">
            <v>18472.96570892489</v>
          </cell>
          <cell r="M328">
            <v>18674.411861547407</v>
          </cell>
          <cell r="N328">
            <v>18321.881094458004</v>
          </cell>
          <cell r="O328">
            <v>23660.204138954698</v>
          </cell>
          <cell r="P328">
            <v>26968.60368233941</v>
          </cell>
          <cell r="Q328">
            <v>41434.95551754388</v>
          </cell>
          <cell r="R328">
            <v>0</v>
          </cell>
          <cell r="S328">
            <v>21872.369534429861</v>
          </cell>
          <cell r="T328">
            <v>0</v>
          </cell>
          <cell r="U328">
            <v>14051.016270720938</v>
          </cell>
          <cell r="V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6672.9709194198585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U328">
            <v>0</v>
          </cell>
        </row>
        <row r="329">
          <cell r="B329">
            <v>38576</v>
          </cell>
          <cell r="C329">
            <v>8</v>
          </cell>
          <cell r="D329">
            <v>11</v>
          </cell>
          <cell r="E329">
            <v>315</v>
          </cell>
          <cell r="F329">
            <v>765631.98290753993</v>
          </cell>
          <cell r="G329">
            <v>7000</v>
          </cell>
          <cell r="H329">
            <v>4032.5465917661004</v>
          </cell>
          <cell r="I329">
            <v>59265.242676382564</v>
          </cell>
          <cell r="J329">
            <v>28121.680380864371</v>
          </cell>
          <cell r="K329">
            <v>28702.641952105016</v>
          </cell>
          <cell r="L329">
            <v>23037.922421405667</v>
          </cell>
          <cell r="M329">
            <v>23289.149046807022</v>
          </cell>
          <cell r="N329">
            <v>22849.502452354649</v>
          </cell>
          <cell r="O329">
            <v>29507.008025490606</v>
          </cell>
          <cell r="P329">
            <v>33632.964475606641</v>
          </cell>
          <cell r="Q329">
            <v>51674.176512241567</v>
          </cell>
          <cell r="R329">
            <v>0</v>
          </cell>
          <cell r="S329">
            <v>27277.371725053563</v>
          </cell>
          <cell r="T329">
            <v>0</v>
          </cell>
          <cell r="U329">
            <v>21853.505493779179</v>
          </cell>
          <cell r="V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7776.4165236928648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U329">
            <v>0</v>
          </cell>
        </row>
        <row r="330">
          <cell r="B330">
            <v>38577</v>
          </cell>
          <cell r="C330">
            <v>8</v>
          </cell>
          <cell r="D330">
            <v>12</v>
          </cell>
          <cell r="E330">
            <v>316</v>
          </cell>
          <cell r="F330">
            <v>780793.07158053597</v>
          </cell>
          <cell r="G330">
            <v>7000</v>
          </cell>
          <cell r="H330">
            <v>4112.3993118987919</v>
          </cell>
          <cell r="I330">
            <v>60438.816429180944</v>
          </cell>
          <cell r="J330">
            <v>28678.547517303505</v>
          </cell>
          <cell r="K330">
            <v>29271.01332307695</v>
          </cell>
          <cell r="L330">
            <v>23494.120689594671</v>
          </cell>
          <cell r="M330">
            <v>23750.322119118322</v>
          </cell>
          <cell r="N330">
            <v>23301.969617451938</v>
          </cell>
          <cell r="O330">
            <v>30091.30749982865</v>
          </cell>
          <cell r="P330">
            <v>34298.966377478566</v>
          </cell>
          <cell r="Q330">
            <v>52697.431535145646</v>
          </cell>
          <cell r="R330">
            <v>0</v>
          </cell>
          <cell r="S330">
            <v>27817.519812806255</v>
          </cell>
          <cell r="T330">
            <v>0</v>
          </cell>
          <cell r="U330">
            <v>22727.563474649196</v>
          </cell>
          <cell r="V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7817.0094461773751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U330">
            <v>0</v>
          </cell>
        </row>
        <row r="331">
          <cell r="B331">
            <v>38578</v>
          </cell>
          <cell r="C331">
            <v>8</v>
          </cell>
          <cell r="D331">
            <v>13</v>
          </cell>
          <cell r="E331">
            <v>317</v>
          </cell>
          <cell r="F331">
            <v>781990.10472414992</v>
          </cell>
          <cell r="G331">
            <v>7000</v>
          </cell>
          <cell r="H331">
            <v>4118.7040275210175</v>
          </cell>
          <cell r="I331">
            <v>60531.475123346972</v>
          </cell>
          <cell r="J331">
            <v>28722.514572261396</v>
          </cell>
          <cell r="K331">
            <v>29315.888686819566</v>
          </cell>
          <cell r="L331">
            <v>23530.139504526756</v>
          </cell>
          <cell r="M331">
            <v>23786.733716227587</v>
          </cell>
          <cell r="N331">
            <v>23337.693845751139</v>
          </cell>
          <cell r="O331">
            <v>30137.440455823074</v>
          </cell>
          <cell r="P331">
            <v>34351.550091448305</v>
          </cell>
          <cell r="Q331">
            <v>52778.221919213996</v>
          </cell>
          <cell r="R331">
            <v>0</v>
          </cell>
          <cell r="S331">
            <v>27860.166826978224</v>
          </cell>
          <cell r="T331">
            <v>0</v>
          </cell>
          <cell r="U331">
            <v>22797.304106885291</v>
          </cell>
          <cell r="V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7819.5788351179654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U331">
            <v>0</v>
          </cell>
        </row>
        <row r="332">
          <cell r="B332">
            <v>38579</v>
          </cell>
          <cell r="C332">
            <v>8</v>
          </cell>
          <cell r="D332">
            <v>14</v>
          </cell>
          <cell r="E332">
            <v>318</v>
          </cell>
          <cell r="F332">
            <v>705844.22074034403</v>
          </cell>
          <cell r="G332">
            <v>7000</v>
          </cell>
          <cell r="H332">
            <v>3717.6473425980262</v>
          </cell>
          <cell r="I332">
            <v>54637.253886702376</v>
          </cell>
          <cell r="J332">
            <v>25925.674498288721</v>
          </cell>
          <cell r="K332">
            <v>26461.269113831262</v>
          </cell>
          <cell r="L332">
            <v>21238.904280435909</v>
          </cell>
          <cell r="M332">
            <v>21470.512762832681</v>
          </cell>
          <cell r="N332">
            <v>21065.197918638329</v>
          </cell>
          <cell r="O332">
            <v>27202.822702152804</v>
          </cell>
          <cell r="P332">
            <v>31006.585580867919</v>
          </cell>
          <cell r="Q332">
            <v>47638.969722986149</v>
          </cell>
          <cell r="R332">
            <v>0</v>
          </cell>
          <cell r="S332">
            <v>25147.297420881445</v>
          </cell>
          <cell r="T332">
            <v>0</v>
          </cell>
          <cell r="U332">
            <v>18573.711857154645</v>
          </cell>
          <cell r="V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7480.8699269057406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U332">
            <v>0</v>
          </cell>
        </row>
        <row r="333">
          <cell r="B333">
            <v>38580</v>
          </cell>
          <cell r="C333">
            <v>8</v>
          </cell>
          <cell r="D333">
            <v>15</v>
          </cell>
          <cell r="E333">
            <v>319</v>
          </cell>
          <cell r="F333">
            <v>745234.498205974</v>
          </cell>
          <cell r="G333">
            <v>7000</v>
          </cell>
          <cell r="H333">
            <v>3925.1140272309349</v>
          </cell>
          <cell r="I333">
            <v>57686.335436594374</v>
          </cell>
          <cell r="J333">
            <v>27372.480297591104</v>
          </cell>
          <cell r="K333">
            <v>27937.964256837822</v>
          </cell>
          <cell r="L333">
            <v>22424.160613334447</v>
          </cell>
          <cell r="M333">
            <v>22668.694217333028</v>
          </cell>
          <cell r="N333">
            <v>22240.760410335515</v>
          </cell>
          <cell r="O333">
            <v>28720.900916297898</v>
          </cell>
          <cell r="P333">
            <v>32736.936235309964</v>
          </cell>
          <cell r="Q333">
            <v>50297.505672458021</v>
          </cell>
          <cell r="R333">
            <v>0</v>
          </cell>
          <cell r="S333">
            <v>26550.665180810491</v>
          </cell>
          <cell r="T333">
            <v>0</v>
          </cell>
          <cell r="U333">
            <v>20704.601656520124</v>
          </cell>
          <cell r="V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7699.0404083134863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U333">
            <v>0</v>
          </cell>
        </row>
        <row r="334">
          <cell r="B334">
            <v>38581</v>
          </cell>
          <cell r="C334">
            <v>8</v>
          </cell>
          <cell r="D334">
            <v>16</v>
          </cell>
          <cell r="E334">
            <v>320</v>
          </cell>
          <cell r="F334">
            <v>574892.38892348204</v>
          </cell>
          <cell r="G334">
            <v>7000</v>
          </cell>
          <cell r="H334">
            <v>3027.9303834484949</v>
          </cell>
          <cell r="I334">
            <v>44500.670952861707</v>
          </cell>
          <cell r="J334">
            <v>21115.810697069723</v>
          </cell>
          <cell r="K334">
            <v>21552.039058762402</v>
          </cell>
          <cell r="L334">
            <v>17298.554073432926</v>
          </cell>
          <cell r="M334">
            <v>17487.193364975705</v>
          </cell>
          <cell r="N334">
            <v>17157.074604775844</v>
          </cell>
          <cell r="O334">
            <v>22156.015830659464</v>
          </cell>
          <cell r="P334">
            <v>25254.08515528942</v>
          </cell>
          <cell r="Q334">
            <v>38800.744279205166</v>
          </cell>
          <cell r="R334">
            <v>0</v>
          </cell>
          <cell r="S334">
            <v>19384.807936566158</v>
          </cell>
          <cell r="T334">
            <v>0</v>
          </cell>
          <cell r="U334">
            <v>12976.665958262602</v>
          </cell>
          <cell r="V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6560.2527201882867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U334">
            <v>0</v>
          </cell>
        </row>
        <row r="335">
          <cell r="B335">
            <v>38582</v>
          </cell>
          <cell r="C335">
            <v>8</v>
          </cell>
          <cell r="D335">
            <v>17</v>
          </cell>
          <cell r="E335">
            <v>321</v>
          </cell>
          <cell r="F335">
            <v>583297.57827801595</v>
          </cell>
          <cell r="G335">
            <v>7000</v>
          </cell>
          <cell r="H335">
            <v>3072.200108905964</v>
          </cell>
          <cell r="I335">
            <v>45151.291091463674</v>
          </cell>
          <cell r="J335">
            <v>21424.533495810738</v>
          </cell>
          <cell r="K335">
            <v>21867.139715433852</v>
          </cell>
          <cell r="L335">
            <v>17551.466836496485</v>
          </cell>
          <cell r="M335">
            <v>17742.864120657832</v>
          </cell>
          <cell r="N335">
            <v>17407.918873375475</v>
          </cell>
          <cell r="O335">
            <v>22479.946903651165</v>
          </cell>
          <cell r="P335">
            <v>25623.311417100278</v>
          </cell>
          <cell r="Q335">
            <v>39368.028885936983</v>
          </cell>
          <cell r="R335">
            <v>0</v>
          </cell>
          <cell r="S335">
            <v>19955.78108486332</v>
          </cell>
          <cell r="T335">
            <v>0</v>
          </cell>
          <cell r="U335">
            <v>13184.572609170189</v>
          </cell>
          <cell r="V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6578.3837324411352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U335">
            <v>0</v>
          </cell>
        </row>
        <row r="336">
          <cell r="B336">
            <v>38583</v>
          </cell>
          <cell r="C336">
            <v>8</v>
          </cell>
          <cell r="D336">
            <v>18</v>
          </cell>
          <cell r="E336">
            <v>322</v>
          </cell>
          <cell r="F336">
            <v>736194.35215474397</v>
          </cell>
          <cell r="G336">
            <v>7000</v>
          </cell>
          <cell r="H336">
            <v>3877.5000155885327</v>
          </cell>
          <cell r="I336">
            <v>56986.565231695837</v>
          </cell>
          <cell r="J336">
            <v>27040.435524743985</v>
          </cell>
          <cell r="K336">
            <v>27599.059820900064</v>
          </cell>
          <cell r="L336">
            <v>22152.141956778974</v>
          </cell>
          <cell r="M336">
            <v>22393.7092199816</v>
          </cell>
          <cell r="N336">
            <v>21970.966509377005</v>
          </cell>
          <cell r="O336">
            <v>28372.498984246606</v>
          </cell>
          <cell r="P336">
            <v>32339.817361251604</v>
          </cell>
          <cell r="Q336">
            <v>49687.366449990208</v>
          </cell>
          <cell r="R336">
            <v>0</v>
          </cell>
          <cell r="S336">
            <v>26228.589523323291</v>
          </cell>
          <cell r="T336">
            <v>0</v>
          </cell>
          <cell r="U336">
            <v>20205.329642980389</v>
          </cell>
          <cell r="V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7656.7427024557719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U336">
            <v>0</v>
          </cell>
        </row>
        <row r="337">
          <cell r="B337">
            <v>38584</v>
          </cell>
          <cell r="C337">
            <v>8</v>
          </cell>
          <cell r="D337">
            <v>19</v>
          </cell>
          <cell r="E337">
            <v>323</v>
          </cell>
          <cell r="F337">
            <v>730230.15198798</v>
          </cell>
          <cell r="G337">
            <v>7000</v>
          </cell>
          <cell r="H337">
            <v>3846.0868620212536</v>
          </cell>
          <cell r="I337">
            <v>56524.894640413237</v>
          </cell>
          <cell r="J337">
            <v>26821.370315137283</v>
          </cell>
          <cell r="K337">
            <v>27375.468976030686</v>
          </cell>
          <cell r="L337">
            <v>21972.678737092345</v>
          </cell>
          <cell r="M337">
            <v>22212.288968830031</v>
          </cell>
          <cell r="N337">
            <v>21792.971063289082</v>
          </cell>
          <cell r="O337">
            <v>28142.642204337775</v>
          </cell>
          <cell r="P337">
            <v>32077.819773882784</v>
          </cell>
          <cell r="Q337">
            <v>49284.82954054539</v>
          </cell>
          <cell r="R337">
            <v>0</v>
          </cell>
          <cell r="S337">
            <v>26016.101397665803</v>
          </cell>
          <cell r="T337">
            <v>0</v>
          </cell>
          <cell r="U337">
            <v>19879.273116860553</v>
          </cell>
          <cell r="V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7626.2379021071165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U337">
            <v>0</v>
          </cell>
        </row>
        <row r="338">
          <cell r="B338">
            <v>38585</v>
          </cell>
          <cell r="C338">
            <v>8</v>
          </cell>
          <cell r="D338">
            <v>20</v>
          </cell>
          <cell r="E338">
            <v>324</v>
          </cell>
          <cell r="F338">
            <v>782108.909514884</v>
          </cell>
          <cell r="G338">
            <v>7000</v>
          </cell>
          <cell r="H338">
            <v>4119.3297666027893</v>
          </cell>
          <cell r="I338">
            <v>60540.671440782964</v>
          </cell>
          <cell r="J338">
            <v>28726.878274963638</v>
          </cell>
          <cell r="K338">
            <v>29320.342538600526</v>
          </cell>
          <cell r="L338">
            <v>23533.714349378231</v>
          </cell>
          <cell r="M338">
            <v>23790.34754446445</v>
          </cell>
          <cell r="N338">
            <v>23341.239453063568</v>
          </cell>
          <cell r="O338">
            <v>30142.019122848375</v>
          </cell>
          <cell r="P338">
            <v>34356.76899216757</v>
          </cell>
          <cell r="Q338">
            <v>52786.240314296672</v>
          </cell>
          <cell r="R338">
            <v>0</v>
          </cell>
          <cell r="S338">
            <v>27864.399516458176</v>
          </cell>
          <cell r="T338">
            <v>0</v>
          </cell>
          <cell r="U338">
            <v>22804.231648980902</v>
          </cell>
          <cell r="V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7819.8286956704296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U338">
            <v>0</v>
          </cell>
        </row>
        <row r="339">
          <cell r="B339">
            <v>38586</v>
          </cell>
          <cell r="C339">
            <v>8</v>
          </cell>
          <cell r="D339">
            <v>21</v>
          </cell>
          <cell r="E339">
            <v>325</v>
          </cell>
          <cell r="F339">
            <v>747942.04940320598</v>
          </cell>
          <cell r="G339">
            <v>7000</v>
          </cell>
          <cell r="H339">
            <v>3939.3745683214042</v>
          </cell>
          <cell r="I339">
            <v>57895.918738160894</v>
          </cell>
          <cell r="J339">
            <v>27471.928715477508</v>
          </cell>
          <cell r="K339">
            <v>28039.467164652648</v>
          </cell>
          <cell r="L339">
            <v>22505.631027092419</v>
          </cell>
          <cell r="M339">
            <v>22751.053059168156</v>
          </cell>
          <cell r="N339">
            <v>22321.564503035621</v>
          </cell>
          <cell r="O339">
            <v>28825.248353042585</v>
          </cell>
          <cell r="P339">
            <v>32855.874544138933</v>
          </cell>
          <cell r="Q339">
            <v>50480.244222577603</v>
          </cell>
          <cell r="R339">
            <v>0</v>
          </cell>
          <cell r="S339">
            <v>26647.127818370438</v>
          </cell>
          <cell r="T339">
            <v>0</v>
          </cell>
          <cell r="U339">
            <v>20855.320938008266</v>
          </cell>
          <cell r="V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7710.7684198434772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U339">
            <v>0</v>
          </cell>
        </row>
        <row r="340">
          <cell r="B340">
            <v>38587</v>
          </cell>
          <cell r="C340">
            <v>8</v>
          </cell>
          <cell r="D340">
            <v>22</v>
          </cell>
          <cell r="E340">
            <v>326</v>
          </cell>
          <cell r="F340">
            <v>768136.86710881395</v>
          </cell>
          <cell r="G340">
            <v>7000</v>
          </cell>
          <cell r="H340">
            <v>4045.7396955994291</v>
          </cell>
          <cell r="I340">
            <v>59459.138142322983</v>
          </cell>
          <cell r="J340">
            <v>28213.684835317545</v>
          </cell>
          <cell r="K340">
            <v>28796.547112764085</v>
          </cell>
          <cell r="L340">
            <v>23113.294570417009</v>
          </cell>
          <cell r="M340">
            <v>23365.343122826322</v>
          </cell>
          <cell r="N340">
            <v>22924.258156110023</v>
          </cell>
          <cell r="O340">
            <v>29603.544794956837</v>
          </cell>
          <cell r="P340">
            <v>33742.999953796862</v>
          </cell>
          <cell r="Q340">
            <v>51843.236623690696</v>
          </cell>
          <cell r="R340">
            <v>0</v>
          </cell>
          <cell r="S340">
            <v>27366.613892324174</v>
          </cell>
          <cell r="T340">
            <v>0</v>
          </cell>
          <cell r="U340">
            <v>21996.733697177104</v>
          </cell>
          <cell r="V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7784.1393960813421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U340">
            <v>0</v>
          </cell>
        </row>
        <row r="341">
          <cell r="B341">
            <v>38588</v>
          </cell>
          <cell r="C341">
            <v>8</v>
          </cell>
          <cell r="D341">
            <v>23</v>
          </cell>
          <cell r="E341">
            <v>327</v>
          </cell>
          <cell r="F341">
            <v>654959.82936109602</v>
          </cell>
          <cell r="G341">
            <v>7000</v>
          </cell>
          <cell r="H341">
            <v>3449.6417163815745</v>
          </cell>
          <cell r="I341">
            <v>50698.447944872569</v>
          </cell>
          <cell r="J341">
            <v>24056.689629987017</v>
          </cell>
          <cell r="K341">
            <v>24553.673167848283</v>
          </cell>
          <cell r="L341">
            <v>19707.789218335474</v>
          </cell>
          <cell r="M341">
            <v>19922.701018491694</v>
          </cell>
          <cell r="N341">
            <v>19546.605368218308</v>
          </cell>
          <cell r="O341">
            <v>25241.768072358173</v>
          </cell>
          <cell r="P341">
            <v>28771.317245914124</v>
          </cell>
          <cell r="Q341">
            <v>44204.670894632756</v>
          </cell>
          <cell r="R341">
            <v>0</v>
          </cell>
          <cell r="S341">
            <v>23334.425845971706</v>
          </cell>
          <cell r="T341">
            <v>0</v>
          </cell>
          <cell r="U341">
            <v>15992.277089311672</v>
          </cell>
          <cell r="V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7079.820163692023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U341">
            <v>0</v>
          </cell>
        </row>
        <row r="342">
          <cell r="B342">
            <v>38589</v>
          </cell>
          <cell r="C342">
            <v>8</v>
          </cell>
          <cell r="D342">
            <v>24</v>
          </cell>
          <cell r="E342">
            <v>328</v>
          </cell>
          <cell r="F342">
            <v>583127.85714839597</v>
          </cell>
          <cell r="G342">
            <v>7000</v>
          </cell>
          <cell r="H342">
            <v>3071.3061959320039</v>
          </cell>
          <cell r="I342">
            <v>45138.153495126535</v>
          </cell>
          <cell r="J342">
            <v>21418.299634807536</v>
          </cell>
          <cell r="K342">
            <v>21860.777070032484</v>
          </cell>
          <cell r="L342">
            <v>17546.359915280093</v>
          </cell>
          <cell r="M342">
            <v>17737.701508890881</v>
          </cell>
          <cell r="N342">
            <v>17402.853720072002</v>
          </cell>
          <cell r="O342">
            <v>22473.405950757875</v>
          </cell>
          <cell r="P342">
            <v>25615.855844644189</v>
          </cell>
          <cell r="Q342">
            <v>39356.57403581887</v>
          </cell>
          <cell r="R342">
            <v>0</v>
          </cell>
          <cell r="S342">
            <v>19944.169773274305</v>
          </cell>
          <cell r="T342">
            <v>0</v>
          </cell>
          <cell r="U342">
            <v>13180.418968867716</v>
          </cell>
          <cell r="V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6578.0669662805631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U342">
            <v>0</v>
          </cell>
        </row>
        <row r="343">
          <cell r="B343">
            <v>38590</v>
          </cell>
          <cell r="C343">
            <v>8</v>
          </cell>
          <cell r="D343">
            <v>25</v>
          </cell>
          <cell r="E343">
            <v>329</v>
          </cell>
          <cell r="F343">
            <v>799172.87155879592</v>
          </cell>
          <cell r="G343">
            <v>7000</v>
          </cell>
          <cell r="H343">
            <v>4209.2048286670561</v>
          </cell>
          <cell r="I343">
            <v>61861.540832514147</v>
          </cell>
          <cell r="J343">
            <v>29353.637994179866</v>
          </cell>
          <cell r="K343">
            <v>29960.0503927196</v>
          </cell>
          <cell r="L343">
            <v>24047.170216616902</v>
          </cell>
          <cell r="M343">
            <v>24309.402605174622</v>
          </cell>
          <cell r="N343">
            <v>23850.495925198611</v>
          </cell>
          <cell r="O343">
            <v>30799.654221978217</v>
          </cell>
          <cell r="P343">
            <v>35106.361018164869</v>
          </cell>
          <cell r="Q343">
            <v>53937.924421466189</v>
          </cell>
          <cell r="R343">
            <v>0</v>
          </cell>
          <cell r="S343">
            <v>28472.341773528442</v>
          </cell>
          <cell r="T343">
            <v>0</v>
          </cell>
          <cell r="U343">
            <v>23810.167117008048</v>
          </cell>
          <cell r="V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7845.8998675135927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U343">
            <v>0</v>
          </cell>
        </row>
        <row r="344">
          <cell r="B344">
            <v>38591</v>
          </cell>
          <cell r="C344">
            <v>8</v>
          </cell>
          <cell r="D344">
            <v>26</v>
          </cell>
          <cell r="E344">
            <v>330</v>
          </cell>
          <cell r="F344">
            <v>868273.33194419998</v>
          </cell>
          <cell r="G344">
            <v>7000</v>
          </cell>
          <cell r="H344">
            <v>4573.1536085474818</v>
          </cell>
          <cell r="I344">
            <v>67210.397261210761</v>
          </cell>
          <cell r="J344">
            <v>31891.699496978381</v>
          </cell>
          <cell r="K344">
            <v>32550.54532689921</v>
          </cell>
          <cell r="L344">
            <v>26126.408128801406</v>
          </cell>
          <cell r="M344">
            <v>26411.314433632037</v>
          </cell>
          <cell r="N344">
            <v>25912.728400178439</v>
          </cell>
          <cell r="O344">
            <v>33462.745478190074</v>
          </cell>
          <cell r="P344">
            <v>38141.831559200276</v>
          </cell>
          <cell r="Q344">
            <v>58601.665574849721</v>
          </cell>
          <cell r="R344">
            <v>0</v>
          </cell>
          <cell r="S344">
            <v>30934.202022818248</v>
          </cell>
          <cell r="T344">
            <v>0</v>
          </cell>
          <cell r="U344">
            <v>28105.667376789021</v>
          </cell>
          <cell r="V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7737.1073848220676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U344">
            <v>0</v>
          </cell>
        </row>
        <row r="345">
          <cell r="B345">
            <v>38592</v>
          </cell>
          <cell r="C345">
            <v>8</v>
          </cell>
          <cell r="D345">
            <v>27</v>
          </cell>
          <cell r="E345">
            <v>331</v>
          </cell>
          <cell r="F345">
            <v>847888.82591725199</v>
          </cell>
          <cell r="G345">
            <v>7000</v>
          </cell>
          <cell r="H345">
            <v>4465.7894020632657</v>
          </cell>
          <cell r="I345">
            <v>65632.494661142453</v>
          </cell>
          <cell r="J345">
            <v>31142.976120722997</v>
          </cell>
          <cell r="K345">
            <v>31786.35418686859</v>
          </cell>
          <cell r="L345">
            <v>25513.036849999669</v>
          </cell>
          <cell r="M345">
            <v>25791.254392116683</v>
          </cell>
          <cell r="N345">
            <v>25304.373693411912</v>
          </cell>
          <cell r="O345">
            <v>32677.138559512729</v>
          </cell>
          <cell r="P345">
            <v>37246.373450914944</v>
          </cell>
          <cell r="Q345">
            <v>57225.870694192839</v>
          </cell>
          <cell r="R345">
            <v>0</v>
          </cell>
          <cell r="S345">
            <v>30207.957873224244</v>
          </cell>
          <cell r="T345">
            <v>0</v>
          </cell>
          <cell r="U345">
            <v>26801.481506789773</v>
          </cell>
          <cell r="V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7806.865997988979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U345">
            <v>0</v>
          </cell>
        </row>
        <row r="346">
          <cell r="B346">
            <v>38593</v>
          </cell>
          <cell r="C346">
            <v>8</v>
          </cell>
          <cell r="D346">
            <v>28</v>
          </cell>
          <cell r="E346">
            <v>332</v>
          </cell>
          <cell r="F346">
            <v>833363.69230053795</v>
          </cell>
          <cell r="G346">
            <v>7000</v>
          </cell>
          <cell r="H346">
            <v>4389.286226427118</v>
          </cell>
          <cell r="I346">
            <v>64508.148254619118</v>
          </cell>
          <cell r="J346">
            <v>30609.467628160572</v>
          </cell>
          <cell r="K346">
            <v>31241.824022488854</v>
          </cell>
          <cell r="L346">
            <v>25075.97451601562</v>
          </cell>
          <cell r="M346">
            <v>25349.425929779198</v>
          </cell>
          <cell r="N346">
            <v>24870.885955692935</v>
          </cell>
          <cell r="O346">
            <v>32117.348420427774</v>
          </cell>
          <cell r="P346">
            <v>36608.308017599076</v>
          </cell>
          <cell r="Q346">
            <v>56245.537668496065</v>
          </cell>
          <cell r="R346">
            <v>0</v>
          </cell>
          <cell r="S346">
            <v>29690.467123276008</v>
          </cell>
          <cell r="T346">
            <v>0</v>
          </cell>
          <cell r="U346">
            <v>25891.077707420078</v>
          </cell>
          <cell r="V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7836.8334041860435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U346">
            <v>0</v>
          </cell>
        </row>
        <row r="347">
          <cell r="B347">
            <v>38594</v>
          </cell>
          <cell r="C347">
            <v>8</v>
          </cell>
          <cell r="D347">
            <v>29</v>
          </cell>
          <cell r="E347">
            <v>333</v>
          </cell>
          <cell r="F347">
            <v>773500.05480480602</v>
          </cell>
          <cell r="G347">
            <v>7000</v>
          </cell>
          <cell r="H347">
            <v>4073.9873455765683</v>
          </cell>
          <cell r="I347">
            <v>59874.286186576443</v>
          </cell>
          <cell r="J347">
            <v>28410.674843018784</v>
          </cell>
          <cell r="K347">
            <v>28997.606707447427</v>
          </cell>
          <cell r="L347">
            <v>23274.673280855004</v>
          </cell>
          <cell r="M347">
            <v>23528.481654661984</v>
          </cell>
          <cell r="N347">
            <v>23084.31700049977</v>
          </cell>
          <cell r="O347">
            <v>29810.238906384733</v>
          </cell>
          <cell r="P347">
            <v>33978.596043409401</v>
          </cell>
          <cell r="Q347">
            <v>52205.209887423123</v>
          </cell>
          <cell r="R347">
            <v>0</v>
          </cell>
          <cell r="S347">
            <v>27557.689588847785</v>
          </cell>
          <cell r="T347">
            <v>0</v>
          </cell>
          <cell r="U347">
            <v>22304.971625285641</v>
          </cell>
          <cell r="V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7799.331160400282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U347">
            <v>0</v>
          </cell>
        </row>
        <row r="348">
          <cell r="B348">
            <v>38595</v>
          </cell>
          <cell r="C348">
            <v>8</v>
          </cell>
          <cell r="D348">
            <v>30</v>
          </cell>
          <cell r="E348">
            <v>334</v>
          </cell>
          <cell r="F348">
            <v>574316.33544236002</v>
          </cell>
          <cell r="G348">
            <v>7000</v>
          </cell>
          <cell r="H348">
            <v>3024.8963376486422</v>
          </cell>
          <cell r="I348">
            <v>44456.080405293906</v>
          </cell>
          <cell r="J348">
            <v>21094.652239429441</v>
          </cell>
          <cell r="K348">
            <v>21530.443491723632</v>
          </cell>
          <cell r="L348">
            <v>17281.220582010232</v>
          </cell>
          <cell r="M348">
            <v>17469.670853272582</v>
          </cell>
          <cell r="N348">
            <v>17139.882878563469</v>
          </cell>
          <cell r="O348">
            <v>22133.815067015777</v>
          </cell>
          <cell r="P348">
            <v>25228.780065247272</v>
          </cell>
          <cell r="Q348">
            <v>38761.865170274868</v>
          </cell>
          <cell r="R348">
            <v>0</v>
          </cell>
          <cell r="S348">
            <v>19345.979482099774</v>
          </cell>
          <cell r="T348">
            <v>0</v>
          </cell>
          <cell r="U348">
            <v>12962.255049864354</v>
          </cell>
          <cell r="V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6558.8277284478509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U348">
            <v>0</v>
          </cell>
        </row>
        <row r="349">
          <cell r="B349">
            <v>38596</v>
          </cell>
          <cell r="C349">
            <v>8</v>
          </cell>
          <cell r="D349">
            <v>31</v>
          </cell>
          <cell r="E349">
            <v>335</v>
          </cell>
          <cell r="F349">
            <v>522306.79280969</v>
          </cell>
          <cell r="G349">
            <v>7000</v>
          </cell>
          <cell r="H349">
            <v>2750.9645942459961</v>
          </cell>
          <cell r="I349">
            <v>40430.179927746729</v>
          </cell>
          <cell r="J349">
            <v>19184.340539653553</v>
          </cell>
          <cell r="K349">
            <v>19580.666949462142</v>
          </cell>
          <cell r="L349">
            <v>15716.249636316415</v>
          </cell>
          <cell r="M349">
            <v>15887.634029747156</v>
          </cell>
          <cell r="N349">
            <v>15587.711341243361</v>
          </cell>
          <cell r="O349">
            <v>20129.397767157996</v>
          </cell>
          <cell r="P349">
            <v>22944.085670540429</v>
          </cell>
          <cell r="Q349">
            <v>35173.789161999157</v>
          </cell>
          <cell r="R349">
            <v>0</v>
          </cell>
          <cell r="S349">
            <v>16027.316516079756</v>
          </cell>
          <cell r="T349">
            <v>0</v>
          </cell>
          <cell r="U349">
            <v>11604.970879803774</v>
          </cell>
          <cell r="V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6345.7523339178642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U349">
            <v>0</v>
          </cell>
        </row>
        <row r="350">
          <cell r="B350">
            <v>38597</v>
          </cell>
          <cell r="C350">
            <v>9</v>
          </cell>
          <cell r="D350">
            <v>1</v>
          </cell>
          <cell r="E350">
            <v>336</v>
          </cell>
          <cell r="F350">
            <v>622598.00338090595</v>
          </cell>
          <cell r="G350">
            <v>7000</v>
          </cell>
          <cell r="H350">
            <v>3279.1935454938352</v>
          </cell>
          <cell r="I350">
            <v>48193.417443294835</v>
          </cell>
          <cell r="J350">
            <v>22868.039015758481</v>
          </cell>
          <cell r="K350">
            <v>23340.466399110279</v>
          </cell>
          <cell r="L350">
            <v>18734.01950522164</v>
          </cell>
          <cell r="M350">
            <v>18938.312427752149</v>
          </cell>
          <cell r="N350">
            <v>18580.799813323763</v>
          </cell>
          <cell r="O350">
            <v>23994.562260382168</v>
          </cell>
          <cell r="P350">
            <v>27349.715003771453</v>
          </cell>
          <cell r="Q350">
            <v>42020.500502993396</v>
          </cell>
          <cell r="R350">
            <v>0</v>
          </cell>
          <cell r="S350">
            <v>22181.462572923927</v>
          </cell>
          <cell r="T350">
            <v>0</v>
          </cell>
          <cell r="U350">
            <v>14450.950875384106</v>
          </cell>
          <cell r="V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6764.5069140011228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U350">
            <v>0</v>
          </cell>
        </row>
        <row r="351">
          <cell r="B351">
            <v>38598</v>
          </cell>
          <cell r="C351">
            <v>9</v>
          </cell>
          <cell r="D351">
            <v>2</v>
          </cell>
          <cell r="E351">
            <v>337</v>
          </cell>
          <cell r="F351">
            <v>779060.91769882594</v>
          </cell>
          <cell r="G351">
            <v>7000</v>
          </cell>
          <cell r="H351">
            <v>4103.2761412527889</v>
          </cell>
          <cell r="I351">
            <v>60304.73566656372</v>
          </cell>
          <cell r="J351">
            <v>28614.925465300224</v>
          </cell>
          <cell r="K351">
            <v>29206.07691265707</v>
          </cell>
          <cell r="L351">
            <v>23442.000052474436</v>
          </cell>
          <cell r="M351">
            <v>23697.63311079091</v>
          </cell>
          <cell r="N351">
            <v>23250.275258737081</v>
          </cell>
          <cell r="O351">
            <v>30024.551304123626</v>
          </cell>
          <cell r="P351">
            <v>34222.875682117854</v>
          </cell>
          <cell r="Q351">
            <v>52580.524682469593</v>
          </cell>
          <cell r="R351">
            <v>0</v>
          </cell>
          <cell r="S351">
            <v>27755.80791156492</v>
          </cell>
          <cell r="T351">
            <v>0</v>
          </cell>
          <cell r="U351">
            <v>22626.835199590852</v>
          </cell>
          <cell r="V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7813.1247528683843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U351">
            <v>0</v>
          </cell>
        </row>
        <row r="352">
          <cell r="B352">
            <v>38599</v>
          </cell>
          <cell r="C352">
            <v>9</v>
          </cell>
          <cell r="D352">
            <v>3</v>
          </cell>
          <cell r="E352">
            <v>338</v>
          </cell>
          <cell r="F352">
            <v>809747.49629370798</v>
          </cell>
          <cell r="G352">
            <v>7000</v>
          </cell>
          <cell r="H352">
            <v>4264.9008652563807</v>
          </cell>
          <cell r="I352">
            <v>62680.090364296084</v>
          </cell>
          <cell r="J352">
            <v>29742.044204450074</v>
          </cell>
          <cell r="K352">
            <v>30356.480628550948</v>
          </cell>
          <cell r="L352">
            <v>24365.361449111173</v>
          </cell>
          <cell r="M352">
            <v>24631.063686560195</v>
          </cell>
          <cell r="N352">
            <v>24166.084771024405</v>
          </cell>
          <cell r="O352">
            <v>31207.194063423532</v>
          </cell>
          <cell r="P352">
            <v>35570.887038488036</v>
          </cell>
          <cell r="Q352">
            <v>54651.628965296033</v>
          </cell>
          <cell r="R352">
            <v>0</v>
          </cell>
          <cell r="S352">
            <v>28849.086706063445</v>
          </cell>
          <cell r="T352">
            <v>0</v>
          </cell>
          <cell r="U352">
            <v>24444.446348700709</v>
          </cell>
          <cell r="V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7852.0339946339518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U352">
            <v>0</v>
          </cell>
        </row>
        <row r="353">
          <cell r="B353">
            <v>38600</v>
          </cell>
          <cell r="C353">
            <v>9</v>
          </cell>
          <cell r="D353">
            <v>4</v>
          </cell>
          <cell r="E353">
            <v>339</v>
          </cell>
          <cell r="F353">
            <v>818510.09838003002</v>
          </cell>
          <cell r="G353">
            <v>7000</v>
          </cell>
          <cell r="H353">
            <v>4311.0530662707779</v>
          </cell>
          <cell r="I353">
            <v>63358.376735184494</v>
          </cell>
          <cell r="J353">
            <v>30063.894781068429</v>
          </cell>
          <cell r="K353">
            <v>30684.980267891176</v>
          </cell>
          <cell r="L353">
            <v>24629.028787442196</v>
          </cell>
          <cell r="M353">
            <v>24897.606295257436</v>
          </cell>
          <cell r="N353">
            <v>24427.595656580768</v>
          </cell>
          <cell r="O353">
            <v>31544.899613684629</v>
          </cell>
          <cell r="P353">
            <v>35955.813858765257</v>
          </cell>
          <cell r="Q353">
            <v>55243.036138747171</v>
          </cell>
          <cell r="R353">
            <v>0</v>
          </cell>
          <cell r="S353">
            <v>29161.274231824373</v>
          </cell>
          <cell r="T353">
            <v>0</v>
          </cell>
          <cell r="U353">
            <v>24976.355155094872</v>
          </cell>
          <cell r="V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7851.126023028176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U353">
            <v>0</v>
          </cell>
        </row>
        <row r="354">
          <cell r="B354">
            <v>38601</v>
          </cell>
          <cell r="C354">
            <v>9</v>
          </cell>
          <cell r="D354">
            <v>5</v>
          </cell>
          <cell r="E354">
            <v>340</v>
          </cell>
          <cell r="F354">
            <v>765398.36676441599</v>
          </cell>
          <cell r="G354">
            <v>7000</v>
          </cell>
          <cell r="H354">
            <v>4031.3161468490034</v>
          </cell>
          <cell r="I354">
            <v>59247.159161424403</v>
          </cell>
          <cell r="J354">
            <v>28113.099654542322</v>
          </cell>
          <cell r="K354">
            <v>28693.883957846661</v>
          </cell>
          <cell r="L354">
            <v>23030.892894554872</v>
          </cell>
          <cell r="M354">
            <v>23282.042863551342</v>
          </cell>
          <cell r="N354">
            <v>22842.53041780752</v>
          </cell>
          <cell r="O354">
            <v>29498.00459621397</v>
          </cell>
          <cell r="P354">
            <v>33622.702099402377</v>
          </cell>
          <cell r="Q354">
            <v>51658.409247961346</v>
          </cell>
          <cell r="R354">
            <v>0</v>
          </cell>
          <cell r="S354">
            <v>27269.048621370297</v>
          </cell>
          <cell r="T354">
            <v>0</v>
          </cell>
          <cell r="U354">
            <v>21840.171273448679</v>
          </cell>
          <cell r="V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7775.6760370497659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U354">
            <v>0</v>
          </cell>
        </row>
        <row r="355">
          <cell r="B355">
            <v>38602</v>
          </cell>
          <cell r="C355">
            <v>9</v>
          </cell>
          <cell r="D355">
            <v>6</v>
          </cell>
          <cell r="E355">
            <v>341</v>
          </cell>
          <cell r="F355">
            <v>686517.975874556</v>
          </cell>
          <cell r="G355">
            <v>7000</v>
          </cell>
          <cell r="H355">
            <v>3615.8569464220318</v>
          </cell>
          <cell r="I355">
            <v>53141.268063795033</v>
          </cell>
          <cell r="J355">
            <v>25215.821078876848</v>
          </cell>
          <cell r="K355">
            <v>25736.750939244492</v>
          </cell>
          <cell r="L355">
            <v>20657.376157454033</v>
          </cell>
          <cell r="M355">
            <v>20882.643124099501</v>
          </cell>
          <cell r="N355">
            <v>20488.425932469934</v>
          </cell>
          <cell r="O355">
            <v>26458.000548574782</v>
          </cell>
          <cell r="P355">
            <v>30157.61515966176</v>
          </cell>
          <cell r="Q355">
            <v>46334.599201889279</v>
          </cell>
          <cell r="R355">
            <v>0</v>
          </cell>
          <cell r="S355">
            <v>24458.756219596271</v>
          </cell>
          <cell r="T355">
            <v>0</v>
          </cell>
          <cell r="U355">
            <v>17570.527668096125</v>
          </cell>
          <cell r="V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7343.329389794565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U355">
            <v>0</v>
          </cell>
        </row>
        <row r="356">
          <cell r="B356">
            <v>38603</v>
          </cell>
          <cell r="C356">
            <v>9</v>
          </cell>
          <cell r="D356">
            <v>7</v>
          </cell>
          <cell r="E356">
            <v>342</v>
          </cell>
          <cell r="F356">
            <v>721955.74773921201</v>
          </cell>
          <cell r="G356">
            <v>7000</v>
          </cell>
          <cell r="H356">
            <v>3802.5059753848946</v>
          </cell>
          <cell r="I356">
            <v>55884.398178988704</v>
          </cell>
          <cell r="J356">
            <v>26517.451256345794</v>
          </cell>
          <cell r="K356">
            <v>27065.271299050877</v>
          </cell>
          <cell r="L356">
            <v>21723.70130743671</v>
          </cell>
          <cell r="M356">
            <v>21960.596461038906</v>
          </cell>
          <cell r="N356">
            <v>21546.029942235065</v>
          </cell>
          <cell r="O356">
            <v>27823.751512693256</v>
          </cell>
          <cell r="P356">
            <v>31714.338688493968</v>
          </cell>
          <cell r="Q356">
            <v>48726.371906551656</v>
          </cell>
          <cell r="R356">
            <v>0</v>
          </cell>
          <cell r="S356">
            <v>25721.307024473765</v>
          </cell>
          <cell r="T356">
            <v>0</v>
          </cell>
          <cell r="U356">
            <v>19431.312403322048</v>
          </cell>
          <cell r="V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7580.5756904083873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U356">
            <v>0</v>
          </cell>
        </row>
        <row r="357">
          <cell r="B357">
            <v>38604</v>
          </cell>
          <cell r="C357">
            <v>9</v>
          </cell>
          <cell r="D357">
            <v>8</v>
          </cell>
          <cell r="E357">
            <v>343</v>
          </cell>
          <cell r="F357">
            <v>929537.66793908994</v>
          </cell>
          <cell r="G357">
            <v>7000</v>
          </cell>
          <cell r="H357">
            <v>4895.8299005890076</v>
          </cell>
          <cell r="I357">
            <v>71952.683139024011</v>
          </cell>
          <cell r="J357">
            <v>34141.939970281899</v>
          </cell>
          <cell r="K357">
            <v>34847.273180164892</v>
          </cell>
          <cell r="L357">
            <v>27969.856484353772</v>
          </cell>
          <cell r="M357">
            <v>28274.86543997885</v>
          </cell>
          <cell r="N357">
            <v>27741.099767634969</v>
          </cell>
          <cell r="O357">
            <v>35823.837091699475</v>
          </cell>
          <cell r="P357">
            <v>40833.073934307002</v>
          </cell>
          <cell r="Q357">
            <v>62736.529560132745</v>
          </cell>
          <cell r="R357">
            <v>0</v>
          </cell>
          <cell r="S357">
            <v>33116.882610526925</v>
          </cell>
          <cell r="T357">
            <v>0</v>
          </cell>
          <cell r="U357">
            <v>32211.797817731669</v>
          </cell>
          <cell r="V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7318.6472598025575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U357">
            <v>0</v>
          </cell>
        </row>
        <row r="358">
          <cell r="B358">
            <v>38605</v>
          </cell>
          <cell r="C358">
            <v>9</v>
          </cell>
          <cell r="D358">
            <v>9</v>
          </cell>
          <cell r="E358">
            <v>344</v>
          </cell>
          <cell r="F358">
            <v>927573.89463342796</v>
          </cell>
          <cell r="G358">
            <v>7000</v>
          </cell>
          <cell r="H358">
            <v>4885.4868016491291</v>
          </cell>
          <cell r="I358">
            <v>71800.673421405547</v>
          </cell>
          <cell r="J358">
            <v>34069.810531497773</v>
          </cell>
          <cell r="K358">
            <v>34773.653630138433</v>
          </cell>
          <cell r="L358">
            <v>27910.766401808818</v>
          </cell>
          <cell r="M358">
            <v>28215.130985004776</v>
          </cell>
          <cell r="N358">
            <v>27682.492964411849</v>
          </cell>
          <cell r="O358">
            <v>35748.154419104787</v>
          </cell>
          <cell r="P358">
            <v>40746.808575359151</v>
          </cell>
          <cell r="Q358">
            <v>62603.99020611903</v>
          </cell>
          <cell r="R358">
            <v>0</v>
          </cell>
          <cell r="S358">
            <v>33046.91874324064</v>
          </cell>
          <cell r="T358">
            <v>0</v>
          </cell>
          <cell r="U358">
            <v>32075.838078277557</v>
          </cell>
          <cell r="V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7337.1932213413083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U358">
            <v>0</v>
          </cell>
        </row>
        <row r="359">
          <cell r="B359">
            <v>38606</v>
          </cell>
          <cell r="C359">
            <v>9</v>
          </cell>
          <cell r="D359">
            <v>10</v>
          </cell>
          <cell r="E359">
            <v>345</v>
          </cell>
          <cell r="F359">
            <v>914877.755778266</v>
          </cell>
          <cell r="G359">
            <v>7000</v>
          </cell>
          <cell r="H359">
            <v>4818.616852885305</v>
          </cell>
          <cell r="I359">
            <v>70817.903935409442</v>
          </cell>
          <cell r="J359">
            <v>33603.481058687532</v>
          </cell>
          <cell r="K359">
            <v>34297.690326789954</v>
          </cell>
          <cell r="L359">
            <v>27528.738654109649</v>
          </cell>
          <cell r="M359">
            <v>27828.937256532321</v>
          </cell>
          <cell r="N359">
            <v>27303.589702292651</v>
          </cell>
          <cell r="O359">
            <v>35258.852666493389</v>
          </cell>
          <cell r="P359">
            <v>40189.087899334838</v>
          </cell>
          <cell r="Q359">
            <v>61747.100035812764</v>
          </cell>
          <cell r="R359">
            <v>0</v>
          </cell>
          <cell r="S359">
            <v>32594.590069992191</v>
          </cell>
          <cell r="T359">
            <v>0</v>
          </cell>
          <cell r="U359">
            <v>31203.773310421329</v>
          </cell>
          <cell r="V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7448.6389881073283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U359">
            <v>0</v>
          </cell>
        </row>
        <row r="360">
          <cell r="B360">
            <v>38607</v>
          </cell>
          <cell r="C360">
            <v>9</v>
          </cell>
          <cell r="D360">
            <v>11</v>
          </cell>
          <cell r="E360">
            <v>346</v>
          </cell>
          <cell r="F360">
            <v>936810.71752309997</v>
          </cell>
          <cell r="G360">
            <v>7000</v>
          </cell>
          <cell r="H360">
            <v>4934.1367006790024</v>
          </cell>
          <cell r="I360">
            <v>72515.667782059463</v>
          </cell>
          <cell r="J360">
            <v>34409.079249154493</v>
          </cell>
          <cell r="K360">
            <v>35119.931249276611</v>
          </cell>
          <cell r="L360">
            <v>28188.703078832696</v>
          </cell>
          <cell r="M360">
            <v>28496.098538344966</v>
          </cell>
          <cell r="N360">
            <v>27958.156484198498</v>
          </cell>
          <cell r="O360">
            <v>36104.1361612736</v>
          </cell>
          <cell r="P360">
            <v>41152.567142204869</v>
          </cell>
          <cell r="Q360">
            <v>63227.403578429607</v>
          </cell>
          <cell r="R360">
            <v>0</v>
          </cell>
          <cell r="S360">
            <v>33376.001458102219</v>
          </cell>
          <cell r="T360">
            <v>0</v>
          </cell>
          <cell r="U360">
            <v>32717.844103082618</v>
          </cell>
          <cell r="V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7246.8646241444567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U360">
            <v>0</v>
          </cell>
        </row>
        <row r="361">
          <cell r="B361">
            <v>38608</v>
          </cell>
          <cell r="C361">
            <v>9</v>
          </cell>
          <cell r="D361">
            <v>12</v>
          </cell>
          <cell r="E361">
            <v>347</v>
          </cell>
          <cell r="F361">
            <v>961878.52836797398</v>
          </cell>
          <cell r="G361">
            <v>7000</v>
          </cell>
          <cell r="H361">
            <v>5066.167646932905</v>
          </cell>
          <cell r="I361">
            <v>74456.090761054234</v>
          </cell>
          <cell r="J361">
            <v>35329.820519327695</v>
          </cell>
          <cell r="K361">
            <v>36059.693975059199</v>
          </cell>
          <cell r="L361">
            <v>28942.995342493821</v>
          </cell>
          <cell r="M361">
            <v>29258.61629632366</v>
          </cell>
          <cell r="N361">
            <v>28706.279627121443</v>
          </cell>
          <cell r="O361">
            <v>37070.234903612196</v>
          </cell>
          <cell r="P361">
            <v>42253.755193969802</v>
          </cell>
          <cell r="Q361">
            <v>64919.284940875172</v>
          </cell>
          <cell r="R361">
            <v>0</v>
          </cell>
          <cell r="S361">
            <v>34269.098938372365</v>
          </cell>
          <cell r="T361">
            <v>0</v>
          </cell>
          <cell r="U361">
            <v>34492.243074398531</v>
          </cell>
          <cell r="V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6961.2821796162116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U361">
            <v>0</v>
          </cell>
        </row>
        <row r="362">
          <cell r="B362">
            <v>38609</v>
          </cell>
          <cell r="C362">
            <v>9</v>
          </cell>
          <cell r="D362">
            <v>13</v>
          </cell>
          <cell r="E362">
            <v>348</v>
          </cell>
          <cell r="F362">
            <v>781515.88392079994</v>
          </cell>
          <cell r="G362">
            <v>7000</v>
          </cell>
          <cell r="H362">
            <v>4116.2063295055395</v>
          </cell>
          <cell r="I362">
            <v>60494.767133581445</v>
          </cell>
          <cell r="J362">
            <v>28705.096431223035</v>
          </cell>
          <cell r="K362">
            <v>29298.110707021617</v>
          </cell>
          <cell r="L362">
            <v>23515.870165833894</v>
          </cell>
          <cell r="M362">
            <v>23772.308771584634</v>
          </cell>
          <cell r="N362">
            <v>23323.541211520846</v>
          </cell>
          <cell r="O362">
            <v>30119.164263915358</v>
          </cell>
          <cell r="P362">
            <v>34330.71834487981</v>
          </cell>
          <cell r="Q362">
            <v>52746.21572035455</v>
          </cell>
          <cell r="R362">
            <v>0</v>
          </cell>
          <cell r="S362">
            <v>27843.271637877569</v>
          </cell>
          <cell r="T362">
            <v>0</v>
          </cell>
          <cell r="U362">
            <v>22769.662637335856</v>
          </cell>
          <cell r="V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7818.5722226195348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U362">
            <v>0</v>
          </cell>
        </row>
        <row r="363">
          <cell r="B363">
            <v>38610</v>
          </cell>
          <cell r="C363">
            <v>9</v>
          </cell>
          <cell r="D363">
            <v>14</v>
          </cell>
          <cell r="E363">
            <v>349</v>
          </cell>
          <cell r="F363">
            <v>748168.67702922795</v>
          </cell>
          <cell r="G363">
            <v>7000</v>
          </cell>
          <cell r="H363">
            <v>3940.5682050572213</v>
          </cell>
          <cell r="I363">
            <v>57913.461293269887</v>
          </cell>
          <cell r="J363">
            <v>27480.252753405315</v>
          </cell>
          <cell r="K363">
            <v>28047.963167629772</v>
          </cell>
          <cell r="L363">
            <v>22512.450268951954</v>
          </cell>
          <cell r="M363">
            <v>22757.94666429226</v>
          </cell>
          <cell r="N363">
            <v>22328.327972446728</v>
          </cell>
          <cell r="O363">
            <v>28833.982448964794</v>
          </cell>
          <cell r="P363">
            <v>32865.829926183244</v>
          </cell>
          <cell r="Q363">
            <v>50495.539816558849</v>
          </cell>
          <cell r="R363">
            <v>0</v>
          </cell>
          <cell r="S363">
            <v>26655.201940319588</v>
          </cell>
          <cell r="T363">
            <v>0</v>
          </cell>
          <cell r="U363">
            <v>20867.961243309979</v>
          </cell>
          <cell r="V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7711.7301882026131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U363">
            <v>0</v>
          </cell>
        </row>
        <row r="364">
          <cell r="B364">
            <v>38611</v>
          </cell>
          <cell r="C364">
            <v>9</v>
          </cell>
          <cell r="D364">
            <v>15</v>
          </cell>
          <cell r="E364">
            <v>350</v>
          </cell>
          <cell r="F364">
            <v>1042746.65319356</v>
          </cell>
          <cell r="G364">
            <v>7000</v>
          </cell>
          <cell r="H364">
            <v>5492.0961457784324</v>
          </cell>
          <cell r="I364">
            <v>80715.84629578497</v>
          </cell>
          <cell r="J364">
            <v>38300.108608271861</v>
          </cell>
          <cell r="K364">
            <v>39091.344799509192</v>
          </cell>
          <cell r="L364">
            <v>31376.323139252516</v>
          </cell>
          <cell r="M364">
            <v>31718.479330057849</v>
          </cell>
          <cell r="N364">
            <v>31119.705996148521</v>
          </cell>
          <cell r="O364">
            <v>40186.845052489822</v>
          </cell>
          <cell r="P364">
            <v>45806.160044063836</v>
          </cell>
          <cell r="Q364">
            <v>70377.25149627174</v>
          </cell>
          <cell r="R364">
            <v>0</v>
          </cell>
          <cell r="S364">
            <v>37150.208859092498</v>
          </cell>
          <cell r="T364">
            <v>0</v>
          </cell>
          <cell r="U364">
            <v>40535.784896346173</v>
          </cell>
          <cell r="V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5608.2667265980963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U364">
            <v>0</v>
          </cell>
        </row>
        <row r="365">
          <cell r="B365">
            <v>38612</v>
          </cell>
          <cell r="C365">
            <v>9</v>
          </cell>
          <cell r="D365">
            <v>16</v>
          </cell>
          <cell r="E365">
            <v>351</v>
          </cell>
          <cell r="F365">
            <v>1102062.191276578</v>
          </cell>
          <cell r="G365">
            <v>7000</v>
          </cell>
          <cell r="H365">
            <v>5804.5082135542534</v>
          </cell>
          <cell r="I365">
            <v>85307.281655656567</v>
          </cell>
          <cell r="J365">
            <v>40478.769689350367</v>
          </cell>
          <cell r="K365">
            <v>41315.014512636786</v>
          </cell>
          <cell r="L365">
            <v>33161.132022955499</v>
          </cell>
          <cell r="M365">
            <v>33522.751405998271</v>
          </cell>
          <cell r="N365">
            <v>32889.917485673417</v>
          </cell>
          <cell r="O365">
            <v>42472.831136306901</v>
          </cell>
          <cell r="P365">
            <v>48411.794904851195</v>
          </cell>
          <cell r="Q365">
            <v>74380.586849610307</v>
          </cell>
          <cell r="R365">
            <v>0</v>
          </cell>
          <cell r="S365">
            <v>39263.459111802287</v>
          </cell>
          <cell r="T365">
            <v>0</v>
          </cell>
          <cell r="U365">
            <v>45278.620199061472</v>
          </cell>
          <cell r="V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4156.6008704419683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U365">
            <v>0</v>
          </cell>
        </row>
        <row r="366">
          <cell r="B366">
            <v>38613</v>
          </cell>
          <cell r="C366">
            <v>9</v>
          </cell>
          <cell r="D366">
            <v>17</v>
          </cell>
          <cell r="E366">
            <v>352</v>
          </cell>
          <cell r="F366">
            <v>1129331.3850085819</v>
          </cell>
          <cell r="G366">
            <v>7000</v>
          </cell>
          <cell r="H366">
            <v>5948.1337369115781</v>
          </cell>
          <cell r="I366">
            <v>87418.106987141786</v>
          </cell>
          <cell r="J366">
            <v>41480.367803712172</v>
          </cell>
          <cell r="K366">
            <v>42337.304492007745</v>
          </cell>
          <cell r="L366">
            <v>33981.664058864524</v>
          </cell>
          <cell r="M366">
            <v>34352.231275424761</v>
          </cell>
          <cell r="N366">
            <v>33703.738646444341</v>
          </cell>
          <cell r="O366">
            <v>43523.769885290778</v>
          </cell>
          <cell r="P366">
            <v>49609.6861170025</v>
          </cell>
          <cell r="Q366">
            <v>76221.044356234939</v>
          </cell>
          <cell r="R366">
            <v>0</v>
          </cell>
          <cell r="S366">
            <v>40234.985838318622</v>
          </cell>
          <cell r="T366">
            <v>0</v>
          </cell>
          <cell r="U366">
            <v>47547.071463762593</v>
          </cell>
          <cell r="V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3347.2511281033567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U366">
            <v>0</v>
          </cell>
        </row>
        <row r="367">
          <cell r="B367">
            <v>38614</v>
          </cell>
          <cell r="C367">
            <v>9</v>
          </cell>
          <cell r="D367">
            <v>18</v>
          </cell>
          <cell r="E367">
            <v>353</v>
          </cell>
          <cell r="F367">
            <v>984652.10888422001</v>
          </cell>
          <cell r="G367">
            <v>7000</v>
          </cell>
          <cell r="H367">
            <v>5186.1149931035125</v>
          </cell>
          <cell r="I367">
            <v>76218.924349562323</v>
          </cell>
          <cell r="J367">
            <v>36166.294656645819</v>
          </cell>
          <cell r="K367">
            <v>36913.448705945601</v>
          </cell>
          <cell r="L367">
            <v>29628.254047594532</v>
          </cell>
          <cell r="M367">
            <v>29951.347690534974</v>
          </cell>
          <cell r="N367">
            <v>29385.933815389202</v>
          </cell>
          <cell r="O367">
            <v>37947.915353310935</v>
          </cell>
          <cell r="P367">
            <v>43254.161448651786</v>
          </cell>
          <cell r="Q367">
            <v>66456.32368231233</v>
          </cell>
          <cell r="R367">
            <v>0</v>
          </cell>
          <cell r="S367">
            <v>35080.459272214503</v>
          </cell>
          <cell r="T367">
            <v>0</v>
          </cell>
          <cell r="U367">
            <v>36144.865105077253</v>
          </cell>
          <cell r="V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6648.781133464855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U367">
            <v>0</v>
          </cell>
        </row>
        <row r="368">
          <cell r="B368">
            <v>38615</v>
          </cell>
          <cell r="C368">
            <v>9</v>
          </cell>
          <cell r="D368">
            <v>19</v>
          </cell>
          <cell r="E368">
            <v>354</v>
          </cell>
          <cell r="F368">
            <v>967005.10484208399</v>
          </cell>
          <cell r="G368">
            <v>7000</v>
          </cell>
          <cell r="H368">
            <v>5093.1690770581108</v>
          </cell>
          <cell r="I368">
            <v>74852.923450414135</v>
          </cell>
          <cell r="J368">
            <v>35518.119791395045</v>
          </cell>
          <cell r="K368">
            <v>36251.883293506507</v>
          </cell>
          <cell r="L368">
            <v>29097.254403941894</v>
          </cell>
          <cell r="M368">
            <v>29414.557539990092</v>
          </cell>
          <cell r="N368">
            <v>28859.277051905749</v>
          </cell>
          <cell r="O368">
            <v>37267.810157182976</v>
          </cell>
          <cell r="P368">
            <v>42478.957338452368</v>
          </cell>
          <cell r="Q368">
            <v>65265.288795913519</v>
          </cell>
          <cell r="R368">
            <v>0</v>
          </cell>
          <cell r="S368">
            <v>34451.744824755224</v>
          </cell>
          <cell r="T368">
            <v>0</v>
          </cell>
          <cell r="U368">
            <v>34860.893250559697</v>
          </cell>
          <cell r="V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6895.4202533733305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U368">
            <v>0</v>
          </cell>
        </row>
        <row r="369">
          <cell r="B369">
            <v>38616</v>
          </cell>
          <cell r="C369">
            <v>9</v>
          </cell>
          <cell r="D369">
            <v>20</v>
          </cell>
          <cell r="E369">
            <v>355</v>
          </cell>
          <cell r="F369">
            <v>880965.47736101795</v>
          </cell>
          <cell r="G369">
            <v>7000</v>
          </cell>
          <cell r="H369">
            <v>4640.0025240648592</v>
          </cell>
          <cell r="I369">
            <v>68192.857627293051</v>
          </cell>
          <cell r="J369">
            <v>32357.882290706195</v>
          </cell>
          <cell r="K369">
            <v>33026.358920944127</v>
          </cell>
          <cell r="L369">
            <v>26508.315713648422</v>
          </cell>
          <cell r="M369">
            <v>26797.386688886443</v>
          </cell>
          <cell r="N369">
            <v>26291.512482219907</v>
          </cell>
          <cell r="O369">
            <v>33951.893326027523</v>
          </cell>
          <cell r="P369">
            <v>38699.376809990325</v>
          </cell>
          <cell r="Q369">
            <v>59458.286219270849</v>
          </cell>
          <cell r="R369">
            <v>0</v>
          </cell>
          <cell r="S369">
            <v>31386.388420790063</v>
          </cell>
          <cell r="T369">
            <v>0</v>
          </cell>
          <cell r="U369">
            <v>28933.352446052613</v>
          </cell>
          <cell r="V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7676.7454623239473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U369">
            <v>0</v>
          </cell>
        </row>
        <row r="370">
          <cell r="B370">
            <v>38617</v>
          </cell>
          <cell r="C370">
            <v>9</v>
          </cell>
          <cell r="D370">
            <v>21</v>
          </cell>
          <cell r="E370">
            <v>356</v>
          </cell>
          <cell r="F370">
            <v>838153.82159416599</v>
          </cell>
          <cell r="G370">
            <v>7000</v>
          </cell>
          <cell r="H370">
            <v>4414.5156055392372</v>
          </cell>
          <cell r="I370">
            <v>64878.937591240116</v>
          </cell>
          <cell r="J370">
            <v>30785.409187533347</v>
          </cell>
          <cell r="K370">
            <v>31421.400332111094</v>
          </cell>
          <cell r="L370">
            <v>25220.109857170024</v>
          </cell>
          <cell r="M370">
            <v>25495.133054825263</v>
          </cell>
          <cell r="N370">
            <v>25013.842458928597</v>
          </cell>
          <cell r="O370">
            <v>32301.957196792438</v>
          </cell>
          <cell r="P370">
            <v>36818.73058609516</v>
          </cell>
          <cell r="Q370">
            <v>56568.833967712031</v>
          </cell>
          <cell r="R370">
            <v>0</v>
          </cell>
          <cell r="S370">
            <v>29861.126317602186</v>
          </cell>
          <cell r="T370">
            <v>0</v>
          </cell>
          <cell r="U370">
            <v>26189.574139797642</v>
          </cell>
          <cell r="V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7828.724928923024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U370">
            <v>0</v>
          </cell>
        </row>
        <row r="371">
          <cell r="B371">
            <v>38618</v>
          </cell>
          <cell r="C371">
            <v>9</v>
          </cell>
          <cell r="D371">
            <v>22</v>
          </cell>
          <cell r="E371">
            <v>357</v>
          </cell>
          <cell r="F371">
            <v>902636.86889431998</v>
          </cell>
          <cell r="G371">
            <v>7000</v>
          </cell>
          <cell r="H371">
            <v>4754.1446942163375</v>
          </cell>
          <cell r="I371">
            <v>69870.374119588218</v>
          </cell>
          <cell r="J371">
            <v>33153.873001274107</v>
          </cell>
          <cell r="K371">
            <v>33838.793884047504</v>
          </cell>
          <cell r="L371">
            <v>27160.409471555624</v>
          </cell>
          <cell r="M371">
            <v>27456.591474917092</v>
          </cell>
          <cell r="N371">
            <v>26938.272969034526</v>
          </cell>
          <cell r="O371">
            <v>34787.096058113377</v>
          </cell>
          <cell r="P371">
            <v>39651.365700016271</v>
          </cell>
          <cell r="Q371">
            <v>60920.935816411547</v>
          </cell>
          <cell r="R371">
            <v>0</v>
          </cell>
          <cell r="S371">
            <v>32158.480778280365</v>
          </cell>
          <cell r="T371">
            <v>0</v>
          </cell>
          <cell r="U371">
            <v>30374.358518642013</v>
          </cell>
          <cell r="V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7542.4588179528473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U371">
            <v>0</v>
          </cell>
        </row>
        <row r="372">
          <cell r="B372">
            <v>38619</v>
          </cell>
          <cell r="C372">
            <v>9</v>
          </cell>
          <cell r="D372">
            <v>23</v>
          </cell>
          <cell r="E372">
            <v>358</v>
          </cell>
          <cell r="F372">
            <v>903744.04967519396</v>
          </cell>
          <cell r="G372">
            <v>7000</v>
          </cell>
          <cell r="H372">
            <v>4759.9761617935237</v>
          </cell>
          <cell r="I372">
            <v>69956.077615693401</v>
          </cell>
          <cell r="J372">
            <v>33194.539776877362</v>
          </cell>
          <cell r="K372">
            <v>33880.300788459979</v>
          </cell>
          <cell r="L372">
            <v>27193.724622314323</v>
          </cell>
          <cell r="M372">
            <v>27490.269924620319</v>
          </cell>
          <cell r="N372">
            <v>26971.315645584826</v>
          </cell>
          <cell r="O372">
            <v>34829.766156693709</v>
          </cell>
          <cell r="P372">
            <v>39700.002346215137</v>
          </cell>
          <cell r="Q372">
            <v>60995.661868064431</v>
          </cell>
          <cell r="R372">
            <v>0</v>
          </cell>
          <cell r="S372">
            <v>32197.926598727994</v>
          </cell>
          <cell r="T372">
            <v>0</v>
          </cell>
          <cell r="U372">
            <v>30448.919025714935</v>
          </cell>
          <cell r="V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7534.5146901907774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U372">
            <v>0</v>
          </cell>
        </row>
        <row r="373">
          <cell r="B373">
            <v>38620</v>
          </cell>
          <cell r="C373">
            <v>9</v>
          </cell>
          <cell r="D373">
            <v>24</v>
          </cell>
          <cell r="E373">
            <v>359</v>
          </cell>
          <cell r="F373">
            <v>905948.42764108197</v>
          </cell>
          <cell r="G373">
            <v>7000</v>
          </cell>
          <cell r="H373">
            <v>4771.5865138317813</v>
          </cell>
          <cell r="I373">
            <v>70126.711808119246</v>
          </cell>
          <cell r="J373">
            <v>33275.506630377793</v>
          </cell>
          <cell r="K373">
            <v>33962.940324026022</v>
          </cell>
          <cell r="L373">
            <v>27260.054516701348</v>
          </cell>
          <cell r="M373">
            <v>27557.323140981662</v>
          </cell>
          <cell r="N373">
            <v>27037.103048491113</v>
          </cell>
          <cell r="O373">
            <v>34914.721591919471</v>
          </cell>
          <cell r="P373">
            <v>39796.837075527204</v>
          </cell>
          <cell r="Q373">
            <v>61144.440156657351</v>
          </cell>
          <cell r="R373">
            <v>0</v>
          </cell>
          <cell r="S373">
            <v>32276.462551431669</v>
          </cell>
          <cell r="T373">
            <v>0</v>
          </cell>
          <cell r="U373">
            <v>30597.639862348304</v>
          </cell>
          <cell r="V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7518.3791160414539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U373">
            <v>0</v>
          </cell>
        </row>
        <row r="374">
          <cell r="B374">
            <v>38621</v>
          </cell>
          <cell r="C374">
            <v>9</v>
          </cell>
          <cell r="D374">
            <v>25</v>
          </cell>
          <cell r="E374">
            <v>360</v>
          </cell>
          <cell r="F374">
            <v>901371.94729885797</v>
          </cell>
          <cell r="G374">
            <v>7000</v>
          </cell>
          <cell r="H374">
            <v>4747.4824134045293</v>
          </cell>
          <cell r="I374">
            <v>69772.460386887338</v>
          </cell>
          <cell r="J374">
            <v>33107.412401914939</v>
          </cell>
          <cell r="K374">
            <v>33791.373462144344</v>
          </cell>
          <cell r="L374">
            <v>27122.347888136985</v>
          </cell>
          <cell r="M374">
            <v>27418.114833101052</v>
          </cell>
          <cell r="N374">
            <v>26900.522679413938</v>
          </cell>
          <cell r="O374">
            <v>34738.346720961643</v>
          </cell>
          <cell r="P374">
            <v>39595.799757064095</v>
          </cell>
          <cell r="Q374">
            <v>60835.563492295951</v>
          </cell>
          <cell r="R374">
            <v>0</v>
          </cell>
          <cell r="S374">
            <v>32113.415084405569</v>
          </cell>
          <cell r="T374">
            <v>0</v>
          </cell>
          <cell r="U374">
            <v>30289.287185181365</v>
          </cell>
          <cell r="V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7551.4040525962791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U374">
            <v>0</v>
          </cell>
        </row>
        <row r="375">
          <cell r="B375">
            <v>38622</v>
          </cell>
          <cell r="C375">
            <v>9</v>
          </cell>
          <cell r="D375">
            <v>26</v>
          </cell>
          <cell r="E375">
            <v>361</v>
          </cell>
          <cell r="F375">
            <v>791631.26324615197</v>
          </cell>
          <cell r="G375">
            <v>7000</v>
          </cell>
          <cell r="H375">
            <v>4169.4835427535609</v>
          </cell>
          <cell r="I375">
            <v>61277.767875274665</v>
          </cell>
          <cell r="J375">
            <v>29076.634547013982</v>
          </cell>
          <cell r="K375">
            <v>29677.324372943367</v>
          </cell>
          <cell r="L375">
            <v>23820.24267033087</v>
          </cell>
          <cell r="M375">
            <v>24080.000432894925</v>
          </cell>
          <cell r="N375">
            <v>23625.424348407829</v>
          </cell>
          <cell r="O375">
            <v>30509.005056355309</v>
          </cell>
          <cell r="P375">
            <v>34775.070463262957</v>
          </cell>
          <cell r="Q375">
            <v>53428.924787394208</v>
          </cell>
          <cell r="R375">
            <v>0</v>
          </cell>
          <cell r="S375">
            <v>28203.654913599308</v>
          </cell>
          <cell r="T375">
            <v>0</v>
          </cell>
          <cell r="U375">
            <v>23362.905467253418</v>
          </cell>
          <cell r="V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7836.8019650960641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U375">
            <v>0</v>
          </cell>
        </row>
        <row r="376">
          <cell r="B376">
            <v>38623</v>
          </cell>
          <cell r="C376">
            <v>9</v>
          </cell>
          <cell r="D376">
            <v>27</v>
          </cell>
          <cell r="E376">
            <v>362</v>
          </cell>
          <cell r="F376">
            <v>688536.65895744797</v>
          </cell>
          <cell r="G376">
            <v>7000</v>
          </cell>
          <cell r="H376">
            <v>3626.4892525005448</v>
          </cell>
          <cell r="I376">
            <v>53297.528180228474</v>
          </cell>
          <cell r="J376">
            <v>25289.967355044362</v>
          </cell>
          <cell r="K376">
            <v>25812.42899219492</v>
          </cell>
          <cell r="L376">
            <v>20718.11847921606</v>
          </cell>
          <cell r="M376">
            <v>20944.047835821704</v>
          </cell>
          <cell r="N376">
            <v>20548.671461761827</v>
          </cell>
          <cell r="O376">
            <v>26535.799411811418</v>
          </cell>
          <cell r="P376">
            <v>30246.292615580696</v>
          </cell>
          <cell r="Q376">
            <v>46470.844536823563</v>
          </cell>
          <cell r="R376">
            <v>0</v>
          </cell>
          <cell r="S376">
            <v>24530.676371936315</v>
          </cell>
          <cell r="T376">
            <v>0</v>
          </cell>
          <cell r="U376">
            <v>17674.010683523327</v>
          </cell>
          <cell r="V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7358.5769621629779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U376">
            <v>0</v>
          </cell>
        </row>
        <row r="377">
          <cell r="B377">
            <v>38624</v>
          </cell>
          <cell r="C377">
            <v>9</v>
          </cell>
          <cell r="D377">
            <v>28</v>
          </cell>
          <cell r="E377">
            <v>363</v>
          </cell>
          <cell r="F377">
            <v>683121.55656298401</v>
          </cell>
          <cell r="G377">
            <v>7000</v>
          </cell>
          <cell r="H377">
            <v>3597.9681703196075</v>
          </cell>
          <cell r="I377">
            <v>52878.361577095435</v>
          </cell>
          <cell r="J377">
            <v>25091.070519271558</v>
          </cell>
          <cell r="K377">
            <v>25609.42317656528</v>
          </cell>
          <cell r="L377">
            <v>20555.177651700113</v>
          </cell>
          <cell r="M377">
            <v>20779.330152151451</v>
          </cell>
          <cell r="N377">
            <v>20387.063276361612</v>
          </cell>
          <cell r="O377">
            <v>26327.104538322052</v>
          </cell>
          <cell r="P377">
            <v>30008.41599792277</v>
          </cell>
          <cell r="Q377">
            <v>46105.36743658442</v>
          </cell>
          <cell r="R377">
            <v>0</v>
          </cell>
          <cell r="S377">
            <v>24337.751096816432</v>
          </cell>
          <cell r="T377">
            <v>0</v>
          </cell>
          <cell r="U377">
            <v>17397.103922535662</v>
          </cell>
          <cell r="V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7317.2238921014841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U377">
            <v>0</v>
          </cell>
        </row>
        <row r="378">
          <cell r="B378">
            <v>38625</v>
          </cell>
          <cell r="C378">
            <v>9</v>
          </cell>
          <cell r="D378">
            <v>29</v>
          </cell>
          <cell r="E378">
            <v>364</v>
          </cell>
          <cell r="F378">
            <v>928025.15316629992</v>
          </cell>
          <cell r="G378">
            <v>7000</v>
          </cell>
          <cell r="H378">
            <v>4887.86355849754</v>
          </cell>
          <cell r="I378">
            <v>71835.603971666613</v>
          </cell>
          <cell r="J378">
            <v>34086.385267812177</v>
          </cell>
          <cell r="K378">
            <v>34790.570781440911</v>
          </cell>
          <cell r="L378">
            <v>27924.344804101809</v>
          </cell>
          <cell r="M378">
            <v>28228.857458643961</v>
          </cell>
          <cell r="N378">
            <v>27695.960313195195</v>
          </cell>
          <cell r="O378">
            <v>35765.545658562238</v>
          </cell>
          <cell r="P378">
            <v>40766.631626830647</v>
          </cell>
          <cell r="Q378">
            <v>62634.446631138955</v>
          </cell>
          <cell r="R378">
            <v>0</v>
          </cell>
          <cell r="S378">
            <v>33062.995849500629</v>
          </cell>
          <cell r="T378">
            <v>0</v>
          </cell>
          <cell r="U378">
            <v>32107.055033796754</v>
          </cell>
          <cell r="V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7332.9627915309711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U378">
            <v>0</v>
          </cell>
        </row>
        <row r="379">
          <cell r="B379">
            <v>38626</v>
          </cell>
          <cell r="C379">
            <v>9</v>
          </cell>
          <cell r="D379">
            <v>30</v>
          </cell>
          <cell r="E379">
            <v>365</v>
          </cell>
          <cell r="F379">
            <v>963671.58218442998</v>
          </cell>
          <cell r="G379">
            <v>7000</v>
          </cell>
          <cell r="H379">
            <v>5075.611574587213</v>
          </cell>
          <cell r="I379">
            <v>0</v>
          </cell>
          <cell r="J379">
            <v>0</v>
          </cell>
          <cell r="K379">
            <v>36126.9134523584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U379">
            <v>0</v>
          </cell>
        </row>
        <row r="381">
          <cell r="F381">
            <v>613878162.03401196</v>
          </cell>
          <cell r="G381">
            <v>119475085</v>
          </cell>
          <cell r="H381">
            <v>2088875.671467924</v>
          </cell>
          <cell r="I381">
            <v>29328303.921937291</v>
          </cell>
          <cell r="J381">
            <v>14530975.081102453</v>
          </cell>
          <cell r="K381">
            <v>14868086.236877995</v>
          </cell>
          <cell r="L381">
            <v>11970146.372435413</v>
          </cell>
          <cell r="M381">
            <v>12036416.585331926</v>
          </cell>
          <cell r="N381">
            <v>11809231.212763032</v>
          </cell>
          <cell r="O381">
            <v>13791210.062853735</v>
          </cell>
          <cell r="P381">
            <v>15719631.001519537</v>
          </cell>
          <cell r="Q381">
            <v>24148018.822667949</v>
          </cell>
          <cell r="R381">
            <v>0</v>
          </cell>
          <cell r="S381">
            <v>12734898.500463026</v>
          </cell>
          <cell r="T381">
            <v>0</v>
          </cell>
          <cell r="U381">
            <v>14908884.992666835</v>
          </cell>
          <cell r="V381">
            <v>0</v>
          </cell>
          <cell r="Y381">
            <v>4198125</v>
          </cell>
          <cell r="Z381">
            <v>8123624.9999999991</v>
          </cell>
          <cell r="AA381">
            <v>8984999.9999999981</v>
          </cell>
          <cell r="AB381">
            <v>7660941.5129314559</v>
          </cell>
          <cell r="AC381">
            <v>9038627.3570477907</v>
          </cell>
          <cell r="AD381">
            <v>13049312.904406641</v>
          </cell>
          <cell r="AE381">
            <v>8550271.2819112837</v>
          </cell>
          <cell r="AF381">
            <v>8429414.5520493686</v>
          </cell>
          <cell r="AG381">
            <v>4228000</v>
          </cell>
          <cell r="AH381">
            <v>6587230.651637827</v>
          </cell>
          <cell r="AI381">
            <v>2089480.0876147915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U381">
            <v>9151757.5860513151</v>
          </cell>
        </row>
        <row r="382">
          <cell r="H382">
            <v>2088875.6714679243</v>
          </cell>
          <cell r="I382">
            <v>29328303.921937265</v>
          </cell>
          <cell r="J382">
            <v>14530975.081102464</v>
          </cell>
          <cell r="K382">
            <v>14868086.236877991</v>
          </cell>
          <cell r="L382">
            <v>11970146.372435393</v>
          </cell>
          <cell r="M382">
            <v>12036416.585331896</v>
          </cell>
          <cell r="N382">
            <v>11809231.212763013</v>
          </cell>
          <cell r="O382">
            <v>13791210.062853716</v>
          </cell>
          <cell r="P382">
            <v>15719631.001519533</v>
          </cell>
          <cell r="Q382">
            <v>24148018.822667956</v>
          </cell>
          <cell r="R382">
            <v>0</v>
          </cell>
          <cell r="S382">
            <v>12734898.500463013</v>
          </cell>
          <cell r="T382">
            <v>0</v>
          </cell>
          <cell r="U382">
            <v>14908884.992666841</v>
          </cell>
          <cell r="V382">
            <v>0</v>
          </cell>
          <cell r="Y382">
            <v>4198125</v>
          </cell>
          <cell r="Z382">
            <v>8123624.9999999981</v>
          </cell>
          <cell r="AA382">
            <v>8984999.9999999981</v>
          </cell>
          <cell r="AB382">
            <v>7660941.5129314475</v>
          </cell>
          <cell r="AC382">
            <v>9038627.3570477907</v>
          </cell>
          <cell r="AD382">
            <v>13049312.904406641</v>
          </cell>
          <cell r="AE382">
            <v>8550271.2819112837</v>
          </cell>
          <cell r="AF382">
            <v>8429414.5520493705</v>
          </cell>
          <cell r="AG382">
            <v>4228000</v>
          </cell>
          <cell r="AH382">
            <v>6587230.6516378233</v>
          </cell>
          <cell r="AI382">
            <v>2089480.0876147919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U382">
            <v>9151757.5860513151</v>
          </cell>
        </row>
        <row r="383">
          <cell r="C383">
            <v>10</v>
          </cell>
          <cell r="D383">
            <v>1</v>
          </cell>
          <cell r="H383" t="str">
            <v>Mist Production</v>
          </cell>
          <cell r="I383" t="str">
            <v>DukeBCS2BS</v>
          </cell>
          <cell r="J383" t="str">
            <v>Duke1ABSTBS</v>
          </cell>
          <cell r="K383" t="str">
            <v>CoralABSTBS</v>
          </cell>
          <cell r="L383" t="str">
            <v>CoralBCS2BS</v>
          </cell>
          <cell r="M383" t="str">
            <v>SempraBCS2BS</v>
          </cell>
          <cell r="N383" t="str">
            <v>BPCanadaBCS2BS</v>
          </cell>
          <cell r="O383" t="str">
            <v>SempraABTCBS</v>
          </cell>
          <cell r="P383" t="str">
            <v>HuskeyABSTBS</v>
          </cell>
          <cell r="Q383" t="str">
            <v>BurlingtonABSTBS</v>
          </cell>
          <cell r="R383" t="str">
            <v>Unused "R"</v>
          </cell>
          <cell r="S383" t="str">
            <v>BPCanadaABTCBS</v>
          </cell>
          <cell r="T383" t="str">
            <v>Unused "T"</v>
          </cell>
          <cell r="U383" t="str">
            <v>BPCanadaABSTBS</v>
          </cell>
          <cell r="V383" t="str">
            <v>Unused "V"</v>
          </cell>
          <cell r="Y383" t="str">
            <v>Duke2ABSTBS</v>
          </cell>
          <cell r="Z383" t="str">
            <v>Duke3ABSTBS</v>
          </cell>
          <cell r="AA383" t="str">
            <v>SempraABSTBS</v>
          </cell>
          <cell r="AB383" t="str">
            <v>CanadianresABTCBS</v>
          </cell>
          <cell r="AC383" t="str">
            <v>NationalFuelRKBS</v>
          </cell>
          <cell r="AD383" t="str">
            <v>OneokRKBS</v>
          </cell>
          <cell r="AE383" t="str">
            <v>EnsercoRKBS</v>
          </cell>
          <cell r="AF383" t="str">
            <v>WesternGasRKBS</v>
          </cell>
          <cell r="AG383" t="str">
            <v>ConocoPhRKBS</v>
          </cell>
          <cell r="AH383" t="str">
            <v>SempraRKBS</v>
          </cell>
          <cell r="AI383" t="str">
            <v>NationalFuelRKBS</v>
          </cell>
          <cell r="AJ383" t="str">
            <v>Unused "AJ"</v>
          </cell>
          <cell r="AK383" t="str">
            <v>Unused "AK"</v>
          </cell>
          <cell r="AL383" t="str">
            <v>Unused "AL"</v>
          </cell>
          <cell r="AM383" t="str">
            <v>Unused "AM"</v>
          </cell>
          <cell r="AN383" t="str">
            <v>Unused "AN"</v>
          </cell>
          <cell r="AO383" t="str">
            <v>Unused "AO"</v>
          </cell>
          <cell r="AP383" t="str">
            <v>Unused "AP"</v>
          </cell>
          <cell r="AQ383" t="str">
            <v>Unused "AQ"</v>
          </cell>
          <cell r="AR383" t="str">
            <v>Unused "AR"</v>
          </cell>
          <cell r="AU383" t="str">
            <v>SEMPRAABSTSW</v>
          </cell>
        </row>
        <row r="384">
          <cell r="C384">
            <v>10</v>
          </cell>
          <cell r="D384">
            <v>2</v>
          </cell>
          <cell r="F384">
            <v>733353247.03401196</v>
          </cell>
          <cell r="H384" t="str">
            <v>Mist Production</v>
          </cell>
          <cell r="I384" t="str">
            <v>DukeBCS2BS</v>
          </cell>
          <cell r="J384" t="str">
            <v>Duke1ABSTBS</v>
          </cell>
          <cell r="K384" t="str">
            <v>CoralABSTBS</v>
          </cell>
          <cell r="L384" t="str">
            <v>CoralBCS2BS</v>
          </cell>
          <cell r="M384" t="str">
            <v>SempraBCS2BS</v>
          </cell>
          <cell r="N384" t="str">
            <v>BPCanadaBCS2BS</v>
          </cell>
          <cell r="O384" t="str">
            <v>SempraABTCBS</v>
          </cell>
          <cell r="P384" t="str">
            <v>HuskeyABSTBS</v>
          </cell>
          <cell r="Q384" t="str">
            <v>BurlingtonABSTBS</v>
          </cell>
          <cell r="R384" t="str">
            <v>Unused "R"</v>
          </cell>
          <cell r="S384" t="str">
            <v>BPCanadaABTCBS</v>
          </cell>
          <cell r="T384" t="str">
            <v>Unused "T"</v>
          </cell>
          <cell r="U384" t="str">
            <v>BPCanadaABSTBS</v>
          </cell>
          <cell r="V384" t="str">
            <v>Unused "V"</v>
          </cell>
          <cell r="Y384" t="str">
            <v>Duke2ABSTBS</v>
          </cell>
          <cell r="Z384" t="str">
            <v>Duke3ABSTBS</v>
          </cell>
          <cell r="AA384" t="str">
            <v>SempraABSTBS</v>
          </cell>
          <cell r="AB384" t="str">
            <v>CanadianresABTCBS</v>
          </cell>
          <cell r="AC384" t="str">
            <v>NationalFuelRKBS</v>
          </cell>
          <cell r="AD384" t="str">
            <v>OneokRKBS</v>
          </cell>
          <cell r="AE384" t="str">
            <v>EnsercoRKBS</v>
          </cell>
          <cell r="AF384" t="str">
            <v>WesternGasRKBS</v>
          </cell>
          <cell r="AG384" t="str">
            <v>ConocoPhRKBS</v>
          </cell>
          <cell r="AU384" t="str">
            <v>SEMPRAABSTSW</v>
          </cell>
        </row>
        <row r="385">
          <cell r="C385">
            <v>10</v>
          </cell>
          <cell r="D385">
            <v>3</v>
          </cell>
          <cell r="F385">
            <v>733353247.03401208</v>
          </cell>
          <cell r="O385">
            <v>0.48938231199205368</v>
          </cell>
        </row>
        <row r="386">
          <cell r="C386">
            <v>10</v>
          </cell>
          <cell r="D386">
            <v>4</v>
          </cell>
        </row>
        <row r="387">
          <cell r="C387">
            <v>10</v>
          </cell>
          <cell r="D387">
            <v>5</v>
          </cell>
          <cell r="P387" t="str">
            <v xml:space="preserve">first tier </v>
          </cell>
        </row>
        <row r="388">
          <cell r="C388">
            <v>10</v>
          </cell>
          <cell r="D388">
            <v>6</v>
          </cell>
          <cell r="P388" t="str">
            <v>1090000 ann</v>
          </cell>
        </row>
        <row r="389">
          <cell r="C389">
            <v>10</v>
          </cell>
          <cell r="D389">
            <v>7</v>
          </cell>
          <cell r="P389" t="str">
            <v>second tier nxt</v>
          </cell>
        </row>
        <row r="390">
          <cell r="C390">
            <v>10</v>
          </cell>
          <cell r="D390">
            <v>8</v>
          </cell>
          <cell r="P390">
            <v>47000</v>
          </cell>
        </row>
        <row r="391">
          <cell r="C391">
            <v>10</v>
          </cell>
          <cell r="D391">
            <v>9</v>
          </cell>
          <cell r="P391" t="str">
            <v>excess</v>
          </cell>
        </row>
        <row r="392">
          <cell r="C392">
            <v>10</v>
          </cell>
          <cell r="D392">
            <v>10</v>
          </cell>
          <cell r="P392" t="str">
            <v>each has diff't</v>
          </cell>
        </row>
        <row r="393">
          <cell r="C393">
            <v>10</v>
          </cell>
          <cell r="D393">
            <v>11</v>
          </cell>
          <cell r="P393" t="str">
            <v>price</v>
          </cell>
        </row>
        <row r="394">
          <cell r="C394">
            <v>10</v>
          </cell>
          <cell r="D394">
            <v>12</v>
          </cell>
        </row>
        <row r="395">
          <cell r="C395">
            <v>10</v>
          </cell>
          <cell r="D395">
            <v>13</v>
          </cell>
        </row>
        <row r="396">
          <cell r="C396">
            <v>10</v>
          </cell>
          <cell r="D396">
            <v>14</v>
          </cell>
        </row>
        <row r="397">
          <cell r="C397">
            <v>10</v>
          </cell>
          <cell r="D397">
            <v>15</v>
          </cell>
        </row>
        <row r="398">
          <cell r="C398">
            <v>10</v>
          </cell>
          <cell r="D398">
            <v>16</v>
          </cell>
        </row>
        <row r="399">
          <cell r="C399">
            <v>10</v>
          </cell>
          <cell r="D399">
            <v>17</v>
          </cell>
        </row>
        <row r="400">
          <cell r="C400">
            <v>10</v>
          </cell>
          <cell r="D400">
            <v>18</v>
          </cell>
        </row>
        <row r="401">
          <cell r="C401">
            <v>10</v>
          </cell>
          <cell r="D401">
            <v>19</v>
          </cell>
        </row>
        <row r="402">
          <cell r="C402">
            <v>10</v>
          </cell>
          <cell r="D402">
            <v>20</v>
          </cell>
        </row>
        <row r="403">
          <cell r="C403">
            <v>10</v>
          </cell>
          <cell r="D403">
            <v>21</v>
          </cell>
        </row>
        <row r="404">
          <cell r="C404">
            <v>10</v>
          </cell>
          <cell r="D404">
            <v>22</v>
          </cell>
        </row>
        <row r="405">
          <cell r="C405">
            <v>10</v>
          </cell>
          <cell r="D405">
            <v>23</v>
          </cell>
        </row>
        <row r="406">
          <cell r="C406">
            <v>10</v>
          </cell>
          <cell r="D406">
            <v>24</v>
          </cell>
        </row>
        <row r="407">
          <cell r="C407">
            <v>10</v>
          </cell>
          <cell r="D407">
            <v>25</v>
          </cell>
        </row>
        <row r="408">
          <cell r="C408">
            <v>10</v>
          </cell>
          <cell r="D408">
            <v>26</v>
          </cell>
        </row>
        <row r="409">
          <cell r="C409">
            <v>10</v>
          </cell>
          <cell r="D409">
            <v>27</v>
          </cell>
        </row>
        <row r="410">
          <cell r="C410">
            <v>10</v>
          </cell>
          <cell r="D410">
            <v>28</v>
          </cell>
        </row>
        <row r="411">
          <cell r="C411">
            <v>10</v>
          </cell>
          <cell r="D411">
            <v>29</v>
          </cell>
        </row>
        <row r="412">
          <cell r="C412">
            <v>10</v>
          </cell>
          <cell r="D412">
            <v>30</v>
          </cell>
        </row>
        <row r="413">
          <cell r="C413">
            <v>10</v>
          </cell>
          <cell r="D413">
            <v>31</v>
          </cell>
        </row>
      </sheetData>
      <sheetData sheetId="9" refreshError="1">
        <row r="5">
          <cell r="C5">
            <v>0</v>
          </cell>
          <cell r="D5">
            <v>0</v>
          </cell>
          <cell r="E5" t="str">
            <v>OK</v>
          </cell>
          <cell r="F5">
            <v>0</v>
          </cell>
          <cell r="G5">
            <v>0</v>
          </cell>
          <cell r="H5" t="str">
            <v>OK</v>
          </cell>
          <cell r="I5" t="str">
            <v>N/A</v>
          </cell>
          <cell r="J5" t="str">
            <v xml:space="preserve">                   N/A</v>
          </cell>
          <cell r="K5" t="str">
            <v>N/A</v>
          </cell>
        </row>
        <row r="6">
          <cell r="C6">
            <v>11202867</v>
          </cell>
          <cell r="D6">
            <v>11202867</v>
          </cell>
          <cell r="E6" t="str">
            <v>OK</v>
          </cell>
          <cell r="F6">
            <v>5227929.9142199997</v>
          </cell>
          <cell r="G6">
            <v>5227929.9142199997</v>
          </cell>
          <cell r="H6" t="str">
            <v>OK</v>
          </cell>
          <cell r="I6">
            <v>0.46666000000000002</v>
          </cell>
          <cell r="J6">
            <v>0.46666000000000002</v>
          </cell>
          <cell r="K6">
            <v>0</v>
          </cell>
        </row>
        <row r="7">
          <cell r="C7">
            <v>3154303</v>
          </cell>
          <cell r="D7">
            <v>3154303</v>
          </cell>
          <cell r="E7" t="str">
            <v>OK</v>
          </cell>
          <cell r="F7">
            <v>1254560.9321899947</v>
          </cell>
          <cell r="G7">
            <v>1254560.9321900003</v>
          </cell>
          <cell r="H7" t="str">
            <v>OK</v>
          </cell>
          <cell r="I7">
            <v>0.39772999999999997</v>
          </cell>
          <cell r="J7">
            <v>0.39772999999999997</v>
          </cell>
          <cell r="K7">
            <v>0</v>
          </cell>
        </row>
        <row r="8">
          <cell r="C8">
            <v>4788992</v>
          </cell>
          <cell r="D8">
            <v>4788992</v>
          </cell>
          <cell r="E8" t="str">
            <v>OK</v>
          </cell>
          <cell r="F8">
            <v>2602625.5923199998</v>
          </cell>
          <cell r="G8">
            <v>2602625.5923200003</v>
          </cell>
          <cell r="H8" t="str">
            <v>OK</v>
          </cell>
          <cell r="I8">
            <v>0.54346000000000005</v>
          </cell>
          <cell r="J8">
            <v>0.54346000000000005</v>
          </cell>
          <cell r="K8">
            <v>0</v>
          </cell>
        </row>
        <row r="9">
          <cell r="C9">
            <v>9958843</v>
          </cell>
          <cell r="D9">
            <v>9958843</v>
          </cell>
          <cell r="E9" t="str">
            <v>OK</v>
          </cell>
          <cell r="F9">
            <v>4380596.2704099752</v>
          </cell>
          <cell r="G9">
            <v>4380596.2704099976</v>
          </cell>
          <cell r="H9" t="str">
            <v>OK</v>
          </cell>
          <cell r="I9">
            <v>0.43986999999999998</v>
          </cell>
          <cell r="J9">
            <v>0.43986999999999998</v>
          </cell>
          <cell r="K9">
            <v>0</v>
          </cell>
        </row>
        <row r="10">
          <cell r="C10">
            <v>0</v>
          </cell>
          <cell r="D10">
            <v>0</v>
          </cell>
          <cell r="E10" t="str">
            <v>OK</v>
          </cell>
          <cell r="F10">
            <v>0</v>
          </cell>
          <cell r="G10">
            <v>0</v>
          </cell>
          <cell r="H10" t="str">
            <v>OK</v>
          </cell>
          <cell r="I10" t="str">
            <v>N/A</v>
          </cell>
          <cell r="J10" t="str">
            <v xml:space="preserve">                   N/A</v>
          </cell>
          <cell r="K10" t="str">
            <v>N/A</v>
          </cell>
        </row>
        <row r="11">
          <cell r="C11">
            <v>0</v>
          </cell>
          <cell r="D11">
            <v>0</v>
          </cell>
          <cell r="E11" t="str">
            <v>OK</v>
          </cell>
          <cell r="F11">
            <v>0</v>
          </cell>
          <cell r="G11">
            <v>0</v>
          </cell>
          <cell r="H11" t="str">
            <v>OK</v>
          </cell>
          <cell r="I11" t="str">
            <v>N/A</v>
          </cell>
          <cell r="J11" t="str">
            <v xml:space="preserve">                   N/A</v>
          </cell>
          <cell r="K11" t="str">
            <v>N/A</v>
          </cell>
        </row>
        <row r="12">
          <cell r="C12">
            <v>0</v>
          </cell>
          <cell r="D12">
            <v>0</v>
          </cell>
          <cell r="E12" t="str">
            <v>OK</v>
          </cell>
          <cell r="F12">
            <v>0</v>
          </cell>
          <cell r="G12">
            <v>0</v>
          </cell>
          <cell r="H12" t="str">
            <v>OK</v>
          </cell>
          <cell r="I12" t="str">
            <v>N/A</v>
          </cell>
          <cell r="J12" t="str">
            <v xml:space="preserve">                   N/A</v>
          </cell>
          <cell r="K12" t="str">
            <v>N/A</v>
          </cell>
        </row>
        <row r="13">
          <cell r="C13">
            <v>119475085</v>
          </cell>
          <cell r="D13">
            <v>119475085</v>
          </cell>
          <cell r="E13" t="str">
            <v>OK</v>
          </cell>
          <cell r="F13">
            <v>53796976</v>
          </cell>
          <cell r="G13">
            <v>53796975.712339997</v>
          </cell>
          <cell r="H13" t="str">
            <v>OK</v>
          </cell>
          <cell r="I13">
            <v>0.45028000000000001</v>
          </cell>
          <cell r="J13">
            <v>0.45028000000000001</v>
          </cell>
          <cell r="K13">
            <v>0</v>
          </cell>
        </row>
        <row r="14">
          <cell r="G14">
            <v>53796975.712339997</v>
          </cell>
        </row>
        <row r="17">
          <cell r="C17" t="str">
            <v>Volumes</v>
          </cell>
          <cell r="F17" t="str">
            <v>Dollars</v>
          </cell>
          <cell r="I17" t="str">
            <v>Prices</v>
          </cell>
        </row>
        <row r="18">
          <cell r="C18" t="str">
            <v>From Dispatch</v>
          </cell>
          <cell r="D18" t="str">
            <v>from Summary</v>
          </cell>
          <cell r="F18" t="str">
            <v>From Costing</v>
          </cell>
          <cell r="G18" t="str">
            <v>From Summary</v>
          </cell>
          <cell r="I18" t="str">
            <v>Average calculated</v>
          </cell>
          <cell r="J18" t="str">
            <v>from Flowing Prices</v>
          </cell>
          <cell r="K18" t="str">
            <v>difference</v>
          </cell>
        </row>
        <row r="19">
          <cell r="C19">
            <v>4261967.8272013497</v>
          </cell>
          <cell r="D19">
            <v>4261967.8272013497</v>
          </cell>
          <cell r="E19" t="str">
            <v>OK</v>
          </cell>
          <cell r="F19">
            <v>2088875.671467924</v>
          </cell>
          <cell r="G19">
            <v>2088876</v>
          </cell>
          <cell r="H19" t="str">
            <v>OK</v>
          </cell>
          <cell r="I19">
            <v>0.49012</v>
          </cell>
          <cell r="J19">
            <v>0.49012</v>
          </cell>
          <cell r="K19">
            <v>0</v>
          </cell>
          <cell r="L19" t="str">
            <v>Mist Production</v>
          </cell>
        </row>
        <row r="20">
          <cell r="C20">
            <v>62612288.679984048</v>
          </cell>
          <cell r="D20">
            <v>62612288.679984093</v>
          </cell>
          <cell r="E20" t="str">
            <v>OK</v>
          </cell>
          <cell r="F20">
            <v>29328303.921937291</v>
          </cell>
          <cell r="G20">
            <v>29328304</v>
          </cell>
          <cell r="H20" t="str">
            <v>OK</v>
          </cell>
          <cell r="I20">
            <v>0.46840999999999999</v>
          </cell>
          <cell r="J20">
            <v>0.47105000000000002</v>
          </cell>
          <cell r="K20">
            <v>-2.6400000000000312E-3</v>
          </cell>
          <cell r="L20" t="str">
            <v>DukeBCS2BS</v>
          </cell>
        </row>
        <row r="21">
          <cell r="C21">
            <v>31371054.446440294</v>
          </cell>
          <cell r="D21">
            <v>31371054.446440294</v>
          </cell>
          <cell r="E21" t="str">
            <v>OK</v>
          </cell>
          <cell r="F21">
            <v>14530975.081102453</v>
          </cell>
          <cell r="G21">
            <v>14530975</v>
          </cell>
          <cell r="H21" t="str">
            <v>OK</v>
          </cell>
          <cell r="I21">
            <v>0.4632</v>
          </cell>
          <cell r="J21">
            <v>0.4632</v>
          </cell>
          <cell r="K21">
            <v>0</v>
          </cell>
          <cell r="L21" t="str">
            <v>Duke1ABSTBS</v>
          </cell>
        </row>
        <row r="22">
          <cell r="C22">
            <v>31447466.42574675</v>
          </cell>
          <cell r="D22">
            <v>31447466.425746754</v>
          </cell>
          <cell r="E22" t="str">
            <v>OK</v>
          </cell>
          <cell r="F22">
            <v>14868086.236877995</v>
          </cell>
          <cell r="G22">
            <v>14868086</v>
          </cell>
          <cell r="H22" t="str">
            <v>OK</v>
          </cell>
          <cell r="I22">
            <v>0.4727912269811711</v>
          </cell>
          <cell r="J22">
            <v>0.47279122698117099</v>
          </cell>
          <cell r="K22">
            <v>1.1102230246251565E-16</v>
          </cell>
          <cell r="L22" t="str">
            <v>CoralABSTBS</v>
          </cell>
        </row>
        <row r="23">
          <cell r="C23">
            <v>31306144.339992024</v>
          </cell>
          <cell r="D23">
            <v>31306144.339992046</v>
          </cell>
          <cell r="E23" t="str">
            <v>OK</v>
          </cell>
          <cell r="F23">
            <v>11970146.372435413</v>
          </cell>
          <cell r="G23">
            <v>11970146</v>
          </cell>
          <cell r="H23" t="str">
            <v>OK</v>
          </cell>
          <cell r="I23">
            <v>0.38235999999999998</v>
          </cell>
          <cell r="J23">
            <v>0.38027</v>
          </cell>
          <cell r="K23">
            <v>2.0899999999999808E-3</v>
          </cell>
          <cell r="L23" t="str">
            <v>CoralBCS2BS</v>
          </cell>
        </row>
        <row r="24">
          <cell r="C24">
            <v>31306144.339992024</v>
          </cell>
          <cell r="D24">
            <v>31306144.339992046</v>
          </cell>
          <cell r="E24" t="str">
            <v>OK</v>
          </cell>
          <cell r="F24">
            <v>12036416.585331926</v>
          </cell>
          <cell r="G24">
            <v>12036417</v>
          </cell>
          <cell r="H24" t="str">
            <v>OK</v>
          </cell>
          <cell r="I24">
            <v>0.38446999999999998</v>
          </cell>
          <cell r="J24">
            <v>0.38441999999999998</v>
          </cell>
          <cell r="K24">
            <v>4.9999999999994493E-5</v>
          </cell>
          <cell r="L24" t="str">
            <v>SempraBCS2BS</v>
          </cell>
        </row>
        <row r="25">
          <cell r="C25">
            <v>31306144.339992024</v>
          </cell>
          <cell r="D25">
            <v>31306144.339992046</v>
          </cell>
          <cell r="E25" t="str">
            <v>OK</v>
          </cell>
          <cell r="F25">
            <v>11809231.212763032</v>
          </cell>
          <cell r="G25">
            <v>11809231</v>
          </cell>
          <cell r="H25" t="str">
            <v>OK</v>
          </cell>
          <cell r="I25">
            <v>0.37722</v>
          </cell>
          <cell r="J25">
            <v>0.37716</v>
          </cell>
          <cell r="K25">
            <v>6.0000000000004494E-5</v>
          </cell>
          <cell r="L25" t="str">
            <v>BPCanadaBCS2BS</v>
          </cell>
        </row>
        <row r="26">
          <cell r="C26">
            <v>28180851.095161095</v>
          </cell>
          <cell r="D26">
            <v>28180851.095161065</v>
          </cell>
          <cell r="E26" t="str">
            <v>OK</v>
          </cell>
          <cell r="F26">
            <v>13791210.062853735</v>
          </cell>
          <cell r="G26">
            <v>13791210</v>
          </cell>
          <cell r="H26" t="str">
            <v>OK</v>
          </cell>
          <cell r="I26">
            <v>0.48937999999999998</v>
          </cell>
          <cell r="J26">
            <v>0.48937999999999998</v>
          </cell>
          <cell r="K26">
            <v>0</v>
          </cell>
          <cell r="L26" t="str">
            <v>SempraABTCBS</v>
          </cell>
        </row>
        <row r="27">
          <cell r="C27">
            <v>28374594.446440294</v>
          </cell>
          <cell r="D27">
            <v>28374594.446440294</v>
          </cell>
          <cell r="E27" t="str">
            <v>OK</v>
          </cell>
          <cell r="F27">
            <v>15719631.001519537</v>
          </cell>
          <cell r="G27">
            <v>15719631</v>
          </cell>
          <cell r="H27" t="str">
            <v>OK</v>
          </cell>
          <cell r="I27">
            <v>0.55400000000000005</v>
          </cell>
          <cell r="J27">
            <v>0.55400000000000005</v>
          </cell>
          <cell r="K27">
            <v>0</v>
          </cell>
          <cell r="L27" t="str">
            <v>HuskeyABSTBS</v>
          </cell>
        </row>
        <row r="28">
          <cell r="C28">
            <v>42555104.820402652</v>
          </cell>
          <cell r="D28">
            <v>42555104.820402637</v>
          </cell>
          <cell r="E28" t="str">
            <v>OK</v>
          </cell>
          <cell r="F28">
            <v>24148018.822667949</v>
          </cell>
          <cell r="G28">
            <v>24148019</v>
          </cell>
          <cell r="H28" t="str">
            <v>OK</v>
          </cell>
          <cell r="I28">
            <v>0.56745000000000001</v>
          </cell>
          <cell r="J28">
            <v>0.56745000000000001</v>
          </cell>
          <cell r="K28">
            <v>0</v>
          </cell>
          <cell r="L28" t="str">
            <v>BurlingtonABSTBS</v>
          </cell>
        </row>
        <row r="29">
          <cell r="C29">
            <v>0</v>
          </cell>
          <cell r="D29">
            <v>0</v>
          </cell>
          <cell r="E29" t="str">
            <v>OK</v>
          </cell>
          <cell r="F29">
            <v>0</v>
          </cell>
          <cell r="G29">
            <v>0</v>
          </cell>
          <cell r="H29" t="str">
            <v>OK</v>
          </cell>
          <cell r="I29" t="str">
            <v xml:space="preserve">     N/A</v>
          </cell>
          <cell r="J29" t="e">
            <v>#DIV/0!</v>
          </cell>
          <cell r="K29" t="str">
            <v>N/A</v>
          </cell>
          <cell r="L29" t="str">
            <v>Unused "R"</v>
          </cell>
        </row>
        <row r="30">
          <cell r="C30">
            <v>28149447.306126852</v>
          </cell>
          <cell r="D30">
            <v>28149447.306126822</v>
          </cell>
          <cell r="E30" t="str">
            <v>OK</v>
          </cell>
          <cell r="F30">
            <v>12734898.500463026</v>
          </cell>
          <cell r="G30">
            <v>12734899</v>
          </cell>
          <cell r="H30" t="str">
            <v>OK</v>
          </cell>
          <cell r="I30">
            <v>0.45240000000000002</v>
          </cell>
          <cell r="J30">
            <v>0.45240000000000002</v>
          </cell>
          <cell r="K30">
            <v>0</v>
          </cell>
          <cell r="L30" t="str">
            <v>BPCanadaABTCBS</v>
          </cell>
        </row>
        <row r="31">
          <cell r="C31">
            <v>0</v>
          </cell>
          <cell r="D31">
            <v>0</v>
          </cell>
          <cell r="E31" t="str">
            <v>OK</v>
          </cell>
          <cell r="F31">
            <v>0</v>
          </cell>
          <cell r="G31">
            <v>0</v>
          </cell>
          <cell r="H31" t="str">
            <v>OK</v>
          </cell>
          <cell r="I31" t="str">
            <v xml:space="preserve">     N/A</v>
          </cell>
          <cell r="J31" t="e">
            <v>#DIV/0!</v>
          </cell>
          <cell r="K31" t="str">
            <v>N/A</v>
          </cell>
          <cell r="L31" t="str">
            <v>Unused "T"</v>
          </cell>
        </row>
        <row r="32">
          <cell r="C32">
            <v>26012505.837385863</v>
          </cell>
          <cell r="D32">
            <v>26012505.837385863</v>
          </cell>
          <cell r="E32" t="str">
            <v>OK</v>
          </cell>
          <cell r="F32">
            <v>14908884.992666835</v>
          </cell>
          <cell r="G32">
            <v>14908885</v>
          </cell>
          <cell r="H32" t="str">
            <v>OK</v>
          </cell>
          <cell r="I32">
            <v>0.57313999999999998</v>
          </cell>
          <cell r="J32">
            <v>0.57313999999999998</v>
          </cell>
          <cell r="K32">
            <v>0</v>
          </cell>
          <cell r="L32" t="str">
            <v>BPCanadaABSTBS</v>
          </cell>
        </row>
        <row r="33">
          <cell r="C33">
            <v>0</v>
          </cell>
          <cell r="D33">
            <v>0</v>
          </cell>
          <cell r="E33" t="str">
            <v>OK</v>
          </cell>
          <cell r="F33">
            <v>0</v>
          </cell>
          <cell r="G33">
            <v>0</v>
          </cell>
          <cell r="H33" t="str">
            <v>OK</v>
          </cell>
          <cell r="I33" t="str">
            <v xml:space="preserve">     N/A</v>
          </cell>
          <cell r="J33" t="e">
            <v>#DIV/0!</v>
          </cell>
          <cell r="K33" t="str">
            <v>N/A</v>
          </cell>
          <cell r="L33" t="str">
            <v>Unused "V"</v>
          </cell>
        </row>
        <row r="34">
          <cell r="L34" t="str">
            <v>Winter Only Base Supplies</v>
          </cell>
        </row>
        <row r="35">
          <cell r="C35">
            <v>7249500</v>
          </cell>
          <cell r="D35">
            <v>7249500</v>
          </cell>
          <cell r="E35" t="str">
            <v>OK</v>
          </cell>
          <cell r="F35">
            <v>4198125</v>
          </cell>
          <cell r="G35">
            <v>4198125</v>
          </cell>
          <cell r="H35" t="str">
            <v>OK</v>
          </cell>
          <cell r="I35">
            <v>0.57908999999999999</v>
          </cell>
          <cell r="J35">
            <v>0.57908999999999999</v>
          </cell>
          <cell r="K35">
            <v>0</v>
          </cell>
          <cell r="L35" t="str">
            <v>Duke2ABSTBS</v>
          </cell>
        </row>
        <row r="36">
          <cell r="C36">
            <v>13049100</v>
          </cell>
          <cell r="D36">
            <v>13049100</v>
          </cell>
          <cell r="E36" t="str">
            <v>OK</v>
          </cell>
          <cell r="F36">
            <v>8123624.9999999991</v>
          </cell>
          <cell r="G36">
            <v>8123625</v>
          </cell>
          <cell r="H36" t="str">
            <v>OK</v>
          </cell>
          <cell r="I36">
            <v>0.62253999999999998</v>
          </cell>
          <cell r="J36">
            <v>0.62253999999999998</v>
          </cell>
          <cell r="K36">
            <v>0</v>
          </cell>
          <cell r="L36" t="str">
            <v>Duke3ABSTBS</v>
          </cell>
        </row>
        <row r="37">
          <cell r="C37">
            <v>14499000</v>
          </cell>
          <cell r="D37">
            <v>14499000</v>
          </cell>
          <cell r="E37" t="str">
            <v>OK</v>
          </cell>
          <cell r="F37">
            <v>8984999.9999999981</v>
          </cell>
          <cell r="G37">
            <v>8985000</v>
          </cell>
          <cell r="H37" t="str">
            <v>OK</v>
          </cell>
          <cell r="I37">
            <v>0.61970000000000003</v>
          </cell>
          <cell r="J37">
            <v>0.61970000000000003</v>
          </cell>
          <cell r="K37">
            <v>0</v>
          </cell>
          <cell r="L37" t="str">
            <v>SempraABSTBS</v>
          </cell>
        </row>
        <row r="38">
          <cell r="B38" t="str">
            <v>CanadianresABTCBS</v>
          </cell>
          <cell r="C38">
            <v>14162149.896067377</v>
          </cell>
          <cell r="D38">
            <v>14162149.896067377</v>
          </cell>
          <cell r="E38" t="str">
            <v>OK</v>
          </cell>
          <cell r="F38">
            <v>7660941.5129314559</v>
          </cell>
          <cell r="G38">
            <v>7660942</v>
          </cell>
          <cell r="H38" t="str">
            <v>OK</v>
          </cell>
          <cell r="I38">
            <v>0.54093999999999998</v>
          </cell>
          <cell r="J38">
            <v>0.54093999999999998</v>
          </cell>
          <cell r="K38">
            <v>0</v>
          </cell>
          <cell r="L38" t="str">
            <v>CanadianresABTCBS</v>
          </cell>
        </row>
        <row r="39">
          <cell r="B39" t="str">
            <v>NationalFuelRKBS</v>
          </cell>
          <cell r="C39">
            <v>14500015.854411952</v>
          </cell>
          <cell r="D39">
            <v>14500015.854411952</v>
          </cell>
          <cell r="E39" t="str">
            <v>OK</v>
          </cell>
          <cell r="F39">
            <v>9038627.3570477907</v>
          </cell>
          <cell r="G39">
            <v>9038627</v>
          </cell>
          <cell r="H39" t="str">
            <v>OK</v>
          </cell>
          <cell r="I39">
            <v>0.62334999999999996</v>
          </cell>
          <cell r="J39">
            <v>0.62334999999999996</v>
          </cell>
          <cell r="K39">
            <v>0</v>
          </cell>
          <cell r="L39" t="str">
            <v>NationalFuelRKBS</v>
          </cell>
        </row>
        <row r="40">
          <cell r="B40" t="str">
            <v>OneokRKBS</v>
          </cell>
          <cell r="C40">
            <v>21583322.902745333</v>
          </cell>
          <cell r="D40">
            <v>21583322.902745336</v>
          </cell>
          <cell r="E40" t="str">
            <v>OK</v>
          </cell>
          <cell r="F40">
            <v>13049312.904406641</v>
          </cell>
          <cell r="G40">
            <v>13049313</v>
          </cell>
          <cell r="H40" t="str">
            <v>OK</v>
          </cell>
          <cell r="I40">
            <v>0.60460000000000003</v>
          </cell>
          <cell r="J40">
            <v>0.60460000000000003</v>
          </cell>
          <cell r="K40">
            <v>0</v>
          </cell>
          <cell r="L40" t="str">
            <v>OneokRKBS</v>
          </cell>
        </row>
        <row r="41">
          <cell r="B41" t="str">
            <v>EnsercoRKBS</v>
          </cell>
          <cell r="C41">
            <v>14189567.109728632</v>
          </cell>
          <cell r="D41">
            <v>14189567.109728634</v>
          </cell>
          <cell r="E41" t="str">
            <v>OK</v>
          </cell>
          <cell r="F41">
            <v>8550271.2819112837</v>
          </cell>
          <cell r="G41">
            <v>8550271</v>
          </cell>
          <cell r="H41" t="str">
            <v>OK</v>
          </cell>
          <cell r="I41">
            <v>0.60257449827691056</v>
          </cell>
          <cell r="J41">
            <v>0.60257449827691056</v>
          </cell>
          <cell r="K41">
            <v>0</v>
          </cell>
          <cell r="L41" t="str">
            <v>EnsercoRKBS</v>
          </cell>
        </row>
        <row r="42">
          <cell r="B42" t="str">
            <v>WesternGasRKBS</v>
          </cell>
          <cell r="C42">
            <v>13953792.612503203</v>
          </cell>
          <cell r="D42">
            <v>13953792.612503204</v>
          </cell>
          <cell r="E42" t="str">
            <v>OK</v>
          </cell>
          <cell r="F42">
            <v>8429414.5520493686</v>
          </cell>
          <cell r="G42">
            <v>8429415</v>
          </cell>
          <cell r="H42" t="str">
            <v>OK</v>
          </cell>
          <cell r="I42">
            <v>0.6040948712750861</v>
          </cell>
          <cell r="J42">
            <v>0.6040948712750861</v>
          </cell>
          <cell r="K42">
            <v>0</v>
          </cell>
          <cell r="L42" t="str">
            <v>WesternGasRKBS</v>
          </cell>
        </row>
        <row r="43">
          <cell r="B43" t="str">
            <v>ConocoPhRKBS</v>
          </cell>
          <cell r="C43">
            <v>6906200</v>
          </cell>
          <cell r="D43">
            <v>6906200</v>
          </cell>
          <cell r="E43" t="str">
            <v>OK</v>
          </cell>
          <cell r="F43">
            <v>4228000</v>
          </cell>
          <cell r="G43">
            <v>4228000</v>
          </cell>
          <cell r="H43" t="str">
            <v>OK</v>
          </cell>
          <cell r="I43">
            <v>0.61220352726535576</v>
          </cell>
          <cell r="J43">
            <v>0.61220352726535576</v>
          </cell>
          <cell r="K43">
            <v>0</v>
          </cell>
          <cell r="L43" t="str">
            <v>ConocoPhRKBS</v>
          </cell>
        </row>
        <row r="44">
          <cell r="B44" t="str">
            <v>SempraRKBS</v>
          </cell>
          <cell r="C44">
            <v>10941013.065498121</v>
          </cell>
          <cell r="D44">
            <v>10941013.06549811</v>
          </cell>
          <cell r="E44" t="str">
            <v>OK</v>
          </cell>
          <cell r="F44">
            <v>6587230.651637827</v>
          </cell>
          <cell r="G44">
            <v>6587231</v>
          </cell>
          <cell r="H44" t="str">
            <v>OK</v>
          </cell>
          <cell r="I44">
            <v>0.60206770727751868</v>
          </cell>
          <cell r="J44">
            <v>0.60206770727751868</v>
          </cell>
          <cell r="K44">
            <v>0</v>
          </cell>
          <cell r="L44" t="str">
            <v>SempraRKBS</v>
          </cell>
        </row>
        <row r="45">
          <cell r="B45" t="str">
            <v>NationalFuelRKBS</v>
          </cell>
          <cell r="C45">
            <v>3810501.0248442767</v>
          </cell>
          <cell r="D45">
            <v>3810501.0248442767</v>
          </cell>
          <cell r="E45" t="str">
            <v>OK</v>
          </cell>
          <cell r="F45">
            <v>2089480.0876147915</v>
          </cell>
          <cell r="G45">
            <v>2089480</v>
          </cell>
          <cell r="H45" t="str">
            <v>OK</v>
          </cell>
          <cell r="I45">
            <v>0.54834786134198255</v>
          </cell>
          <cell r="J45">
            <v>0.54834786134198243</v>
          </cell>
          <cell r="K45">
            <v>1.1102230246251565E-16</v>
          </cell>
          <cell r="L45" t="str">
            <v>NationalFuelRKBS</v>
          </cell>
        </row>
        <row r="46">
          <cell r="B46" t="str">
            <v>Unused "AJ"</v>
          </cell>
          <cell r="C46">
            <v>0</v>
          </cell>
          <cell r="D46">
            <v>0</v>
          </cell>
          <cell r="E46" t="str">
            <v>OK</v>
          </cell>
          <cell r="F46">
            <v>0</v>
          </cell>
          <cell r="G46">
            <v>0</v>
          </cell>
          <cell r="H46" t="str">
            <v>OK</v>
          </cell>
          <cell r="I46" t="str">
            <v xml:space="preserve">                      N/A</v>
          </cell>
          <cell r="J46">
            <v>0</v>
          </cell>
          <cell r="K46" t="str">
            <v>N/A</v>
          </cell>
          <cell r="L46" t="str">
            <v>Unused "AJ"</v>
          </cell>
        </row>
        <row r="47">
          <cell r="B47" t="str">
            <v>Unused "AK"</v>
          </cell>
          <cell r="C47">
            <v>0</v>
          </cell>
          <cell r="D47">
            <v>0</v>
          </cell>
          <cell r="E47" t="str">
            <v>OK</v>
          </cell>
          <cell r="F47">
            <v>0</v>
          </cell>
          <cell r="G47">
            <v>0</v>
          </cell>
          <cell r="H47" t="str">
            <v>OK</v>
          </cell>
          <cell r="I47" t="str">
            <v xml:space="preserve">                      N/A</v>
          </cell>
          <cell r="J47">
            <v>0</v>
          </cell>
          <cell r="K47" t="str">
            <v>N/A</v>
          </cell>
          <cell r="L47" t="str">
            <v>Unused "AK"</v>
          </cell>
        </row>
        <row r="48">
          <cell r="B48" t="str">
            <v>Unused "AL"</v>
          </cell>
          <cell r="C48">
            <v>0</v>
          </cell>
          <cell r="D48">
            <v>0</v>
          </cell>
          <cell r="E48" t="str">
            <v>OK</v>
          </cell>
          <cell r="F48">
            <v>0</v>
          </cell>
          <cell r="G48">
            <v>0</v>
          </cell>
          <cell r="H48" t="str">
            <v>OK</v>
          </cell>
          <cell r="I48" t="str">
            <v xml:space="preserve">                      N/A</v>
          </cell>
          <cell r="J48">
            <v>0</v>
          </cell>
          <cell r="K48" t="str">
            <v>N/A</v>
          </cell>
          <cell r="L48" t="str">
            <v>Unused "AL"</v>
          </cell>
        </row>
        <row r="49">
          <cell r="B49" t="str">
            <v>Unused "AM"</v>
          </cell>
          <cell r="C49">
            <v>0</v>
          </cell>
          <cell r="D49">
            <v>0</v>
          </cell>
          <cell r="E49" t="str">
            <v>OK</v>
          </cell>
          <cell r="F49">
            <v>0</v>
          </cell>
          <cell r="G49">
            <v>0</v>
          </cell>
          <cell r="H49" t="str">
            <v>OK</v>
          </cell>
          <cell r="I49" t="str">
            <v xml:space="preserve">                      N/A</v>
          </cell>
          <cell r="J49">
            <v>0</v>
          </cell>
          <cell r="K49" t="str">
            <v>N/A</v>
          </cell>
          <cell r="L49" t="str">
            <v>Unused "AM"</v>
          </cell>
        </row>
        <row r="50">
          <cell r="B50" t="str">
            <v>Unused "AN"</v>
          </cell>
          <cell r="C50">
            <v>0</v>
          </cell>
          <cell r="D50">
            <v>0</v>
          </cell>
          <cell r="E50" t="str">
            <v>OK</v>
          </cell>
          <cell r="F50">
            <v>0</v>
          </cell>
          <cell r="G50">
            <v>0</v>
          </cell>
          <cell r="H50" t="str">
            <v>OK</v>
          </cell>
          <cell r="I50" t="str">
            <v xml:space="preserve">                      N/A</v>
          </cell>
          <cell r="J50">
            <v>0</v>
          </cell>
          <cell r="K50" t="str">
            <v>N/A</v>
          </cell>
          <cell r="L50" t="str">
            <v>Unused "AN"</v>
          </cell>
        </row>
        <row r="51">
          <cell r="B51" t="str">
            <v>Unused "AO"</v>
          </cell>
          <cell r="C51">
            <v>0</v>
          </cell>
          <cell r="D51">
            <v>0</v>
          </cell>
          <cell r="E51" t="str">
            <v>OK</v>
          </cell>
          <cell r="F51">
            <v>0</v>
          </cell>
          <cell r="G51">
            <v>0</v>
          </cell>
          <cell r="H51" t="str">
            <v>OK</v>
          </cell>
          <cell r="I51" t="str">
            <v xml:space="preserve">                      N/A</v>
          </cell>
          <cell r="J51">
            <v>0</v>
          </cell>
          <cell r="K51" t="str">
            <v>N/A</v>
          </cell>
          <cell r="L51" t="str">
            <v>Unused "AO"</v>
          </cell>
        </row>
        <row r="52">
          <cell r="B52" t="str">
            <v>Unused "AP"</v>
          </cell>
          <cell r="C52">
            <v>0</v>
          </cell>
          <cell r="D52">
            <v>0</v>
          </cell>
          <cell r="E52" t="str">
            <v>OK</v>
          </cell>
          <cell r="F52">
            <v>0</v>
          </cell>
          <cell r="G52">
            <v>0</v>
          </cell>
          <cell r="H52" t="str">
            <v>OK</v>
          </cell>
          <cell r="I52" t="str">
            <v xml:space="preserve">                      N/A</v>
          </cell>
          <cell r="J52">
            <v>0</v>
          </cell>
          <cell r="K52" t="str">
            <v>N/A</v>
          </cell>
          <cell r="L52" t="str">
            <v>Unused "AP"</v>
          </cell>
        </row>
        <row r="53">
          <cell r="B53" t="str">
            <v>Unused "AQ"</v>
          </cell>
          <cell r="C53">
            <v>0</v>
          </cell>
          <cell r="D53">
            <v>0</v>
          </cell>
          <cell r="E53" t="str">
            <v>OK</v>
          </cell>
          <cell r="F53">
            <v>0</v>
          </cell>
          <cell r="G53">
            <v>0</v>
          </cell>
          <cell r="H53" t="str">
            <v>OK</v>
          </cell>
          <cell r="I53" t="str">
            <v xml:space="preserve">                      N/A</v>
          </cell>
          <cell r="J53">
            <v>0</v>
          </cell>
          <cell r="K53" t="str">
            <v>N/A</v>
          </cell>
          <cell r="L53" t="str">
            <v>Unused "AQ"</v>
          </cell>
        </row>
        <row r="54">
          <cell r="B54" t="str">
            <v>Unused "AR"</v>
          </cell>
          <cell r="C54">
            <v>0</v>
          </cell>
          <cell r="D54">
            <v>0</v>
          </cell>
          <cell r="E54" t="str">
            <v>OK</v>
          </cell>
          <cell r="F54">
            <v>0</v>
          </cell>
          <cell r="G54">
            <v>0</v>
          </cell>
          <cell r="H54" t="str">
            <v>OK</v>
          </cell>
          <cell r="I54" t="str">
            <v xml:space="preserve">                      N/A</v>
          </cell>
          <cell r="J54">
            <v>0</v>
          </cell>
          <cell r="K54" t="str">
            <v>N/A</v>
          </cell>
          <cell r="L54" t="str">
            <v>Unused "AR"</v>
          </cell>
        </row>
        <row r="55">
          <cell r="B55" t="str">
            <v>Winter Only Swing Supplies</v>
          </cell>
          <cell r="L55" t="str">
            <v>Winter Only Swing Supplies</v>
          </cell>
        </row>
        <row r="56">
          <cell r="B56" t="str">
            <v>SEMPRAABSTSW</v>
          </cell>
          <cell r="C56">
            <v>12146382.799119866</v>
          </cell>
          <cell r="D56">
            <v>12146382.799119866</v>
          </cell>
          <cell r="E56" t="str">
            <v>OK</v>
          </cell>
          <cell r="F56">
            <v>9151757.5860513151</v>
          </cell>
          <cell r="G56">
            <v>9151758</v>
          </cell>
          <cell r="H56" t="str">
            <v>OK</v>
          </cell>
          <cell r="I56">
            <v>0.75346000000000002</v>
          </cell>
          <cell r="J56">
            <v>0.75438000000000005</v>
          </cell>
          <cell r="K56">
            <v>-9.200000000000319E-4</v>
          </cell>
          <cell r="L56" t="str">
            <v>SEMPRAABSTSW</v>
          </cell>
        </row>
        <row r="57">
          <cell r="B57" t="str">
            <v>CANADIANNRABTCSW</v>
          </cell>
          <cell r="C57">
            <v>17735214.449198194</v>
          </cell>
          <cell r="D57">
            <v>17735214.449198198</v>
          </cell>
          <cell r="E57" t="str">
            <v>OK</v>
          </cell>
          <cell r="F57">
            <v>13535465.577005556</v>
          </cell>
          <cell r="G57">
            <v>13535466</v>
          </cell>
          <cell r="H57" t="str">
            <v>OK</v>
          </cell>
          <cell r="I57">
            <v>0.76319999999999999</v>
          </cell>
          <cell r="J57">
            <v>0.76417000000000002</v>
          </cell>
          <cell r="K57">
            <v>-9.700000000000264E-4</v>
          </cell>
          <cell r="L57" t="str">
            <v>CANADIANNRABTCSW</v>
          </cell>
        </row>
        <row r="58">
          <cell r="B58" t="str">
            <v>NationalFuelRKSW</v>
          </cell>
          <cell r="C58">
            <v>11380219.038721759</v>
          </cell>
          <cell r="D58">
            <v>11380219.038721763</v>
          </cell>
          <cell r="E58" t="str">
            <v>OK</v>
          </cell>
          <cell r="F58">
            <v>8899066.799115641</v>
          </cell>
          <cell r="G58">
            <v>8899067</v>
          </cell>
          <cell r="H58" t="str">
            <v>OK</v>
          </cell>
          <cell r="I58">
            <v>0.78198000000000001</v>
          </cell>
          <cell r="J58">
            <v>0.78300000000000003</v>
          </cell>
          <cell r="K58">
            <v>-1.0200000000000209E-3</v>
          </cell>
          <cell r="L58" t="str">
            <v>NationalFuelRKSW</v>
          </cell>
        </row>
        <row r="59">
          <cell r="B59" t="str">
            <v>EnsercoRKSW</v>
          </cell>
          <cell r="C59">
            <v>10721832.287962366</v>
          </cell>
          <cell r="D59">
            <v>10721832.287962368</v>
          </cell>
          <cell r="E59" t="str">
            <v>OK</v>
          </cell>
          <cell r="F59">
            <v>8256112.1859407825</v>
          </cell>
          <cell r="G59">
            <v>8256112</v>
          </cell>
          <cell r="H59" t="str">
            <v>OK</v>
          </cell>
          <cell r="I59">
            <v>0.77002999999999999</v>
          </cell>
          <cell r="J59">
            <v>0.77105999999999997</v>
          </cell>
          <cell r="K59">
            <v>-1.0299999999999754E-3</v>
          </cell>
          <cell r="L59" t="str">
            <v>EnsercoRKSW</v>
          </cell>
        </row>
        <row r="60">
          <cell r="B60" t="str">
            <v>OneokRKSW</v>
          </cell>
          <cell r="C60">
            <v>5285965.7878848165</v>
          </cell>
          <cell r="D60">
            <v>5285965.7878848165</v>
          </cell>
          <cell r="E60" t="str">
            <v>OK</v>
          </cell>
          <cell r="F60">
            <v>3799355.1181997168</v>
          </cell>
          <cell r="G60">
            <v>3799355</v>
          </cell>
          <cell r="H60" t="str">
            <v>OK</v>
          </cell>
          <cell r="I60">
            <v>0.71875999999999995</v>
          </cell>
          <cell r="J60">
            <v>0.73043999999999998</v>
          </cell>
          <cell r="K60">
            <v>-1.1680000000000024E-2</v>
          </cell>
          <cell r="L60" t="str">
            <v>OneokRKSW</v>
          </cell>
        </row>
        <row r="61">
          <cell r="B61" t="str">
            <v>WesternGas1RKSW</v>
          </cell>
          <cell r="C61">
            <v>2735880.2457587644</v>
          </cell>
          <cell r="D61">
            <v>2735880.2457587644</v>
          </cell>
          <cell r="E61" t="str">
            <v>OK</v>
          </cell>
          <cell r="F61">
            <v>2087151.7210047869</v>
          </cell>
          <cell r="G61">
            <v>2087152</v>
          </cell>
          <cell r="H61" t="str">
            <v>OK</v>
          </cell>
          <cell r="I61">
            <v>0.76288</v>
          </cell>
          <cell r="J61">
            <v>0.77132000000000001</v>
          </cell>
          <cell r="K61">
            <v>-8.4400000000000031E-3</v>
          </cell>
          <cell r="L61" t="str">
            <v>WesternGas1RKSW</v>
          </cell>
        </row>
        <row r="62">
          <cell r="B62" t="str">
            <v>WesternGas2RKSW</v>
          </cell>
          <cell r="C62">
            <v>1795177.9389037839</v>
          </cell>
          <cell r="D62">
            <v>1795177.9389037839</v>
          </cell>
          <cell r="E62" t="str">
            <v>OK</v>
          </cell>
          <cell r="F62">
            <v>1684864.1911926877</v>
          </cell>
          <cell r="G62">
            <v>1684864</v>
          </cell>
          <cell r="H62" t="str">
            <v>OK</v>
          </cell>
          <cell r="I62">
            <v>0.9385499647024077</v>
          </cell>
          <cell r="J62">
            <v>0.94641615484498243</v>
          </cell>
          <cell r="K62">
            <v>-7.8661901425747249E-3</v>
          </cell>
          <cell r="L62" t="str">
            <v>WesternGas2RKSW</v>
          </cell>
        </row>
        <row r="63">
          <cell r="B63" t="str">
            <v>ConocoPhRKSW</v>
          </cell>
          <cell r="C63">
            <v>739950</v>
          </cell>
          <cell r="D63">
            <v>739950</v>
          </cell>
          <cell r="E63" t="str">
            <v>OK</v>
          </cell>
          <cell r="F63">
            <v>733350</v>
          </cell>
          <cell r="G63">
            <v>733350</v>
          </cell>
          <cell r="H63" t="str">
            <v>OK</v>
          </cell>
          <cell r="I63">
            <v>0.99108047841070346</v>
          </cell>
          <cell r="J63">
            <v>1.0000337860666262</v>
          </cell>
          <cell r="K63">
            <v>-8.9533076559227265E-3</v>
          </cell>
          <cell r="L63" t="str">
            <v>ConocoPhRKSW</v>
          </cell>
        </row>
        <row r="64">
          <cell r="B64" t="str">
            <v>NationalFuelRKSW</v>
          </cell>
          <cell r="C64">
            <v>2585076.1207931675</v>
          </cell>
          <cell r="D64">
            <v>2585076.1207931684</v>
          </cell>
          <cell r="E64" t="str">
            <v>OK</v>
          </cell>
          <cell r="F64">
            <v>1271068.5309030225</v>
          </cell>
          <cell r="G64">
            <v>1271069</v>
          </cell>
          <cell r="H64" t="str">
            <v>OK</v>
          </cell>
          <cell r="I64">
            <v>0.49169481729343623</v>
          </cell>
          <cell r="J64">
            <v>0.50391918372863032</v>
          </cell>
          <cell r="K64">
            <v>-1.2224366435194089E-2</v>
          </cell>
          <cell r="L64" t="str">
            <v>NationalFuelRKSW</v>
          </cell>
        </row>
        <row r="65">
          <cell r="B65" t="str">
            <v>Unused "BD"</v>
          </cell>
          <cell r="C65">
            <v>0</v>
          </cell>
          <cell r="D65">
            <v>0</v>
          </cell>
          <cell r="E65" t="str">
            <v>OK</v>
          </cell>
          <cell r="F65">
            <v>0</v>
          </cell>
          <cell r="G65">
            <v>0</v>
          </cell>
          <cell r="H65" t="str">
            <v>OK</v>
          </cell>
          <cell r="I65" t="str">
            <v xml:space="preserve">                      N/A</v>
          </cell>
          <cell r="J65" t="str">
            <v xml:space="preserve">                      N/A</v>
          </cell>
          <cell r="K65" t="str">
            <v>N/A</v>
          </cell>
          <cell r="L65" t="str">
            <v>Unused "BD"</v>
          </cell>
        </row>
        <row r="66">
          <cell r="B66" t="str">
            <v>Unused "Be"</v>
          </cell>
          <cell r="C66">
            <v>0</v>
          </cell>
          <cell r="D66">
            <v>0</v>
          </cell>
          <cell r="E66" t="str">
            <v>OK</v>
          </cell>
          <cell r="F66">
            <v>0</v>
          </cell>
          <cell r="G66">
            <v>0</v>
          </cell>
          <cell r="H66" t="str">
            <v>OK</v>
          </cell>
          <cell r="I66" t="str">
            <v xml:space="preserve">                      N/A</v>
          </cell>
          <cell r="J66" t="str">
            <v xml:space="preserve">                      N/A</v>
          </cell>
          <cell r="K66" t="str">
            <v>N/A</v>
          </cell>
          <cell r="L66" t="str">
            <v>Unused "Be"</v>
          </cell>
        </row>
        <row r="67">
          <cell r="B67" t="str">
            <v>Unused "Bf"</v>
          </cell>
          <cell r="C67">
            <v>0</v>
          </cell>
          <cell r="D67">
            <v>0</v>
          </cell>
          <cell r="E67" t="str">
            <v>OK</v>
          </cell>
          <cell r="F67">
            <v>0</v>
          </cell>
          <cell r="G67">
            <v>0</v>
          </cell>
          <cell r="H67" t="str">
            <v>OK</v>
          </cell>
          <cell r="I67" t="str">
            <v xml:space="preserve">                      N/A</v>
          </cell>
          <cell r="J67" t="str">
            <v xml:space="preserve">                      N/A</v>
          </cell>
          <cell r="K67" t="str">
            <v>N/A</v>
          </cell>
          <cell r="L67" t="str">
            <v>Unused "Bf"</v>
          </cell>
        </row>
        <row r="68">
          <cell r="B68" t="str">
            <v>Unused "Bg"</v>
          </cell>
          <cell r="C68">
            <v>0</v>
          </cell>
          <cell r="D68">
            <v>0</v>
          </cell>
          <cell r="E68" t="str">
            <v>OK</v>
          </cell>
          <cell r="F68">
            <v>0</v>
          </cell>
          <cell r="G68">
            <v>0</v>
          </cell>
          <cell r="H68" t="str">
            <v>OK</v>
          </cell>
          <cell r="I68" t="str">
            <v xml:space="preserve">                      N/A</v>
          </cell>
          <cell r="J68" t="str">
            <v xml:space="preserve">                      N/A</v>
          </cell>
          <cell r="K68" t="str">
            <v>N/A</v>
          </cell>
          <cell r="L68" t="str">
            <v>Unused "Bg"</v>
          </cell>
        </row>
        <row r="69">
          <cell r="B69" t="str">
            <v xml:space="preserve">Spot Gas </v>
          </cell>
          <cell r="L69" t="str">
            <v xml:space="preserve">Spot Gas </v>
          </cell>
        </row>
        <row r="70">
          <cell r="B70" t="str">
            <v>SPOTF</v>
          </cell>
          <cell r="C70">
            <v>37024586.995005012</v>
          </cell>
          <cell r="D70">
            <v>37024586.995005034</v>
          </cell>
          <cell r="E70" t="str">
            <v>OK</v>
          </cell>
          <cell r="F70">
            <v>17145915.54875987</v>
          </cell>
          <cell r="G70">
            <v>17145916</v>
          </cell>
          <cell r="H70" t="str">
            <v>OK</v>
          </cell>
          <cell r="I70">
            <v>0.46309538985736737</v>
          </cell>
          <cell r="J70">
            <v>0.47308000000000006</v>
          </cell>
          <cell r="K70">
            <v>-9.9846101426326883E-3</v>
          </cell>
          <cell r="L70" t="str">
            <v>SPOTF</v>
          </cell>
        </row>
        <row r="71">
          <cell r="B71" t="str">
            <v>SPOTI</v>
          </cell>
          <cell r="C71">
            <v>0</v>
          </cell>
          <cell r="D71">
            <v>0</v>
          </cell>
          <cell r="E71" t="str">
            <v>OK</v>
          </cell>
          <cell r="F71">
            <v>0</v>
          </cell>
          <cell r="G71">
            <v>0</v>
          </cell>
          <cell r="H71" t="str">
            <v>OK</v>
          </cell>
          <cell r="I71" t="str">
            <v xml:space="preserve">                      N/A</v>
          </cell>
          <cell r="J71">
            <v>0</v>
          </cell>
          <cell r="K71" t="str">
            <v>N/A</v>
          </cell>
          <cell r="L71" t="str">
            <v>SPOTI</v>
          </cell>
        </row>
        <row r="75">
          <cell r="B75" t="str">
            <v>Demand Charges</v>
          </cell>
          <cell r="C75" t="str">
            <v>Present</v>
          </cell>
          <cell r="D75" t="str">
            <v>Proposed</v>
          </cell>
        </row>
        <row r="76">
          <cell r="B76" t="str">
            <v>Total from Pipeline Charges</v>
          </cell>
          <cell r="C76">
            <v>0</v>
          </cell>
          <cell r="D76">
            <v>0</v>
          </cell>
          <cell r="E76">
            <v>0</v>
          </cell>
        </row>
        <row r="77">
          <cell r="B77" t="str">
            <v>Total from PGA Page</v>
          </cell>
          <cell r="C77">
            <v>0</v>
          </cell>
          <cell r="D77">
            <v>0</v>
          </cell>
          <cell r="E77">
            <v>0</v>
          </cell>
        </row>
        <row r="78">
          <cell r="B78" t="str">
            <v>Difference between the two</v>
          </cell>
          <cell r="C78">
            <v>0</v>
          </cell>
          <cell r="D78">
            <v>0</v>
          </cell>
          <cell r="E78">
            <v>0</v>
          </cell>
        </row>
        <row r="81">
          <cell r="D81" t="str">
            <v>Difference</v>
          </cell>
        </row>
        <row r="82">
          <cell r="B82" t="str">
            <v>Pipeline Volumetric Charges</v>
          </cell>
          <cell r="C82" t="str">
            <v>Proposed</v>
          </cell>
          <cell r="D82" t="str">
            <v>Pipeline to Wacog</v>
          </cell>
          <cell r="E82" t="str">
            <v>Wacog to PGA</v>
          </cell>
          <cell r="F82" t="str">
            <v>Pipeline to PGA</v>
          </cell>
        </row>
        <row r="83">
          <cell r="B83" t="str">
            <v>From Pipeline Charges</v>
          </cell>
          <cell r="C83">
            <v>2501570</v>
          </cell>
          <cell r="D83">
            <v>1</v>
          </cell>
        </row>
        <row r="84">
          <cell r="B84" t="str">
            <v>From Wacog Page</v>
          </cell>
          <cell r="C84">
            <v>2501569</v>
          </cell>
          <cell r="E84">
            <v>-1</v>
          </cell>
        </row>
        <row r="85">
          <cell r="B85" t="str">
            <v>From PGA Page</v>
          </cell>
          <cell r="C85">
            <v>2501570</v>
          </cell>
          <cell r="F85">
            <v>0</v>
          </cell>
        </row>
        <row r="88">
          <cell r="C88" t="str">
            <v>Laugh Test</v>
          </cell>
        </row>
        <row r="89">
          <cell r="C89" t="str">
            <v xml:space="preserve">                                                                                                                Does the Wacog make sense given the distribution of contract costs</v>
          </cell>
        </row>
        <row r="91">
          <cell r="E91" t="str">
            <v xml:space="preserve">Percent of </v>
          </cell>
          <cell r="F91" t="str">
            <v xml:space="preserve">Percent of </v>
          </cell>
          <cell r="G91" t="str">
            <v>Cost at plus</v>
          </cell>
          <cell r="H91" t="str">
            <v>Index Plus</v>
          </cell>
          <cell r="I91" t="str">
            <v>Cost at plus</v>
          </cell>
          <cell r="J91" t="str">
            <v>Index Plus</v>
          </cell>
          <cell r="K91" t="str">
            <v>Cost at plus</v>
          </cell>
          <cell r="L91" t="str">
            <v>Index Plus</v>
          </cell>
        </row>
        <row r="92">
          <cell r="C92" t="str">
            <v xml:space="preserve">Price </v>
          </cell>
          <cell r="D92" t="str">
            <v>Volumes in</v>
          </cell>
          <cell r="E92" t="str">
            <v>Gas in the</v>
          </cell>
          <cell r="F92" t="str">
            <v>Gas in and above</v>
          </cell>
          <cell r="G92">
            <v>0</v>
          </cell>
          <cell r="H92">
            <v>0</v>
          </cell>
          <cell r="I92">
            <v>0.02</v>
          </cell>
          <cell r="J92">
            <v>0.02</v>
          </cell>
          <cell r="K92">
            <v>0.05</v>
          </cell>
          <cell r="L92">
            <v>0.05</v>
          </cell>
        </row>
        <row r="93">
          <cell r="C93" t="str">
            <v>Category [1]</v>
          </cell>
          <cell r="D93" t="str">
            <v>Price category</v>
          </cell>
          <cell r="E93" t="str">
            <v>Price category</v>
          </cell>
          <cell r="F93" t="str">
            <v>Price Category</v>
          </cell>
        </row>
        <row r="94">
          <cell r="C94" t="str">
            <v>&gt;=0.825</v>
          </cell>
          <cell r="D94">
            <v>2535127.9389037839</v>
          </cell>
          <cell r="E94">
            <v>3.4568987717132288E-3</v>
          </cell>
          <cell r="F94">
            <v>3.4568987717132288E-3</v>
          </cell>
          <cell r="G94">
            <v>1045740.2747978108</v>
          </cell>
          <cell r="H94">
            <v>0.82499999999999996</v>
          </cell>
          <cell r="I94">
            <v>1071091.5541868487</v>
          </cell>
          <cell r="J94">
            <v>0.84499999999999997</v>
          </cell>
          <cell r="K94">
            <v>1109118.4732704055</v>
          </cell>
          <cell r="L94">
            <v>0.875</v>
          </cell>
        </row>
        <row r="95">
          <cell r="C95" t="str">
            <v>&gt;=0.800</v>
          </cell>
          <cell r="D95">
            <v>0</v>
          </cell>
          <cell r="E95">
            <v>0</v>
          </cell>
          <cell r="F95">
            <v>3.4568987717132288E-3</v>
          </cell>
          <cell r="G95">
            <v>0</v>
          </cell>
          <cell r="H95">
            <v>0.8</v>
          </cell>
          <cell r="I95">
            <v>0</v>
          </cell>
          <cell r="J95">
            <v>0.82000000000000006</v>
          </cell>
          <cell r="K95">
            <v>0</v>
          </cell>
          <cell r="L95">
            <v>0.85000000000000009</v>
          </cell>
        </row>
        <row r="96">
          <cell r="C96" t="str">
            <v>&gt;=0.775</v>
          </cell>
          <cell r="D96">
            <v>11380219.038721763</v>
          </cell>
          <cell r="E96">
            <v>1.5518059113732897E-2</v>
          </cell>
          <cell r="F96">
            <v>1.8974957885446127E-2</v>
          </cell>
          <cell r="G96">
            <v>8961922.4929933883</v>
          </cell>
          <cell r="H96">
            <v>0.77500000000000002</v>
          </cell>
          <cell r="I96">
            <v>9189526.8737678248</v>
          </cell>
          <cell r="J96">
            <v>0.79500000000000004</v>
          </cell>
          <cell r="K96">
            <v>9530933.4449294768</v>
          </cell>
          <cell r="L96">
            <v>0.82500000000000007</v>
          </cell>
        </row>
        <row r="97">
          <cell r="C97" t="str">
            <v>&gt;=0.750</v>
          </cell>
          <cell r="D97">
            <v>43339309.782039195</v>
          </cell>
          <cell r="E97">
            <v>5.909745399958552E-2</v>
          </cell>
          <cell r="F97">
            <v>7.807241188503164E-2</v>
          </cell>
          <cell r="G97">
            <v>33046223.708804883</v>
          </cell>
          <cell r="H97">
            <v>0.75</v>
          </cell>
          <cell r="I97">
            <v>33913009.904445671</v>
          </cell>
          <cell r="J97">
            <v>0.77</v>
          </cell>
          <cell r="K97">
            <v>35213189.197906844</v>
          </cell>
          <cell r="L97">
            <v>0.8</v>
          </cell>
        </row>
        <row r="98">
          <cell r="C98" t="str">
            <v>&gt;=0.725</v>
          </cell>
          <cell r="D98">
            <v>0</v>
          </cell>
          <cell r="E98">
            <v>0</v>
          </cell>
          <cell r="F98">
            <v>7.807241188503164E-2</v>
          </cell>
          <cell r="G98">
            <v>0</v>
          </cell>
          <cell r="H98">
            <v>0.72499999999999998</v>
          </cell>
          <cell r="I98">
            <v>0</v>
          </cell>
          <cell r="J98">
            <v>0.745</v>
          </cell>
          <cell r="K98">
            <v>0</v>
          </cell>
          <cell r="L98">
            <v>0.77500000000000002</v>
          </cell>
        </row>
        <row r="99">
          <cell r="C99" t="str">
            <v>&gt;=0.700</v>
          </cell>
          <cell r="D99">
            <v>5285965.7878848165</v>
          </cell>
          <cell r="E99">
            <v>7.2079394333678598E-3</v>
          </cell>
          <cell r="F99">
            <v>8.5280351318399505E-2</v>
          </cell>
          <cell r="G99">
            <v>3766250.6238679313</v>
          </cell>
          <cell r="H99">
            <v>0.7</v>
          </cell>
          <cell r="I99">
            <v>3871969.9396256278</v>
          </cell>
          <cell r="J99">
            <v>0.72</v>
          </cell>
          <cell r="K99">
            <v>4030548.9132621721</v>
          </cell>
          <cell r="L99">
            <v>0.75</v>
          </cell>
        </row>
        <row r="100">
          <cell r="C100" t="str">
            <v>&gt;=0.675</v>
          </cell>
          <cell r="D100">
            <v>0</v>
          </cell>
          <cell r="E100">
            <v>0</v>
          </cell>
          <cell r="F100">
            <v>8.5280351318399505E-2</v>
          </cell>
          <cell r="G100">
            <v>0</v>
          </cell>
          <cell r="H100">
            <v>0.67500000000000004</v>
          </cell>
          <cell r="I100">
            <v>0</v>
          </cell>
          <cell r="J100">
            <v>0.69500000000000006</v>
          </cell>
          <cell r="K100">
            <v>0</v>
          </cell>
          <cell r="L100">
            <v>0.72500000000000009</v>
          </cell>
        </row>
        <row r="101">
          <cell r="C101" t="str">
            <v>&gt;=0.650</v>
          </cell>
          <cell r="D101">
            <v>0</v>
          </cell>
          <cell r="E101">
            <v>0</v>
          </cell>
          <cell r="F101">
            <v>8.5280351318399505E-2</v>
          </cell>
          <cell r="G101">
            <v>0</v>
          </cell>
          <cell r="H101">
            <v>0.65</v>
          </cell>
          <cell r="I101">
            <v>0</v>
          </cell>
          <cell r="J101">
            <v>0.67</v>
          </cell>
          <cell r="K101">
            <v>0</v>
          </cell>
          <cell r="L101">
            <v>0.70000000000000007</v>
          </cell>
        </row>
        <row r="102">
          <cell r="C102" t="str">
            <v>&gt;=0.625</v>
          </cell>
          <cell r="D102">
            <v>0</v>
          </cell>
          <cell r="E102">
            <v>0</v>
          </cell>
          <cell r="F102">
            <v>8.5280351318399505E-2</v>
          </cell>
          <cell r="G102">
            <v>0</v>
          </cell>
          <cell r="H102">
            <v>0.625</v>
          </cell>
          <cell r="I102">
            <v>0</v>
          </cell>
          <cell r="J102">
            <v>0.64500000000000002</v>
          </cell>
          <cell r="K102">
            <v>0</v>
          </cell>
          <cell r="L102">
            <v>0.67500000000000004</v>
          </cell>
        </row>
        <row r="103">
          <cell r="C103" t="str">
            <v>&gt;=0.650</v>
          </cell>
          <cell r="D103">
            <v>0</v>
          </cell>
          <cell r="E103">
            <v>0</v>
          </cell>
          <cell r="F103">
            <v>8.5280351318399505E-2</v>
          </cell>
          <cell r="G103">
            <v>0</v>
          </cell>
          <cell r="H103">
            <v>0.65</v>
          </cell>
          <cell r="I103">
            <v>0</v>
          </cell>
          <cell r="J103">
            <v>0.67</v>
          </cell>
          <cell r="K103">
            <v>0</v>
          </cell>
          <cell r="L103">
            <v>0.70000000000000007</v>
          </cell>
        </row>
        <row r="104">
          <cell r="C104" t="str">
            <v>&gt;=0.575</v>
          </cell>
          <cell r="D104">
            <v>116871511.54488726</v>
          </cell>
          <cell r="E104">
            <v>0.15936591542693054</v>
          </cell>
          <cell r="F104">
            <v>0.24464626674533005</v>
          </cell>
          <cell r="G104">
            <v>71583800.82124345</v>
          </cell>
          <cell r="H104">
            <v>0.57499999999999996</v>
          </cell>
          <cell r="I104">
            <v>73921231.052141204</v>
          </cell>
          <cell r="J104">
            <v>0.59499999999999997</v>
          </cell>
          <cell r="K104">
            <v>77427376.398487821</v>
          </cell>
          <cell r="L104">
            <v>0.625</v>
          </cell>
        </row>
        <row r="105">
          <cell r="C105" t="str">
            <v>&gt;=0.550</v>
          </cell>
          <cell r="D105">
            <v>96942205.104228824</v>
          </cell>
          <cell r="E105">
            <v>0.1321903264167763</v>
          </cell>
          <cell r="F105">
            <v>0.37683659316210638</v>
          </cell>
          <cell r="G105">
            <v>54529990.371128716</v>
          </cell>
          <cell r="H105">
            <v>0.55000000000000004</v>
          </cell>
          <cell r="I105">
            <v>56468834.473213293</v>
          </cell>
          <cell r="J105">
            <v>0.57000000000000006</v>
          </cell>
          <cell r="K105">
            <v>59377100.626340158</v>
          </cell>
          <cell r="L105">
            <v>0.60000000000000009</v>
          </cell>
        </row>
        <row r="106">
          <cell r="C106" t="str">
            <v>&gt;=0.525</v>
          </cell>
          <cell r="D106">
            <v>22761642.92091167</v>
          </cell>
          <cell r="E106">
            <v>3.1037761151217778E-2</v>
          </cell>
          <cell r="F106">
            <v>0.40787435431332414</v>
          </cell>
          <cell r="G106">
            <v>12234383.069990024</v>
          </cell>
          <cell r="H106">
            <v>0.52500000000000002</v>
          </cell>
          <cell r="I106">
            <v>12689615.928408258</v>
          </cell>
          <cell r="J106">
            <v>0.54500000000000004</v>
          </cell>
          <cell r="K106">
            <v>13372465.216035608</v>
          </cell>
          <cell r="L106">
            <v>0.57500000000000007</v>
          </cell>
        </row>
        <row r="107">
          <cell r="C107" t="str">
            <v>&gt;=0.500</v>
          </cell>
          <cell r="D107">
            <v>0</v>
          </cell>
          <cell r="E107">
            <v>0</v>
          </cell>
          <cell r="F107">
            <v>0.40787435431332414</v>
          </cell>
          <cell r="G107">
            <v>0</v>
          </cell>
          <cell r="H107">
            <v>0.5</v>
          </cell>
          <cell r="I107">
            <v>0</v>
          </cell>
          <cell r="J107">
            <v>0.52</v>
          </cell>
          <cell r="K107">
            <v>0</v>
          </cell>
          <cell r="L107">
            <v>0.55000000000000004</v>
          </cell>
        </row>
        <row r="108">
          <cell r="C108" t="str">
            <v>&gt;=0.475</v>
          </cell>
          <cell r="D108">
            <v>35027895.043155551</v>
          </cell>
          <cell r="E108">
            <v>4.7764014388458828E-2</v>
          </cell>
          <cell r="F108">
            <v>0.45563836870178298</v>
          </cell>
          <cell r="G108">
            <v>17076098.833538331</v>
          </cell>
          <cell r="H108">
            <v>0.47499999999999998</v>
          </cell>
          <cell r="I108">
            <v>17776656.734401446</v>
          </cell>
          <cell r="J108">
            <v>0.495</v>
          </cell>
          <cell r="K108">
            <v>18827493.585696112</v>
          </cell>
          <cell r="L108">
            <v>0.52500000000000002</v>
          </cell>
        </row>
        <row r="109">
          <cell r="C109" t="str">
            <v>&gt;=0.450</v>
          </cell>
          <cell r="D109">
            <v>201807710.85330302</v>
          </cell>
          <cell r="E109">
            <v>0.2751848603241317</v>
          </cell>
          <cell r="F109">
            <v>0.73082322902591468</v>
          </cell>
          <cell r="G109">
            <v>93336066.26965265</v>
          </cell>
          <cell r="H109">
            <v>0.45</v>
          </cell>
          <cell r="I109">
            <v>97372220.486718714</v>
          </cell>
          <cell r="J109">
            <v>0.47000000000000003</v>
          </cell>
          <cell r="K109">
            <v>103426451.81231779</v>
          </cell>
          <cell r="L109">
            <v>0.5</v>
          </cell>
        </row>
        <row r="110">
          <cell r="C110" t="str">
            <v>&gt;=0.425</v>
          </cell>
          <cell r="D110">
            <v>100328923.00000006</v>
          </cell>
          <cell r="E110">
            <v>0.13680845268739492</v>
          </cell>
          <cell r="F110">
            <v>0.86763168171330962</v>
          </cell>
          <cell r="G110">
            <v>43893903.81250003</v>
          </cell>
          <cell r="H110">
            <v>0.42499999999999999</v>
          </cell>
          <cell r="I110">
            <v>45900482.272500031</v>
          </cell>
          <cell r="J110">
            <v>0.44500000000000001</v>
          </cell>
          <cell r="K110">
            <v>48910349.962500028</v>
          </cell>
          <cell r="L110">
            <v>0.47499999999999998</v>
          </cell>
        </row>
        <row r="111">
          <cell r="C111" t="str">
            <v>&gt;=0.400</v>
          </cell>
          <cell r="D111">
            <v>0</v>
          </cell>
          <cell r="E111">
            <v>0</v>
          </cell>
          <cell r="F111">
            <v>0.86763168171330962</v>
          </cell>
          <cell r="G111">
            <v>0</v>
          </cell>
          <cell r="H111">
            <v>0.4</v>
          </cell>
          <cell r="I111">
            <v>0</v>
          </cell>
          <cell r="J111">
            <v>0.42000000000000004</v>
          </cell>
          <cell r="K111">
            <v>0</v>
          </cell>
          <cell r="L111">
            <v>0.45</v>
          </cell>
        </row>
        <row r="112">
          <cell r="C112" t="str">
            <v>&gt;=0.375</v>
          </cell>
          <cell r="D112">
            <v>97072736.01997602</v>
          </cell>
          <cell r="E112">
            <v>0.13236831828669043</v>
          </cell>
          <cell r="F112">
            <v>1</v>
          </cell>
          <cell r="G112">
            <v>37615685.207740709</v>
          </cell>
          <cell r="H112">
            <v>0.375</v>
          </cell>
          <cell r="I112">
            <v>39557139.92814023</v>
          </cell>
          <cell r="J112">
            <v>0.39500000000000002</v>
          </cell>
          <cell r="K112">
            <v>42469322.008739509</v>
          </cell>
          <cell r="L112">
            <v>0.42499999999999999</v>
          </cell>
        </row>
        <row r="113">
          <cell r="C113" t="str">
            <v>&gt;=0.350</v>
          </cell>
          <cell r="D113">
            <v>0</v>
          </cell>
          <cell r="E113">
            <v>0</v>
          </cell>
          <cell r="F113">
            <v>1</v>
          </cell>
          <cell r="G113">
            <v>0</v>
          </cell>
          <cell r="H113">
            <v>0.35</v>
          </cell>
          <cell r="I113">
            <v>0</v>
          </cell>
          <cell r="J113">
            <v>0.37</v>
          </cell>
          <cell r="K113">
            <v>0</v>
          </cell>
          <cell r="L113">
            <v>0.39999999999999997</v>
          </cell>
        </row>
        <row r="114">
          <cell r="C114" t="str">
            <v>&gt;=0.325</v>
          </cell>
          <cell r="D114">
            <v>0</v>
          </cell>
          <cell r="E114">
            <v>0</v>
          </cell>
          <cell r="F114">
            <v>1</v>
          </cell>
          <cell r="G114">
            <v>0</v>
          </cell>
          <cell r="H114">
            <v>0.32500000000000001</v>
          </cell>
          <cell r="I114">
            <v>0</v>
          </cell>
          <cell r="J114">
            <v>0.34500000000000003</v>
          </cell>
          <cell r="K114">
            <v>0</v>
          </cell>
          <cell r="L114">
            <v>0.375</v>
          </cell>
        </row>
        <row r="115">
          <cell r="C115" t="str">
            <v>&gt;=0.300</v>
          </cell>
          <cell r="D115">
            <v>0</v>
          </cell>
          <cell r="E115">
            <v>0</v>
          </cell>
          <cell r="F115">
            <v>1</v>
          </cell>
          <cell r="G115">
            <v>0</v>
          </cell>
          <cell r="H115">
            <v>0.3</v>
          </cell>
          <cell r="I115">
            <v>0</v>
          </cell>
          <cell r="J115">
            <v>0.32</v>
          </cell>
          <cell r="K115">
            <v>0</v>
          </cell>
          <cell r="L115">
            <v>0.35</v>
          </cell>
        </row>
        <row r="116">
          <cell r="C116" t="str">
            <v>&gt;=0.275</v>
          </cell>
          <cell r="D116">
            <v>0</v>
          </cell>
          <cell r="E116">
            <v>0</v>
          </cell>
          <cell r="F116">
            <v>1</v>
          </cell>
          <cell r="G116">
            <v>0</v>
          </cell>
          <cell r="H116">
            <v>0.27500000000000002</v>
          </cell>
          <cell r="I116">
            <v>0</v>
          </cell>
          <cell r="J116">
            <v>0.29500000000000004</v>
          </cell>
          <cell r="K116">
            <v>0</v>
          </cell>
          <cell r="L116">
            <v>0.32500000000000001</v>
          </cell>
        </row>
        <row r="117">
          <cell r="C117" t="str">
            <v>&gt;=0.250</v>
          </cell>
          <cell r="D117">
            <v>0</v>
          </cell>
          <cell r="E117">
            <v>0</v>
          </cell>
          <cell r="F117">
            <v>1</v>
          </cell>
          <cell r="G117">
            <v>0</v>
          </cell>
          <cell r="H117">
            <v>0.25</v>
          </cell>
          <cell r="I117">
            <v>0</v>
          </cell>
          <cell r="J117">
            <v>0.27</v>
          </cell>
          <cell r="K117">
            <v>0</v>
          </cell>
          <cell r="L117">
            <v>0.3</v>
          </cell>
        </row>
        <row r="118">
          <cell r="C118" t="str">
            <v>&gt;=0.225</v>
          </cell>
          <cell r="D118">
            <v>0</v>
          </cell>
          <cell r="E118">
            <v>0</v>
          </cell>
          <cell r="F118">
            <v>1</v>
          </cell>
          <cell r="G118">
            <v>0</v>
          </cell>
          <cell r="H118">
            <v>0.22500000000000001</v>
          </cell>
          <cell r="I118">
            <v>0</v>
          </cell>
          <cell r="J118">
            <v>0.245</v>
          </cell>
          <cell r="K118">
            <v>0</v>
          </cell>
          <cell r="L118">
            <v>0.27500000000000002</v>
          </cell>
        </row>
        <row r="119">
          <cell r="C119" t="str">
            <v>&gt;=0.200</v>
          </cell>
          <cell r="D119">
            <v>0</v>
          </cell>
          <cell r="E119">
            <v>0</v>
          </cell>
          <cell r="F119">
            <v>1</v>
          </cell>
          <cell r="G119">
            <v>0</v>
          </cell>
          <cell r="H119">
            <v>0.2</v>
          </cell>
          <cell r="I119">
            <v>0</v>
          </cell>
          <cell r="J119">
            <v>0.22</v>
          </cell>
          <cell r="K119">
            <v>0</v>
          </cell>
          <cell r="L119">
            <v>0.25</v>
          </cell>
        </row>
        <row r="120">
          <cell r="D120">
            <v>733353247.03401196</v>
          </cell>
          <cell r="E120">
            <v>0.13236831828669043</v>
          </cell>
          <cell r="G120">
            <v>377090065.48625785</v>
          </cell>
          <cell r="I120">
            <v>391731779.14754915</v>
          </cell>
          <cell r="K120">
            <v>413694349.63948596</v>
          </cell>
        </row>
        <row r="121">
          <cell r="D121">
            <v>733353247.03401208</v>
          </cell>
          <cell r="G121">
            <v>0.51419976254467847</v>
          </cell>
          <cell r="I121">
            <v>0.53416519355696146</v>
          </cell>
          <cell r="K121">
            <v>0.56411334007538572</v>
          </cell>
        </row>
        <row r="122">
          <cell r="D122">
            <v>0</v>
          </cell>
          <cell r="G122" t="str">
            <v>wacog at plus</v>
          </cell>
          <cell r="I122" t="str">
            <v>wacog at plus</v>
          </cell>
          <cell r="K122" t="str">
            <v>wacog at plus</v>
          </cell>
        </row>
        <row r="123">
          <cell r="G123">
            <v>0</v>
          </cell>
          <cell r="I123">
            <v>0.02</v>
          </cell>
          <cell r="K123">
            <v>0.05</v>
          </cell>
        </row>
        <row r="124">
          <cell r="C124" t="str">
            <v>[1]  Read categories as greater than or equal to "X" but less than "Y", above.</v>
          </cell>
        </row>
        <row r="125">
          <cell r="I125">
            <v>0.51712567106478158</v>
          </cell>
        </row>
        <row r="126">
          <cell r="I126" t="str">
            <v>Actual Wacog</v>
          </cell>
        </row>
      </sheetData>
      <sheetData sheetId="10" refreshError="1">
        <row r="5">
          <cell r="C5" t="str">
            <v xml:space="preserve">NORTHWEST NATURAL GAS </v>
          </cell>
          <cell r="P5">
            <v>0.39773000000000053</v>
          </cell>
          <cell r="AI5">
            <v>31371054.446440294</v>
          </cell>
          <cell r="AJ5">
            <v>0.44963999999999998</v>
          </cell>
        </row>
        <row r="6">
          <cell r="C6" t="str">
            <v>WACOG Summary</v>
          </cell>
          <cell r="AI6">
            <v>119167734.22158545</v>
          </cell>
          <cell r="AJ6">
            <v>0.53</v>
          </cell>
        </row>
        <row r="7">
          <cell r="P7">
            <v>0.43986999999999982</v>
          </cell>
          <cell r="R7" t="e">
            <v>#DIV/0!</v>
          </cell>
        </row>
        <row r="9">
          <cell r="D9" t="str">
            <v xml:space="preserve">          OCTOBER </v>
          </cell>
          <cell r="F9" t="str">
            <v xml:space="preserve">          NOVEMBER</v>
          </cell>
          <cell r="H9" t="str">
            <v xml:space="preserve">          DECEMBER</v>
          </cell>
          <cell r="J9" t="str">
            <v xml:space="preserve">          JANUARY</v>
          </cell>
          <cell r="L9" t="str">
            <v xml:space="preserve">          FEBRUARY</v>
          </cell>
          <cell r="N9" t="str">
            <v xml:space="preserve">          MARCH</v>
          </cell>
          <cell r="P9" t="str">
            <v xml:space="preserve">          APRIL</v>
          </cell>
          <cell r="R9" t="str">
            <v xml:space="preserve">            MAY</v>
          </cell>
          <cell r="T9" t="str">
            <v xml:space="preserve">           JUNE </v>
          </cell>
          <cell r="V9" t="str">
            <v xml:space="preserve">           JULY </v>
          </cell>
          <cell r="X9" t="str">
            <v xml:space="preserve">           AUGUST </v>
          </cell>
          <cell r="Z9" t="str">
            <v xml:space="preserve">          SEPTEMBER </v>
          </cell>
          <cell r="AB9" t="str">
            <v xml:space="preserve">          TOTAL </v>
          </cell>
          <cell r="AC9" t="str">
            <v xml:space="preserve">          TOTAL </v>
          </cell>
          <cell r="AD9" t="str">
            <v>AVERAGE</v>
          </cell>
        </row>
        <row r="10">
          <cell r="C10" t="str">
            <v>Supply Source</v>
          </cell>
          <cell r="D10" t="str">
            <v>Volumes</v>
          </cell>
          <cell r="E10" t="str">
            <v>Cost</v>
          </cell>
          <cell r="F10" t="str">
            <v>Volumes</v>
          </cell>
          <cell r="G10" t="str">
            <v>Cost</v>
          </cell>
          <cell r="H10" t="str">
            <v>Volumes</v>
          </cell>
          <cell r="I10" t="str">
            <v>Cost</v>
          </cell>
          <cell r="J10" t="str">
            <v>Volumes</v>
          </cell>
          <cell r="K10" t="str">
            <v>Cost</v>
          </cell>
          <cell r="L10" t="str">
            <v>Volumes</v>
          </cell>
          <cell r="M10" t="str">
            <v>Cost</v>
          </cell>
          <cell r="N10" t="str">
            <v>Volumes</v>
          </cell>
          <cell r="O10" t="str">
            <v>Cost</v>
          </cell>
          <cell r="P10" t="str">
            <v>Volumes</v>
          </cell>
          <cell r="Q10" t="str">
            <v>Cost</v>
          </cell>
          <cell r="R10" t="str">
            <v>Volumes</v>
          </cell>
          <cell r="S10" t="str">
            <v>Cost</v>
          </cell>
          <cell r="T10" t="str">
            <v>Volumes</v>
          </cell>
          <cell r="U10" t="str">
            <v>Cost</v>
          </cell>
          <cell r="V10" t="str">
            <v>Volumes</v>
          </cell>
          <cell r="W10" t="str">
            <v>Cost</v>
          </cell>
          <cell r="X10" t="str">
            <v>Volumes</v>
          </cell>
          <cell r="Y10" t="str">
            <v>Cost</v>
          </cell>
          <cell r="Z10" t="str">
            <v>Volumes</v>
          </cell>
          <cell r="AA10" t="str">
            <v>Cost</v>
          </cell>
          <cell r="AB10" t="str">
            <v>Volumes</v>
          </cell>
          <cell r="AC10" t="str">
            <v>Cost</v>
          </cell>
          <cell r="AD10" t="str">
            <v>COST</v>
          </cell>
          <cell r="AF10" t="str">
            <v>PRICE</v>
          </cell>
        </row>
        <row r="11">
          <cell r="AF11" t="str">
            <v>CHECK</v>
          </cell>
        </row>
        <row r="12">
          <cell r="C12" t="str">
            <v>Storage</v>
          </cell>
          <cell r="AG12" t="str">
            <v>Storage</v>
          </cell>
        </row>
        <row r="13">
          <cell r="C13" t="str">
            <v>Mist</v>
          </cell>
          <cell r="D13">
            <v>5024371</v>
          </cell>
          <cell r="E13">
            <v>2242326.5335900001</v>
          </cell>
          <cell r="F13">
            <v>20241101</v>
          </cell>
          <cell r="G13">
            <v>9033400.9652900007</v>
          </cell>
          <cell r="H13">
            <v>27483343</v>
          </cell>
          <cell r="I13">
            <v>12265541.147469997</v>
          </cell>
          <cell r="J13">
            <v>30227347</v>
          </cell>
          <cell r="K13">
            <v>13490162.692630002</v>
          </cell>
          <cell r="L13">
            <v>6655018</v>
          </cell>
          <cell r="M13">
            <v>2970067.9832199994</v>
          </cell>
          <cell r="N13">
            <v>738900</v>
          </cell>
          <cell r="O13">
            <v>329763.68099999998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90370080</v>
          </cell>
          <cell r="AC13">
            <v>40331263.003199995</v>
          </cell>
          <cell r="AD13">
            <v>0.44629000000000002</v>
          </cell>
          <cell r="AE13">
            <v>0</v>
          </cell>
          <cell r="AF13" t="str">
            <v xml:space="preserve">    OK</v>
          </cell>
          <cell r="AG13" t="str">
            <v>Mist</v>
          </cell>
          <cell r="AJ13">
            <v>0</v>
          </cell>
        </row>
        <row r="14">
          <cell r="C14" t="str">
            <v>SGS-1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 t="str">
            <v xml:space="preserve">                   N/A</v>
          </cell>
          <cell r="AE14">
            <v>0</v>
          </cell>
          <cell r="AF14" t="str">
            <v xml:space="preserve">    N/A</v>
          </cell>
          <cell r="AG14" t="str">
            <v>SGS-1</v>
          </cell>
        </row>
        <row r="15">
          <cell r="C15" t="str">
            <v>SGS-2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2334536</v>
          </cell>
          <cell r="I15">
            <v>1089434.5697600001</v>
          </cell>
          <cell r="J15">
            <v>4005240</v>
          </cell>
          <cell r="K15">
            <v>1869085.2983999997</v>
          </cell>
          <cell r="L15">
            <v>2797207</v>
          </cell>
          <cell r="M15">
            <v>1305344.6186199998</v>
          </cell>
          <cell r="N15">
            <v>1621468</v>
          </cell>
          <cell r="O15">
            <v>756674.25688000012</v>
          </cell>
          <cell r="P15">
            <v>444416</v>
          </cell>
          <cell r="Q15">
            <v>207391.17056000003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11202867</v>
          </cell>
          <cell r="AC15">
            <v>5227929.9142199997</v>
          </cell>
          <cell r="AD15">
            <v>0.46666000000000002</v>
          </cell>
          <cell r="AE15">
            <v>0</v>
          </cell>
          <cell r="AF15" t="str">
            <v xml:space="preserve">    OK</v>
          </cell>
          <cell r="AG15" t="str">
            <v>SGS-2</v>
          </cell>
        </row>
        <row r="16">
          <cell r="C16" t="str">
            <v>Gasco</v>
          </cell>
          <cell r="D16">
            <v>62000</v>
          </cell>
          <cell r="E16">
            <v>24659.259999999984</v>
          </cell>
          <cell r="F16">
            <v>60000</v>
          </cell>
          <cell r="G16">
            <v>23863.799999999985</v>
          </cell>
          <cell r="H16">
            <v>62000</v>
          </cell>
          <cell r="I16">
            <v>24659.259999999984</v>
          </cell>
          <cell r="J16">
            <v>544578</v>
          </cell>
          <cell r="K16">
            <v>216595.00793999978</v>
          </cell>
          <cell r="L16">
            <v>56000</v>
          </cell>
          <cell r="M16">
            <v>22272.879999999986</v>
          </cell>
          <cell r="N16">
            <v>1208117</v>
          </cell>
          <cell r="O16">
            <v>480504.37441000005</v>
          </cell>
          <cell r="P16">
            <v>855608</v>
          </cell>
          <cell r="Q16">
            <v>340300.96984000044</v>
          </cell>
          <cell r="R16">
            <v>62000</v>
          </cell>
          <cell r="S16">
            <v>24659.259999999984</v>
          </cell>
          <cell r="T16">
            <v>60000</v>
          </cell>
          <cell r="U16">
            <v>23863.799999999985</v>
          </cell>
          <cell r="V16">
            <v>62000</v>
          </cell>
          <cell r="W16">
            <v>24659.259999999984</v>
          </cell>
          <cell r="X16">
            <v>62000</v>
          </cell>
          <cell r="Y16">
            <v>24659.259999999984</v>
          </cell>
          <cell r="Z16">
            <v>60000</v>
          </cell>
          <cell r="AA16">
            <v>23863.799999999985</v>
          </cell>
          <cell r="AB16">
            <v>3154303</v>
          </cell>
          <cell r="AC16">
            <v>1254560.9321900003</v>
          </cell>
          <cell r="AD16">
            <v>0.39772999999999997</v>
          </cell>
          <cell r="AE16">
            <v>0</v>
          </cell>
          <cell r="AF16" t="str">
            <v xml:space="preserve">    OK</v>
          </cell>
          <cell r="AG16" t="str">
            <v>Gasco</v>
          </cell>
        </row>
        <row r="17">
          <cell r="C17" t="str">
            <v>LS-1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1248345</v>
          </cell>
          <cell r="K17">
            <v>678425.57370000007</v>
          </cell>
          <cell r="L17">
            <v>1129916</v>
          </cell>
          <cell r="M17">
            <v>614064.14936000016</v>
          </cell>
          <cell r="N17">
            <v>1059002</v>
          </cell>
          <cell r="O17">
            <v>575525.22692000004</v>
          </cell>
          <cell r="P17">
            <v>1351729</v>
          </cell>
          <cell r="Q17">
            <v>734610.64234000002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4788992</v>
          </cell>
          <cell r="AC17">
            <v>2602625.5923200003</v>
          </cell>
          <cell r="AD17">
            <v>0.54346000000000005</v>
          </cell>
          <cell r="AE17">
            <v>0</v>
          </cell>
          <cell r="AF17" t="str">
            <v xml:space="preserve">    OK</v>
          </cell>
          <cell r="AG17" t="str">
            <v>LS-1</v>
          </cell>
        </row>
        <row r="18">
          <cell r="C18" t="str">
            <v>Newport</v>
          </cell>
          <cell r="D18">
            <v>155000</v>
          </cell>
          <cell r="E18">
            <v>68179.849999999977</v>
          </cell>
          <cell r="F18">
            <v>150000</v>
          </cell>
          <cell r="G18">
            <v>65980.499999999971</v>
          </cell>
          <cell r="H18">
            <v>155000</v>
          </cell>
          <cell r="I18">
            <v>68179.849999999977</v>
          </cell>
          <cell r="J18">
            <v>1345000</v>
          </cell>
          <cell r="K18">
            <v>591625.14999999944</v>
          </cell>
          <cell r="L18">
            <v>2327141</v>
          </cell>
          <cell r="M18">
            <v>1023639.5116699997</v>
          </cell>
          <cell r="N18">
            <v>3308910</v>
          </cell>
          <cell r="O18">
            <v>1455490.2416999997</v>
          </cell>
          <cell r="P18">
            <v>1752792</v>
          </cell>
          <cell r="Q18">
            <v>771000.61703999969</v>
          </cell>
          <cell r="R18">
            <v>155000</v>
          </cell>
          <cell r="S18">
            <v>68179.849999999977</v>
          </cell>
          <cell r="T18">
            <v>150000</v>
          </cell>
          <cell r="U18">
            <v>65980.499999999971</v>
          </cell>
          <cell r="V18">
            <v>155000</v>
          </cell>
          <cell r="W18">
            <v>68179.849999999977</v>
          </cell>
          <cell r="X18">
            <v>155000</v>
          </cell>
          <cell r="Y18">
            <v>68179.849999999977</v>
          </cell>
          <cell r="Z18">
            <v>150000</v>
          </cell>
          <cell r="AA18">
            <v>65980.499999999971</v>
          </cell>
          <cell r="AB18">
            <v>9958843</v>
          </cell>
          <cell r="AC18">
            <v>4380596.2704099976</v>
          </cell>
          <cell r="AD18">
            <v>0.43986999999999998</v>
          </cell>
          <cell r="AE18">
            <v>0</v>
          </cell>
          <cell r="AF18" t="str">
            <v xml:space="preserve">    OK</v>
          </cell>
          <cell r="AG18" t="str">
            <v>Newport</v>
          </cell>
        </row>
        <row r="19">
          <cell r="C19" t="str">
            <v>Engage1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 t="str">
            <v xml:space="preserve">                   N/A</v>
          </cell>
          <cell r="AE19">
            <v>0</v>
          </cell>
          <cell r="AF19" t="str">
            <v xml:space="preserve">    N/A</v>
          </cell>
          <cell r="AG19" t="str">
            <v>Engage1</v>
          </cell>
        </row>
        <row r="20">
          <cell r="C20" t="str">
            <v>Engage2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 t="str">
            <v xml:space="preserve">                   N/A</v>
          </cell>
          <cell r="AE20">
            <v>0</v>
          </cell>
          <cell r="AF20" t="str">
            <v xml:space="preserve">    N/A</v>
          </cell>
          <cell r="AG20" t="str">
            <v>Engage2</v>
          </cell>
        </row>
        <row r="21">
          <cell r="C21" t="str">
            <v>Engage3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 t="str">
            <v xml:space="preserve">                   N/A</v>
          </cell>
          <cell r="AE21">
            <v>0</v>
          </cell>
          <cell r="AF21" t="str">
            <v xml:space="preserve">    N/A</v>
          </cell>
          <cell r="AG21" t="str">
            <v>Engage3</v>
          </cell>
        </row>
        <row r="22">
          <cell r="C22" t="str">
            <v>Total</v>
          </cell>
          <cell r="D22">
            <v>5241371</v>
          </cell>
          <cell r="E22">
            <v>2335165.64359</v>
          </cell>
          <cell r="F22">
            <v>20451101</v>
          </cell>
          <cell r="G22">
            <v>9123245.2652900014</v>
          </cell>
          <cell r="H22">
            <v>30034879</v>
          </cell>
          <cell r="I22">
            <v>13447814.827229997</v>
          </cell>
          <cell r="J22">
            <v>37370510</v>
          </cell>
          <cell r="K22">
            <v>16845893.72267</v>
          </cell>
          <cell r="L22">
            <v>12965282</v>
          </cell>
          <cell r="M22">
            <v>5935389.1428699987</v>
          </cell>
          <cell r="N22">
            <v>7936397</v>
          </cell>
          <cell r="O22">
            <v>3597957.7809099997</v>
          </cell>
          <cell r="P22">
            <v>4404545</v>
          </cell>
          <cell r="Q22">
            <v>2053303.3997800003</v>
          </cell>
          <cell r="R22">
            <v>217000</v>
          </cell>
          <cell r="S22">
            <v>92839.109999999957</v>
          </cell>
          <cell r="T22">
            <v>210000</v>
          </cell>
          <cell r="U22">
            <v>89844.299999999959</v>
          </cell>
          <cell r="V22">
            <v>217000</v>
          </cell>
          <cell r="W22">
            <v>92839.109999999957</v>
          </cell>
          <cell r="X22">
            <v>217000</v>
          </cell>
          <cell r="Y22">
            <v>92839.109999999957</v>
          </cell>
          <cell r="Z22">
            <v>210000</v>
          </cell>
          <cell r="AA22">
            <v>89844.299999999959</v>
          </cell>
          <cell r="AB22">
            <v>119475085</v>
          </cell>
          <cell r="AC22">
            <v>53796975.712339997</v>
          </cell>
          <cell r="AD22">
            <v>0.45027777726494189</v>
          </cell>
          <cell r="AE22">
            <v>0</v>
          </cell>
          <cell r="AF22" t="str">
            <v xml:space="preserve"> </v>
          </cell>
        </row>
        <row r="23">
          <cell r="E23">
            <v>0.38008665398613845</v>
          </cell>
        </row>
        <row r="24">
          <cell r="D24">
            <v>21350320</v>
          </cell>
          <cell r="E24">
            <v>8114971.690333331</v>
          </cell>
        </row>
        <row r="25">
          <cell r="C25" t="str">
            <v>Portfolio Supplies</v>
          </cell>
          <cell r="D25" t="str">
            <v xml:space="preserve">          OCTOBER </v>
          </cell>
          <cell r="F25" t="str">
            <v xml:space="preserve">          NOVEMBER</v>
          </cell>
          <cell r="H25" t="str">
            <v xml:space="preserve">          DECEMBER</v>
          </cell>
          <cell r="J25" t="str">
            <v xml:space="preserve">          JANUARY</v>
          </cell>
          <cell r="L25" t="str">
            <v xml:space="preserve">          FEBRUARY</v>
          </cell>
          <cell r="N25" t="str">
            <v xml:space="preserve">          MARCH</v>
          </cell>
          <cell r="P25" t="str">
            <v xml:space="preserve">          APRIL</v>
          </cell>
          <cell r="R25" t="str">
            <v xml:space="preserve">            MAY</v>
          </cell>
          <cell r="T25" t="str">
            <v xml:space="preserve">           JUNE </v>
          </cell>
          <cell r="V25" t="str">
            <v xml:space="preserve">           JULY </v>
          </cell>
          <cell r="X25" t="str">
            <v xml:space="preserve">           AUGUST </v>
          </cell>
          <cell r="Z25" t="str">
            <v xml:space="preserve">          SEPTEMBER </v>
          </cell>
          <cell r="AB25" t="str">
            <v xml:space="preserve">          TOTAL </v>
          </cell>
          <cell r="AD25" t="str">
            <v>AVERAGE</v>
          </cell>
        </row>
        <row r="26">
          <cell r="D26" t="str">
            <v>Volumes</v>
          </cell>
          <cell r="E26" t="str">
            <v>Cost</v>
          </cell>
          <cell r="F26" t="str">
            <v>Volumes</v>
          </cell>
          <cell r="G26" t="str">
            <v>Cost</v>
          </cell>
          <cell r="H26" t="str">
            <v>Volumes</v>
          </cell>
          <cell r="I26" t="str">
            <v>Cost</v>
          </cell>
          <cell r="J26" t="str">
            <v>Volumes</v>
          </cell>
          <cell r="K26" t="str">
            <v>Cost</v>
          </cell>
          <cell r="L26" t="str">
            <v>Volumes</v>
          </cell>
          <cell r="M26" t="str">
            <v>Cost</v>
          </cell>
          <cell r="N26" t="str">
            <v>Volumes</v>
          </cell>
          <cell r="O26" t="str">
            <v>Cost</v>
          </cell>
          <cell r="P26" t="str">
            <v>Volumes</v>
          </cell>
          <cell r="Q26" t="str">
            <v>Cost</v>
          </cell>
          <cell r="R26" t="str">
            <v>Volumes</v>
          </cell>
          <cell r="S26" t="str">
            <v>Cost</v>
          </cell>
          <cell r="T26" t="str">
            <v>Volumes</v>
          </cell>
          <cell r="U26" t="str">
            <v>Cost</v>
          </cell>
          <cell r="V26" t="str">
            <v>Volumes</v>
          </cell>
          <cell r="W26" t="str">
            <v>Cost</v>
          </cell>
          <cell r="X26" t="str">
            <v>Volumes</v>
          </cell>
          <cell r="Y26" t="str">
            <v>Cost</v>
          </cell>
          <cell r="Z26" t="str">
            <v>Volumes</v>
          </cell>
          <cell r="AA26" t="str">
            <v>Cost</v>
          </cell>
          <cell r="AB26" t="str">
            <v>Volumes</v>
          </cell>
          <cell r="AC26" t="str">
            <v>Cost</v>
          </cell>
          <cell r="AD26" t="str">
            <v>COST</v>
          </cell>
          <cell r="AE26" t="str">
            <v xml:space="preserve">   MIST PROD PRICE ROUTINE</v>
          </cell>
        </row>
        <row r="27">
          <cell r="C27" t="str">
            <v>Annual Contracts</v>
          </cell>
          <cell r="AE27" t="str">
            <v>FLOWING GAS</v>
          </cell>
          <cell r="AF27" t="str">
            <v>FLOWING GAS</v>
          </cell>
          <cell r="AH27" t="str">
            <v>Annual Contracts</v>
          </cell>
          <cell r="AI27" t="str">
            <v>Flowing Dispatch</v>
          </cell>
          <cell r="AJ27" t="str">
            <v>Prices</v>
          </cell>
          <cell r="AK27" t="str">
            <v>Flowing Cost</v>
          </cell>
        </row>
        <row r="28">
          <cell r="C28" t="str">
            <v>Mist Production</v>
          </cell>
          <cell r="D28">
            <v>406100</v>
          </cell>
          <cell r="E28">
            <v>199037.73199999984</v>
          </cell>
          <cell r="F28">
            <v>393000</v>
          </cell>
          <cell r="G28">
            <v>192617.15999999986</v>
          </cell>
          <cell r="H28">
            <v>406100</v>
          </cell>
          <cell r="I28">
            <v>199037.73199999984</v>
          </cell>
          <cell r="J28">
            <v>406100</v>
          </cell>
          <cell r="K28">
            <v>199037.73199999984</v>
          </cell>
          <cell r="L28">
            <v>366800</v>
          </cell>
          <cell r="M28">
            <v>179776.01599999989</v>
          </cell>
          <cell r="N28">
            <v>406100</v>
          </cell>
          <cell r="O28">
            <v>199037.73199999984</v>
          </cell>
          <cell r="P28">
            <v>386953.51027964638</v>
          </cell>
          <cell r="Q28">
            <v>189653.65445826022</v>
          </cell>
          <cell r="R28">
            <v>391690.92593158828</v>
          </cell>
          <cell r="S28">
            <v>191975.55661759007</v>
          </cell>
          <cell r="T28">
            <v>345431.93483693205</v>
          </cell>
          <cell r="U28">
            <v>169303.09990227711</v>
          </cell>
          <cell r="V28">
            <v>237208.79672250213</v>
          </cell>
          <cell r="W28">
            <v>116260.77544963274</v>
          </cell>
          <cell r="X28">
            <v>236889.37349633285</v>
          </cell>
          <cell r="Y28">
            <v>116104.21973802269</v>
          </cell>
          <cell r="Z28">
            <v>279593.28593434754</v>
          </cell>
          <cell r="AA28">
            <v>137034.26130214243</v>
          </cell>
          <cell r="AB28">
            <v>4261967.8272013497</v>
          </cell>
          <cell r="AC28">
            <v>2088875.6714679243</v>
          </cell>
          <cell r="AD28">
            <v>0.49011999999999972</v>
          </cell>
          <cell r="AE28" t="str">
            <v>COST</v>
          </cell>
          <cell r="AF28" t="str">
            <v>VOLUMES</v>
          </cell>
          <cell r="AG28">
            <v>0.49012</v>
          </cell>
          <cell r="AH28" t="str">
            <v>Mist Production</v>
          </cell>
          <cell r="AI28" t="str">
            <v>Mist Production</v>
          </cell>
          <cell r="AJ28" t="str">
            <v>Mist Production</v>
          </cell>
          <cell r="AK28" t="str">
            <v>Mist Production</v>
          </cell>
        </row>
        <row r="29">
          <cell r="C29" t="str">
            <v>DukeBCS2BS</v>
          </cell>
          <cell r="D29">
            <v>5980520</v>
          </cell>
          <cell r="E29">
            <v>1628463.583333333</v>
          </cell>
          <cell r="F29">
            <v>5787600</v>
          </cell>
          <cell r="G29">
            <v>2830842.1170742284</v>
          </cell>
          <cell r="H29">
            <v>5980520</v>
          </cell>
          <cell r="I29">
            <v>2925203.5209767027</v>
          </cell>
          <cell r="J29">
            <v>5980520</v>
          </cell>
          <cell r="K29">
            <v>2925203.5209767027</v>
          </cell>
          <cell r="L29">
            <v>5401760</v>
          </cell>
          <cell r="M29">
            <v>2642119.3092692797</v>
          </cell>
          <cell r="N29">
            <v>5980520</v>
          </cell>
          <cell r="O29">
            <v>2925203.5209767027</v>
          </cell>
          <cell r="P29">
            <v>5698555.0536755258</v>
          </cell>
          <cell r="Q29">
            <v>2787288.2805326679</v>
          </cell>
          <cell r="R29">
            <v>5768321.6359329792</v>
          </cell>
          <cell r="S29">
            <v>2821412.6463179188</v>
          </cell>
          <cell r="T29">
            <v>5087078.5395985441</v>
          </cell>
          <cell r="U29">
            <v>2488201.7041191533</v>
          </cell>
          <cell r="V29">
            <v>3493306.9514278714</v>
          </cell>
          <cell r="W29">
            <v>1708653.0592940412</v>
          </cell>
          <cell r="X29">
            <v>3488602.8957948512</v>
          </cell>
          <cell r="Y29">
            <v>1706352.2024955379</v>
          </cell>
          <cell r="Z29">
            <v>3964983.6035543191</v>
          </cell>
          <cell r="AA29">
            <v>1939360.4565709974</v>
          </cell>
          <cell r="AB29">
            <v>62612288.679984093</v>
          </cell>
          <cell r="AC29">
            <v>29328303.921937265</v>
          </cell>
          <cell r="AD29">
            <v>0.46841130615487214</v>
          </cell>
          <cell r="AE29">
            <v>29328303.921937265</v>
          </cell>
          <cell r="AF29">
            <v>62612288.679984093</v>
          </cell>
          <cell r="AG29">
            <v>0.47105299530917383</v>
          </cell>
          <cell r="AH29" t="str">
            <v>DukeBCS2BS</v>
          </cell>
          <cell r="AI29" t="str">
            <v>DukeBCS2BS</v>
          </cell>
          <cell r="AJ29" t="str">
            <v>DukeBCS2BS</v>
          </cell>
          <cell r="AK29" t="str">
            <v>DukeBCS2BS</v>
          </cell>
        </row>
        <row r="30">
          <cell r="C30" t="str">
            <v>Duke1ABSTBS</v>
          </cell>
          <cell r="D30">
            <v>2996460</v>
          </cell>
          <cell r="E30">
            <v>1387250</v>
          </cell>
          <cell r="F30">
            <v>2899800</v>
          </cell>
          <cell r="G30">
            <v>1343250</v>
          </cell>
          <cell r="H30">
            <v>2996460</v>
          </cell>
          <cell r="I30">
            <v>1388025</v>
          </cell>
          <cell r="J30">
            <v>2996460</v>
          </cell>
          <cell r="K30">
            <v>1388025</v>
          </cell>
          <cell r="L30">
            <v>2706480</v>
          </cell>
          <cell r="M30">
            <v>1253700</v>
          </cell>
          <cell r="N30">
            <v>2996460</v>
          </cell>
          <cell r="O30">
            <v>1388025</v>
          </cell>
          <cell r="P30">
            <v>2855185.2140176049</v>
          </cell>
          <cell r="Q30">
            <v>1322583.4673871123</v>
          </cell>
          <cell r="R30">
            <v>2890140.8321028501</v>
          </cell>
          <cell r="S30">
            <v>1338775.6647776235</v>
          </cell>
          <cell r="T30">
            <v>2548813.0397967817</v>
          </cell>
          <cell r="U30">
            <v>1180665.2581926435</v>
          </cell>
          <cell r="V30">
            <v>1750274.9840608442</v>
          </cell>
          <cell r="W30">
            <v>810765.1811641244</v>
          </cell>
          <cell r="X30">
            <v>1747918.0795538572</v>
          </cell>
          <cell r="Y30">
            <v>809673.41208384</v>
          </cell>
          <cell r="Z30">
            <v>1986602.2969083576</v>
          </cell>
          <cell r="AA30">
            <v>920237.09749712097</v>
          </cell>
          <cell r="AB30">
            <v>31371054.446440294</v>
          </cell>
          <cell r="AC30">
            <v>14530975.081102464</v>
          </cell>
          <cell r="AD30">
            <v>0.46319689718785684</v>
          </cell>
          <cell r="AE30">
            <v>14530975.081102464</v>
          </cell>
          <cell r="AF30">
            <v>31371054.446440294</v>
          </cell>
          <cell r="AG30">
            <v>0.46320004827919165</v>
          </cell>
          <cell r="AH30" t="str">
            <v>Duke1ABSTBS</v>
          </cell>
          <cell r="AI30" t="str">
            <v>Duke1ABSTBS</v>
          </cell>
          <cell r="AJ30" t="str">
            <v>Duke1ABSTBS</v>
          </cell>
          <cell r="AK30" t="str">
            <v>Duke1ABSTBS</v>
          </cell>
        </row>
        <row r="31">
          <cell r="C31" t="str">
            <v>CoralABSTBS</v>
          </cell>
          <cell r="D31">
            <v>2996460</v>
          </cell>
          <cell r="E31">
            <v>1416700.0000000002</v>
          </cell>
          <cell r="F31">
            <v>2899800</v>
          </cell>
          <cell r="G31">
            <v>1371000.0000000002</v>
          </cell>
          <cell r="H31">
            <v>2996460</v>
          </cell>
          <cell r="I31">
            <v>1416700.0000000002</v>
          </cell>
          <cell r="J31">
            <v>2996460</v>
          </cell>
          <cell r="K31">
            <v>1416700.0000000002</v>
          </cell>
          <cell r="L31">
            <v>2706480</v>
          </cell>
          <cell r="M31">
            <v>1279600.0000000002</v>
          </cell>
          <cell r="N31">
            <v>2996460</v>
          </cell>
          <cell r="O31">
            <v>1416700.0000000002</v>
          </cell>
          <cell r="P31">
            <v>2855185.2140176049</v>
          </cell>
          <cell r="Q31">
            <v>1349906.5205938811</v>
          </cell>
          <cell r="R31">
            <v>2890140.8321028501</v>
          </cell>
          <cell r="S31">
            <v>1366433.230158289</v>
          </cell>
          <cell r="T31">
            <v>2548813.0397967817</v>
          </cell>
          <cell r="U31">
            <v>1205056.4444311294</v>
          </cell>
          <cell r="V31">
            <v>1750274.9840608442</v>
          </cell>
          <cell r="W31">
            <v>827514.65726857621</v>
          </cell>
          <cell r="X31">
            <v>1747918.0795538572</v>
          </cell>
          <cell r="Y31">
            <v>826400.33349484089</v>
          </cell>
          <cell r="Z31">
            <v>2063014.276214812</v>
          </cell>
          <cell r="AA31">
            <v>975375.05093127384</v>
          </cell>
          <cell r="AB31">
            <v>31447466.425746754</v>
          </cell>
          <cell r="AC31">
            <v>14868086.236877991</v>
          </cell>
          <cell r="AD31">
            <v>0.4727912269811711</v>
          </cell>
          <cell r="AE31">
            <v>14868086.236877991</v>
          </cell>
          <cell r="AF31">
            <v>31447466.425746754</v>
          </cell>
          <cell r="AG31">
            <v>0.47279122698117099</v>
          </cell>
          <cell r="AH31" t="str">
            <v>CoralABSTBS</v>
          </cell>
          <cell r="AI31" t="str">
            <v>CoralABSTBS</v>
          </cell>
          <cell r="AJ31" t="str">
            <v>CoralABSTBS</v>
          </cell>
          <cell r="AK31" t="str">
            <v>CoralABSTBS</v>
          </cell>
        </row>
        <row r="32">
          <cell r="C32" t="str">
            <v>CoralBCS2BS</v>
          </cell>
          <cell r="D32">
            <v>2990260</v>
          </cell>
          <cell r="E32">
            <v>1202506.7916666665</v>
          </cell>
          <cell r="F32">
            <v>2893800</v>
          </cell>
          <cell r="G32">
            <v>1100421.0585371142</v>
          </cell>
          <cell r="H32">
            <v>2990260</v>
          </cell>
          <cell r="I32">
            <v>1137101.7604883513</v>
          </cell>
          <cell r="J32">
            <v>2990260</v>
          </cell>
          <cell r="K32">
            <v>1137101.7604883513</v>
          </cell>
          <cell r="L32">
            <v>2700880</v>
          </cell>
          <cell r="M32">
            <v>1027059.6546346399</v>
          </cell>
          <cell r="N32">
            <v>2990260</v>
          </cell>
          <cell r="O32">
            <v>1137101.7604883513</v>
          </cell>
          <cell r="P32">
            <v>2849277.5268377629</v>
          </cell>
          <cell r="Q32">
            <v>1083490.5633246326</v>
          </cell>
          <cell r="R32">
            <v>2884160.8179664896</v>
          </cell>
          <cell r="S32">
            <v>1096755.5810000529</v>
          </cell>
          <cell r="T32">
            <v>2543539.2697992721</v>
          </cell>
          <cell r="U32">
            <v>967227.92719027982</v>
          </cell>
          <cell r="V32">
            <v>1746653.4757139357</v>
          </cell>
          <cell r="W32">
            <v>664197.34143432789</v>
          </cell>
          <cell r="X32">
            <v>1744301.4478974256</v>
          </cell>
          <cell r="Y32">
            <v>663302.93928505958</v>
          </cell>
          <cell r="Z32">
            <v>1982491.8017771596</v>
          </cell>
          <cell r="AA32">
            <v>753879.23389756435</v>
          </cell>
          <cell r="AB32">
            <v>31306144.339992046</v>
          </cell>
          <cell r="AC32">
            <v>11970146.372435393</v>
          </cell>
          <cell r="AD32">
            <v>0.38235773279637392</v>
          </cell>
          <cell r="AE32">
            <v>11970146.372435393</v>
          </cell>
          <cell r="AF32">
            <v>31306144.339992046</v>
          </cell>
          <cell r="AG32">
            <v>0.38026852530828453</v>
          </cell>
          <cell r="AH32" t="str">
            <v>CoralBCS2BS</v>
          </cell>
          <cell r="AI32" t="str">
            <v>CoralBCS2BS</v>
          </cell>
          <cell r="AJ32" t="str">
            <v>CoralBCS2BS</v>
          </cell>
          <cell r="AK32" t="str">
            <v>CoralBCS2BS</v>
          </cell>
        </row>
        <row r="33">
          <cell r="C33" t="str">
            <v>SempraBCS2BS</v>
          </cell>
          <cell r="D33">
            <v>2990260</v>
          </cell>
          <cell r="E33">
            <v>1151356.7916666665</v>
          </cell>
          <cell r="F33">
            <v>2893800</v>
          </cell>
          <cell r="G33">
            <v>1112421.0585371142</v>
          </cell>
          <cell r="H33">
            <v>2990260</v>
          </cell>
          <cell r="I33">
            <v>1149501.7604883513</v>
          </cell>
          <cell r="J33">
            <v>2990260</v>
          </cell>
          <cell r="K33">
            <v>1149501.7604883513</v>
          </cell>
          <cell r="L33">
            <v>2700880</v>
          </cell>
          <cell r="M33">
            <v>1038259.6546346399</v>
          </cell>
          <cell r="N33">
            <v>2990260</v>
          </cell>
          <cell r="O33">
            <v>1149501.7604883513</v>
          </cell>
          <cell r="P33">
            <v>2849277.5268377629</v>
          </cell>
          <cell r="Q33">
            <v>1095305.9376843167</v>
          </cell>
          <cell r="R33">
            <v>2884160.8179664896</v>
          </cell>
          <cell r="S33">
            <v>1108715.6092727729</v>
          </cell>
          <cell r="T33">
            <v>2543539.2697992721</v>
          </cell>
          <cell r="U33">
            <v>977775.46718530066</v>
          </cell>
          <cell r="V33">
            <v>1746653.4757139357</v>
          </cell>
          <cell r="W33">
            <v>671440.35812814476</v>
          </cell>
          <cell r="X33">
            <v>1744301.4478974256</v>
          </cell>
          <cell r="Y33">
            <v>670536.20259792451</v>
          </cell>
          <cell r="Z33">
            <v>1982491.8017771596</v>
          </cell>
          <cell r="AA33">
            <v>762100.22415996168</v>
          </cell>
          <cell r="AB33">
            <v>31306144.339992046</v>
          </cell>
          <cell r="AC33">
            <v>12036416.585331896</v>
          </cell>
          <cell r="AD33">
            <v>0.38447457644779243</v>
          </cell>
          <cell r="AE33">
            <v>12036416.585331896</v>
          </cell>
          <cell r="AF33">
            <v>31306144.339992046</v>
          </cell>
          <cell r="AG33">
            <v>0.38441532190791128</v>
          </cell>
          <cell r="AH33" t="str">
            <v>SempraBCS2BS</v>
          </cell>
          <cell r="AI33" t="str">
            <v>SempraBCS2BS</v>
          </cell>
          <cell r="AJ33" t="str">
            <v>SempraBCS2BS</v>
          </cell>
          <cell r="AK33" t="str">
            <v>SempraBCS2BS</v>
          </cell>
        </row>
        <row r="34">
          <cell r="C34" t="str">
            <v>BPCanadaBCS2BS</v>
          </cell>
          <cell r="D34">
            <v>2990260</v>
          </cell>
          <cell r="E34">
            <v>1129656.7916666665</v>
          </cell>
          <cell r="F34">
            <v>2893800</v>
          </cell>
          <cell r="G34">
            <v>1091421.0585371142</v>
          </cell>
          <cell r="H34">
            <v>2990260</v>
          </cell>
          <cell r="I34">
            <v>1127801.7604883513</v>
          </cell>
          <cell r="J34">
            <v>2990260</v>
          </cell>
          <cell r="K34">
            <v>1127801.7604883513</v>
          </cell>
          <cell r="L34">
            <v>2700880</v>
          </cell>
          <cell r="M34">
            <v>1018659.6546346399</v>
          </cell>
          <cell r="N34">
            <v>2990260</v>
          </cell>
          <cell r="O34">
            <v>1127801.7604883513</v>
          </cell>
          <cell r="P34">
            <v>2849277.5268377629</v>
          </cell>
          <cell r="Q34">
            <v>1074629.0325548698</v>
          </cell>
          <cell r="R34">
            <v>2884160.8179664896</v>
          </cell>
          <cell r="S34">
            <v>1087785.5597955126</v>
          </cell>
          <cell r="T34">
            <v>2543539.2697992721</v>
          </cell>
          <cell r="U34">
            <v>959317.2721940144</v>
          </cell>
          <cell r="V34">
            <v>1746653.4757139357</v>
          </cell>
          <cell r="W34">
            <v>658765.07891396515</v>
          </cell>
          <cell r="X34">
            <v>1744301.4478974256</v>
          </cell>
          <cell r="Y34">
            <v>657877.99180041079</v>
          </cell>
          <cell r="Z34">
            <v>1982491.8017771596</v>
          </cell>
          <cell r="AA34">
            <v>747713.49120076606</v>
          </cell>
          <cell r="AB34">
            <v>31306144.339992046</v>
          </cell>
          <cell r="AC34">
            <v>11809231.212763013</v>
          </cell>
          <cell r="AD34">
            <v>0.37721768239844555</v>
          </cell>
          <cell r="AE34">
            <v>11809231.212763013</v>
          </cell>
          <cell r="AF34">
            <v>31306144.339992046</v>
          </cell>
          <cell r="AG34">
            <v>0.3771584278585644</v>
          </cell>
          <cell r="AH34" t="str">
            <v>BPCanadaBCS2BS</v>
          </cell>
          <cell r="AI34" t="str">
            <v>BPCanadaBCS2BS</v>
          </cell>
          <cell r="AJ34" t="str">
            <v>BPCanadaBCS2BS</v>
          </cell>
          <cell r="AK34" t="str">
            <v>BPCanadaBCS2BS</v>
          </cell>
        </row>
        <row r="35">
          <cell r="C35" t="str">
            <v>SempraABTCBS</v>
          </cell>
          <cell r="D35">
            <v>0</v>
          </cell>
          <cell r="E35">
            <v>0</v>
          </cell>
          <cell r="F35">
            <v>2880000</v>
          </cell>
          <cell r="G35">
            <v>1409421.0585371146</v>
          </cell>
          <cell r="H35">
            <v>2976000</v>
          </cell>
          <cell r="I35">
            <v>1456401.7604883518</v>
          </cell>
          <cell r="J35">
            <v>2976000</v>
          </cell>
          <cell r="K35">
            <v>1456401.7604883518</v>
          </cell>
          <cell r="L35">
            <v>2688000</v>
          </cell>
          <cell r="M35">
            <v>1315459.6546346403</v>
          </cell>
          <cell r="N35">
            <v>2976000</v>
          </cell>
          <cell r="O35">
            <v>1456401.7604883518</v>
          </cell>
          <cell r="P35">
            <v>2835689.8463241262</v>
          </cell>
          <cell r="Q35">
            <v>1387736.4530864921</v>
          </cell>
          <cell r="R35">
            <v>2870406.7854528618</v>
          </cell>
          <cell r="S35">
            <v>1404726.3090225998</v>
          </cell>
          <cell r="T35">
            <v>2531409.5988049977</v>
          </cell>
          <cell r="U35">
            <v>1238827.0820620665</v>
          </cell>
          <cell r="V35">
            <v>1738324.0065160466</v>
          </cell>
          <cell r="W35">
            <v>850705.02130011201</v>
          </cell>
          <cell r="X35">
            <v>1735983.1950876305</v>
          </cell>
          <cell r="Y35">
            <v>849559.46959133679</v>
          </cell>
          <cell r="Z35">
            <v>1973037.6629754019</v>
          </cell>
          <cell r="AA35">
            <v>965569.73315430013</v>
          </cell>
          <cell r="AB35">
            <v>28180851.095161065</v>
          </cell>
          <cell r="AC35">
            <v>13791210.062853716</v>
          </cell>
          <cell r="AD35">
            <v>0.48938231199205356</v>
          </cell>
          <cell r="AE35">
            <v>13791210.062853716</v>
          </cell>
          <cell r="AF35">
            <v>28180851.095161065</v>
          </cell>
          <cell r="AG35">
            <v>0.48938231199205345</v>
          </cell>
          <cell r="AH35" t="str">
            <v>SempraABTCBS</v>
          </cell>
          <cell r="AI35" t="str">
            <v>SempraABTCBS</v>
          </cell>
          <cell r="AJ35" t="str">
            <v>SempraABTCBS</v>
          </cell>
          <cell r="AK35" t="str">
            <v>SempraABTCBS</v>
          </cell>
        </row>
        <row r="36">
          <cell r="C36" t="str">
            <v>HuskeyABSTBS</v>
          </cell>
          <cell r="D36">
            <v>0</v>
          </cell>
          <cell r="E36">
            <v>0</v>
          </cell>
          <cell r="F36">
            <v>2899800</v>
          </cell>
          <cell r="G36">
            <v>1606500</v>
          </cell>
          <cell r="H36">
            <v>2996460</v>
          </cell>
          <cell r="I36">
            <v>1660050</v>
          </cell>
          <cell r="J36">
            <v>2996460</v>
          </cell>
          <cell r="K36">
            <v>1660050</v>
          </cell>
          <cell r="L36">
            <v>2706480</v>
          </cell>
          <cell r="M36">
            <v>1499400</v>
          </cell>
          <cell r="N36">
            <v>2996460</v>
          </cell>
          <cell r="O36">
            <v>1660050</v>
          </cell>
          <cell r="P36">
            <v>2855185.2140176049</v>
          </cell>
          <cell r="Q36">
            <v>1581783.242402677</v>
          </cell>
          <cell r="R36">
            <v>2890140.8321028501</v>
          </cell>
          <cell r="S36">
            <v>1601148.7850104244</v>
          </cell>
          <cell r="T36">
            <v>2548813.0397967817</v>
          </cell>
          <cell r="U36">
            <v>1412051.9168334133</v>
          </cell>
          <cell r="V36">
            <v>1750274.9840608442</v>
          </cell>
          <cell r="W36">
            <v>969658.85988473182</v>
          </cell>
          <cell r="X36">
            <v>1747918.0795538572</v>
          </cell>
          <cell r="Y36">
            <v>968353.12600981875</v>
          </cell>
          <cell r="Z36">
            <v>1986602.2969083576</v>
          </cell>
          <cell r="AA36">
            <v>1100585.0713784664</v>
          </cell>
          <cell r="AB36">
            <v>28374594.446440294</v>
          </cell>
          <cell r="AC36">
            <v>15719631.001519533</v>
          </cell>
          <cell r="AD36">
            <v>0.55400372439478596</v>
          </cell>
          <cell r="AE36">
            <v>15719631.001519533</v>
          </cell>
          <cell r="AF36">
            <v>28374594.446440294</v>
          </cell>
          <cell r="AG36">
            <v>0.55400372439478585</v>
          </cell>
          <cell r="AH36" t="str">
            <v>HuskeyABSTBS</v>
          </cell>
          <cell r="AI36" t="str">
            <v>HuskeyABSTBS</v>
          </cell>
          <cell r="AJ36" t="str">
            <v>HuskeyABSTBS</v>
          </cell>
          <cell r="AK36" t="str">
            <v>HuskeyABSTBS</v>
          </cell>
        </row>
        <row r="37">
          <cell r="C37" t="str">
            <v>BurlingtonABSTBS</v>
          </cell>
          <cell r="D37">
            <v>0</v>
          </cell>
          <cell r="E37">
            <v>0</v>
          </cell>
          <cell r="F37">
            <v>4349700</v>
          </cell>
          <cell r="G37">
            <v>2468250</v>
          </cell>
          <cell r="H37">
            <v>4494690</v>
          </cell>
          <cell r="I37">
            <v>2550525</v>
          </cell>
          <cell r="J37">
            <v>4494690</v>
          </cell>
          <cell r="K37">
            <v>2550525</v>
          </cell>
          <cell r="L37">
            <v>4059720</v>
          </cell>
          <cell r="M37">
            <v>2303700</v>
          </cell>
          <cell r="N37">
            <v>4494690</v>
          </cell>
          <cell r="O37">
            <v>2550525</v>
          </cell>
          <cell r="P37">
            <v>4282777.8210264072</v>
          </cell>
          <cell r="Q37">
            <v>2430274.8136074743</v>
          </cell>
          <cell r="R37">
            <v>4335211.2481542751</v>
          </cell>
          <cell r="S37">
            <v>2460028.3153451472</v>
          </cell>
          <cell r="T37">
            <v>3823219.5596951731</v>
          </cell>
          <cell r="U37">
            <v>2169497.1327258451</v>
          </cell>
          <cell r="V37">
            <v>2618762.7981440164</v>
          </cell>
          <cell r="W37">
            <v>1486024.6169894401</v>
          </cell>
          <cell r="X37">
            <v>2621739.9480202263</v>
          </cell>
          <cell r="Y37">
            <v>1487714.0094031594</v>
          </cell>
          <cell r="Z37">
            <v>2979903.4453625376</v>
          </cell>
          <cell r="AA37">
            <v>1690954.9345968873</v>
          </cell>
          <cell r="AB37">
            <v>42555104.820402637</v>
          </cell>
          <cell r="AC37">
            <v>24148018.822667956</v>
          </cell>
          <cell r="AD37">
            <v>0.56745292778812328</v>
          </cell>
          <cell r="AE37">
            <v>24148018.822667956</v>
          </cell>
          <cell r="AF37">
            <v>42555104.820402637</v>
          </cell>
          <cell r="AG37">
            <v>0.56745292778812317</v>
          </cell>
          <cell r="AH37" t="str">
            <v>BurlingtonABSTBS</v>
          </cell>
          <cell r="AI37" t="str">
            <v>BurlingtonABSTBS</v>
          </cell>
          <cell r="AJ37" t="str">
            <v>BurlingtonABSTBS</v>
          </cell>
          <cell r="AK37" t="str">
            <v>BurlingtonABSTBS</v>
          </cell>
        </row>
        <row r="38">
          <cell r="C38" t="str">
            <v>Unused "R"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 t="str">
            <v xml:space="preserve">                      N/A</v>
          </cell>
          <cell r="AE38">
            <v>0</v>
          </cell>
          <cell r="AF38">
            <v>0</v>
          </cell>
          <cell r="AG38" t="e">
            <v>#DIV/0!</v>
          </cell>
          <cell r="AH38" t="str">
            <v>Unused "R"</v>
          </cell>
          <cell r="AI38" t="str">
            <v>Unused "R"</v>
          </cell>
          <cell r="AJ38" t="str">
            <v>Unused "R"</v>
          </cell>
          <cell r="AK38" t="str">
            <v>Unused "R"</v>
          </cell>
        </row>
        <row r="39">
          <cell r="C39" t="str">
            <v>BPCanadaABTCBS</v>
          </cell>
          <cell r="D39">
            <v>0</v>
          </cell>
          <cell r="E39">
            <v>0</v>
          </cell>
          <cell r="F39">
            <v>2880000</v>
          </cell>
          <cell r="G39">
            <v>1302921.0585371142</v>
          </cell>
          <cell r="H39">
            <v>2976000</v>
          </cell>
          <cell r="I39">
            <v>1346351.7604883513</v>
          </cell>
          <cell r="J39">
            <v>2976000</v>
          </cell>
          <cell r="K39">
            <v>1346351.7604883513</v>
          </cell>
          <cell r="L39">
            <v>2688000</v>
          </cell>
          <cell r="M39">
            <v>1216059.6546346399</v>
          </cell>
          <cell r="N39">
            <v>2976000</v>
          </cell>
          <cell r="O39">
            <v>1346351.7604883513</v>
          </cell>
          <cell r="P39">
            <v>2835689.8463241262</v>
          </cell>
          <cell r="Q39">
            <v>1282875.0056442979</v>
          </cell>
          <cell r="R39">
            <v>2870406.7854528618</v>
          </cell>
          <cell r="S39">
            <v>1298581.0581022073</v>
          </cell>
          <cell r="T39">
            <v>2531409.5988049977</v>
          </cell>
          <cell r="U39">
            <v>1145217.6646062562</v>
          </cell>
          <cell r="V39">
            <v>1722648.4809007014</v>
          </cell>
          <cell r="W39">
            <v>779331.59104947664</v>
          </cell>
          <cell r="X39">
            <v>1720254.9316687325</v>
          </cell>
          <cell r="Y39">
            <v>778248.74184844282</v>
          </cell>
          <cell r="Z39">
            <v>1973037.6629754019</v>
          </cell>
          <cell r="AA39">
            <v>892608.44457552209</v>
          </cell>
          <cell r="AB39">
            <v>28149447.306126822</v>
          </cell>
          <cell r="AC39">
            <v>12734898.500463013</v>
          </cell>
          <cell r="AD39">
            <v>0.45240314532538689</v>
          </cell>
          <cell r="AE39">
            <v>12734898.500463013</v>
          </cell>
          <cell r="AF39">
            <v>28149447.306126822</v>
          </cell>
          <cell r="AG39">
            <v>0.45240314532538672</v>
          </cell>
          <cell r="AH39" t="str">
            <v>BPCanadaABTCBS</v>
          </cell>
          <cell r="AI39" t="str">
            <v>BPCanadaABTCBS</v>
          </cell>
          <cell r="AJ39" t="str">
            <v>BPCanadaABTCBS</v>
          </cell>
          <cell r="AK39" t="str">
            <v>BPCanadaABTCBS</v>
          </cell>
        </row>
        <row r="40">
          <cell r="C40" t="str">
            <v>Unused "T"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 t="str">
            <v xml:space="preserve">                      N/A</v>
          </cell>
          <cell r="AE40">
            <v>0</v>
          </cell>
          <cell r="AF40">
            <v>0</v>
          </cell>
          <cell r="AG40" t="e">
            <v>#DIV/0!</v>
          </cell>
          <cell r="AH40" t="str">
            <v>Unused "T"</v>
          </cell>
          <cell r="AI40" t="str">
            <v>Unused "T"</v>
          </cell>
          <cell r="AJ40" t="str">
            <v>Unused "T"</v>
          </cell>
          <cell r="AK40" t="str">
            <v>Unused "T"</v>
          </cell>
        </row>
        <row r="41">
          <cell r="C41" t="str">
            <v>BPCanadaABSTBS</v>
          </cell>
          <cell r="D41">
            <v>0</v>
          </cell>
          <cell r="E41">
            <v>0</v>
          </cell>
          <cell r="F41">
            <v>2899800</v>
          </cell>
          <cell r="G41">
            <v>1662000</v>
          </cell>
          <cell r="H41">
            <v>2996460</v>
          </cell>
          <cell r="I41">
            <v>1717400</v>
          </cell>
          <cell r="J41">
            <v>2996460</v>
          </cell>
          <cell r="K41">
            <v>1717400</v>
          </cell>
          <cell r="L41">
            <v>2706480</v>
          </cell>
          <cell r="M41">
            <v>1551200</v>
          </cell>
          <cell r="N41">
            <v>2996460</v>
          </cell>
          <cell r="O41">
            <v>1717400</v>
          </cell>
          <cell r="P41">
            <v>2815940.848838788</v>
          </cell>
          <cell r="Q41">
            <v>1613936.7165908217</v>
          </cell>
          <cell r="R41">
            <v>2801077.8371433723</v>
          </cell>
          <cell r="S41">
            <v>1605418.0858446392</v>
          </cell>
          <cell r="T41">
            <v>2268928.3069528341</v>
          </cell>
          <cell r="U41">
            <v>1300420.3207654352</v>
          </cell>
          <cell r="V41">
            <v>1051051.3979529366</v>
          </cell>
          <cell r="W41">
            <v>602402.72549754498</v>
          </cell>
          <cell r="X41">
            <v>1043170.7431930697</v>
          </cell>
          <cell r="Y41">
            <v>597885.98358055099</v>
          </cell>
          <cell r="Z41">
            <v>1436676.7033048626</v>
          </cell>
          <cell r="AA41">
            <v>823421.16038784815</v>
          </cell>
          <cell r="AB41">
            <v>26012505.837385863</v>
          </cell>
          <cell r="AC41">
            <v>14908884.992666841</v>
          </cell>
          <cell r="AD41">
            <v>0.57314297537761227</v>
          </cell>
          <cell r="AE41">
            <v>14908884.992666841</v>
          </cell>
          <cell r="AF41">
            <v>26012505.837385863</v>
          </cell>
          <cell r="AG41">
            <v>0.57314297537761227</v>
          </cell>
          <cell r="AH41" t="str">
            <v>BPCanadaABSTBS</v>
          </cell>
          <cell r="AI41" t="str">
            <v>BPCanadaABSTBS</v>
          </cell>
          <cell r="AJ41" t="str">
            <v>BPCanadaABSTBS</v>
          </cell>
          <cell r="AK41" t="str">
            <v>BPCanadaABSTBS</v>
          </cell>
        </row>
        <row r="42">
          <cell r="C42" t="str">
            <v>Unused "V"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 t="str">
            <v xml:space="preserve">                      N/A</v>
          </cell>
          <cell r="AE42">
            <v>0</v>
          </cell>
          <cell r="AF42">
            <v>0</v>
          </cell>
          <cell r="AG42" t="e">
            <v>#DIV/0!</v>
          </cell>
          <cell r="AH42" t="str">
            <v>Unused "V"</v>
          </cell>
          <cell r="AI42" t="str">
            <v>Unused "V"</v>
          </cell>
          <cell r="AJ42" t="str">
            <v>Unused "V"</v>
          </cell>
        </row>
        <row r="43">
          <cell r="C43" t="str">
            <v>Winter Only Base Supplies</v>
          </cell>
          <cell r="AH43" t="str">
            <v>Winter Only Base Supplies</v>
          </cell>
        </row>
        <row r="44">
          <cell r="C44" t="str">
            <v>Duke2ABSTBS</v>
          </cell>
          <cell r="D44">
            <v>0</v>
          </cell>
          <cell r="E44">
            <v>0</v>
          </cell>
          <cell r="F44">
            <v>1449900</v>
          </cell>
          <cell r="G44">
            <v>839625</v>
          </cell>
          <cell r="H44">
            <v>1498230</v>
          </cell>
          <cell r="I44">
            <v>867612.5</v>
          </cell>
          <cell r="J44">
            <v>1498230</v>
          </cell>
          <cell r="K44">
            <v>867612.5</v>
          </cell>
          <cell r="L44">
            <v>1353240</v>
          </cell>
          <cell r="M44">
            <v>783650</v>
          </cell>
          <cell r="N44">
            <v>1449900</v>
          </cell>
          <cell r="O44">
            <v>839625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7249500</v>
          </cell>
          <cell r="AC44">
            <v>4198125</v>
          </cell>
          <cell r="AD44">
            <v>0.57909166149389613</v>
          </cell>
          <cell r="AE44">
            <v>4198125</v>
          </cell>
          <cell r="AF44">
            <v>7249500</v>
          </cell>
          <cell r="AG44">
            <v>0.57909166149389613</v>
          </cell>
          <cell r="AH44" t="str">
            <v>Duke2ABSTBS</v>
          </cell>
          <cell r="AI44" t="str">
            <v>Duke2ABSTBS</v>
          </cell>
          <cell r="AJ44" t="str">
            <v>Duke2ABSTBS</v>
          </cell>
          <cell r="AK44" t="str">
            <v>Duke2ABSTBS</v>
          </cell>
        </row>
        <row r="45">
          <cell r="C45" t="str">
            <v>Duke3ABSTBS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4494690</v>
          </cell>
          <cell r="I45">
            <v>2798137.4999999995</v>
          </cell>
          <cell r="J45">
            <v>4494690</v>
          </cell>
          <cell r="K45">
            <v>2798137.4999999995</v>
          </cell>
          <cell r="L45">
            <v>4059720</v>
          </cell>
          <cell r="M45">
            <v>2527349.9999999995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13049100</v>
          </cell>
          <cell r="AC45">
            <v>8123624.9999999981</v>
          </cell>
          <cell r="AD45">
            <v>0.6225429339954478</v>
          </cell>
          <cell r="AE45">
            <v>8123624.9999999981</v>
          </cell>
          <cell r="AF45">
            <v>13049100</v>
          </cell>
          <cell r="AG45">
            <v>0.62254293399544791</v>
          </cell>
          <cell r="AH45" t="str">
            <v>Duke3ABSTBS</v>
          </cell>
          <cell r="AI45" t="str">
            <v>Duke3ABSTBS</v>
          </cell>
          <cell r="AJ45" t="str">
            <v>Duke3ABSTBS</v>
          </cell>
          <cell r="AK45" t="str">
            <v>Duke3ABSTBS</v>
          </cell>
        </row>
        <row r="46">
          <cell r="C46" t="str">
            <v>SempraABSTBS</v>
          </cell>
          <cell r="D46">
            <v>0</v>
          </cell>
          <cell r="E46">
            <v>0</v>
          </cell>
          <cell r="F46">
            <v>2899800</v>
          </cell>
          <cell r="G46">
            <v>1796999.9999999998</v>
          </cell>
          <cell r="H46">
            <v>2996460</v>
          </cell>
          <cell r="I46">
            <v>1856899.9999999998</v>
          </cell>
          <cell r="J46">
            <v>2996460</v>
          </cell>
          <cell r="K46">
            <v>1856899.9999999998</v>
          </cell>
          <cell r="L46">
            <v>2706480</v>
          </cell>
          <cell r="M46">
            <v>1677199.9999999998</v>
          </cell>
          <cell r="N46">
            <v>2899800</v>
          </cell>
          <cell r="O46">
            <v>1796999.9999999998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14499000</v>
          </cell>
          <cell r="AC46">
            <v>8984999.9999999981</v>
          </cell>
          <cell r="AD46">
            <v>0.61969791020070342</v>
          </cell>
          <cell r="AE46">
            <v>8984999.9999999981</v>
          </cell>
          <cell r="AF46">
            <v>14499000</v>
          </cell>
          <cell r="AG46">
            <v>0.61969791020070342</v>
          </cell>
          <cell r="AH46" t="str">
            <v>SempraABSTBS</v>
          </cell>
          <cell r="AI46" t="str">
            <v>SempraABSTBS</v>
          </cell>
          <cell r="AJ46" t="str">
            <v>SempraABSTBS</v>
          </cell>
          <cell r="AK46" t="str">
            <v>SempraABSTBS</v>
          </cell>
        </row>
        <row r="47">
          <cell r="C47" t="str">
            <v>CanadianresABTCBS</v>
          </cell>
          <cell r="D47">
            <v>0</v>
          </cell>
          <cell r="E47">
            <v>0</v>
          </cell>
          <cell r="F47">
            <v>2880000</v>
          </cell>
          <cell r="G47">
            <v>1557921.0585371142</v>
          </cell>
          <cell r="H47">
            <v>2976000</v>
          </cell>
          <cell r="I47">
            <v>1609851.7604883513</v>
          </cell>
          <cell r="J47">
            <v>2976000</v>
          </cell>
          <cell r="K47">
            <v>1609851.7604883513</v>
          </cell>
          <cell r="L47">
            <v>2688000</v>
          </cell>
          <cell r="M47">
            <v>1454059.6546346399</v>
          </cell>
          <cell r="N47">
            <v>2642149.8960673762</v>
          </cell>
          <cell r="O47">
            <v>1429257.2787829905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14162149.896067377</v>
          </cell>
          <cell r="AC47">
            <v>7660941.5129314475</v>
          </cell>
          <cell r="AD47">
            <v>0.54094481199205346</v>
          </cell>
          <cell r="AE47">
            <v>7660941.5129314475</v>
          </cell>
          <cell r="AF47">
            <v>14162149.896067377</v>
          </cell>
          <cell r="AG47">
            <v>0.54094481199205335</v>
          </cell>
          <cell r="AH47" t="str">
            <v>CanadianresABTCBS</v>
          </cell>
          <cell r="AI47" t="str">
            <v>CanadianresABTCBS</v>
          </cell>
          <cell r="AJ47" t="str">
            <v>CanadianresABTCBS</v>
          </cell>
          <cell r="AK47" t="str">
            <v>CanadianresABTCBS</v>
          </cell>
        </row>
        <row r="48">
          <cell r="C48" t="str">
            <v>NationalFuelRKBS</v>
          </cell>
          <cell r="D48">
            <v>0</v>
          </cell>
          <cell r="E48">
            <v>0</v>
          </cell>
          <cell r="F48">
            <v>2959800</v>
          </cell>
          <cell r="G48">
            <v>1845000</v>
          </cell>
          <cell r="H48">
            <v>3058460</v>
          </cell>
          <cell r="I48">
            <v>1906500</v>
          </cell>
          <cell r="J48">
            <v>3058460</v>
          </cell>
          <cell r="K48">
            <v>1906500</v>
          </cell>
          <cell r="L48">
            <v>2762480</v>
          </cell>
          <cell r="M48">
            <v>1722000</v>
          </cell>
          <cell r="N48">
            <v>2660815.8544119522</v>
          </cell>
          <cell r="O48">
            <v>1658627.3570477909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14500015.854411952</v>
          </cell>
          <cell r="AC48">
            <v>9038627.3570477907</v>
          </cell>
          <cell r="AD48">
            <v>0.6233529292519765</v>
          </cell>
          <cell r="AE48">
            <v>9038627.3570477907</v>
          </cell>
          <cell r="AF48">
            <v>14500015.854411952</v>
          </cell>
          <cell r="AG48">
            <v>0.6233529292519765</v>
          </cell>
          <cell r="AH48" t="str">
            <v>NationalFuelRKBS</v>
          </cell>
          <cell r="AI48" t="str">
            <v>NationalFuelRKBS</v>
          </cell>
          <cell r="AJ48" t="str">
            <v>NationalFuelRKBS</v>
          </cell>
          <cell r="AK48" t="str">
            <v>NationalFuelRKBS</v>
          </cell>
        </row>
        <row r="49">
          <cell r="C49" t="str">
            <v>OneokRKBS</v>
          </cell>
          <cell r="D49">
            <v>0</v>
          </cell>
          <cell r="E49">
            <v>0</v>
          </cell>
          <cell r="F49">
            <v>4439700</v>
          </cell>
          <cell r="G49">
            <v>2684250</v>
          </cell>
          <cell r="H49">
            <v>4587690</v>
          </cell>
          <cell r="I49">
            <v>2773725</v>
          </cell>
          <cell r="J49">
            <v>4587690</v>
          </cell>
          <cell r="K49">
            <v>2773725</v>
          </cell>
          <cell r="L49">
            <v>4143720</v>
          </cell>
          <cell r="M49">
            <v>2505300</v>
          </cell>
          <cell r="N49">
            <v>3824522.902745334</v>
          </cell>
          <cell r="O49">
            <v>2312312.9044066407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21583322.902745336</v>
          </cell>
          <cell r="AC49">
            <v>13049312.904406641</v>
          </cell>
          <cell r="AD49">
            <v>0.60460166227447798</v>
          </cell>
          <cell r="AE49">
            <v>13049312.904406641</v>
          </cell>
          <cell r="AF49">
            <v>21583322.902745336</v>
          </cell>
          <cell r="AG49">
            <v>0.60460166227447798</v>
          </cell>
          <cell r="AH49" t="str">
            <v>OneokRKBS</v>
          </cell>
          <cell r="AI49" t="str">
            <v>OneokRKBS</v>
          </cell>
          <cell r="AJ49" t="str">
            <v>OneokRKBS</v>
          </cell>
          <cell r="AK49" t="str">
            <v>OneokRKBS</v>
          </cell>
        </row>
        <row r="50">
          <cell r="C50" t="str">
            <v>EnsercoRKBS</v>
          </cell>
          <cell r="D50">
            <v>0</v>
          </cell>
          <cell r="E50">
            <v>0</v>
          </cell>
          <cell r="F50">
            <v>2959800</v>
          </cell>
          <cell r="G50">
            <v>1783499.9999999998</v>
          </cell>
          <cell r="H50">
            <v>3058460</v>
          </cell>
          <cell r="I50">
            <v>1842949.9999999998</v>
          </cell>
          <cell r="J50">
            <v>3058460</v>
          </cell>
          <cell r="K50">
            <v>1842949.9999999998</v>
          </cell>
          <cell r="L50">
            <v>2762480</v>
          </cell>
          <cell r="M50">
            <v>1664599.9999999998</v>
          </cell>
          <cell r="N50">
            <v>2350367.1097286339</v>
          </cell>
          <cell r="O50">
            <v>1416271.2819112837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14189567.109728634</v>
          </cell>
          <cell r="AC50">
            <v>8550271.2819112837</v>
          </cell>
          <cell r="AD50">
            <v>0.60257449827691056</v>
          </cell>
          <cell r="AE50">
            <v>8550271.2819112837</v>
          </cell>
          <cell r="AF50">
            <v>14189567.109728634</v>
          </cell>
          <cell r="AG50">
            <v>0.60257449827691056</v>
          </cell>
          <cell r="AH50" t="str">
            <v>EnsercoRKBS</v>
          </cell>
          <cell r="AI50" t="str">
            <v>EnsercoRKBS</v>
          </cell>
          <cell r="AJ50" t="str">
            <v>EnsercoRKBS</v>
          </cell>
          <cell r="AK50" t="str">
            <v>EnsercoRKBS</v>
          </cell>
        </row>
        <row r="51">
          <cell r="C51" t="str">
            <v>WesternGasRKBS</v>
          </cell>
          <cell r="D51">
            <v>0</v>
          </cell>
          <cell r="E51">
            <v>0</v>
          </cell>
          <cell r="F51">
            <v>2959800</v>
          </cell>
          <cell r="G51">
            <v>1787999.9999999998</v>
          </cell>
          <cell r="H51">
            <v>3058460</v>
          </cell>
          <cell r="I51">
            <v>1847599.9999999998</v>
          </cell>
          <cell r="J51">
            <v>3058460</v>
          </cell>
          <cell r="K51">
            <v>1847599.9999999998</v>
          </cell>
          <cell r="L51">
            <v>2762480</v>
          </cell>
          <cell r="M51">
            <v>1668799.9999999998</v>
          </cell>
          <cell r="N51">
            <v>2114592.6125032036</v>
          </cell>
          <cell r="O51">
            <v>1277414.5520493709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13953792.612503204</v>
          </cell>
          <cell r="AC51">
            <v>8429414.5520493705</v>
          </cell>
          <cell r="AD51">
            <v>0.6040948712750861</v>
          </cell>
          <cell r="AE51">
            <v>8429414.5520493705</v>
          </cell>
          <cell r="AF51">
            <v>13953792.612503204</v>
          </cell>
          <cell r="AG51">
            <v>0.6040948712750861</v>
          </cell>
          <cell r="AH51" t="str">
            <v>WesternGasRKBS</v>
          </cell>
          <cell r="AI51">
            <v>0</v>
          </cell>
          <cell r="AJ51">
            <v>0</v>
          </cell>
          <cell r="AK51">
            <v>0</v>
          </cell>
        </row>
        <row r="52">
          <cell r="C52" t="str">
            <v>ConocoPhRKBS</v>
          </cell>
          <cell r="D52">
            <v>0</v>
          </cell>
          <cell r="E52">
            <v>0</v>
          </cell>
          <cell r="F52">
            <v>1479900</v>
          </cell>
          <cell r="G52">
            <v>906000</v>
          </cell>
          <cell r="H52">
            <v>1529230</v>
          </cell>
          <cell r="I52">
            <v>936200</v>
          </cell>
          <cell r="J52">
            <v>1529230</v>
          </cell>
          <cell r="K52">
            <v>936200</v>
          </cell>
          <cell r="L52">
            <v>1381240</v>
          </cell>
          <cell r="M52">
            <v>845600</v>
          </cell>
          <cell r="N52">
            <v>986600</v>
          </cell>
          <cell r="O52">
            <v>604000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6906200</v>
          </cell>
          <cell r="AC52">
            <v>4228000</v>
          </cell>
          <cell r="AD52">
            <v>0.61220352726535576</v>
          </cell>
          <cell r="AE52">
            <v>4228000</v>
          </cell>
          <cell r="AF52">
            <v>6906200</v>
          </cell>
          <cell r="AG52">
            <v>0.61220352726535576</v>
          </cell>
          <cell r="AH52" t="str">
            <v>ConocoPhRKBS</v>
          </cell>
          <cell r="AI52" t="str">
            <v>ConocoPhRKBS</v>
          </cell>
          <cell r="AJ52" t="str">
            <v>ConocoPhRKBS</v>
          </cell>
          <cell r="AK52" t="str">
            <v>ConocoPhRKBS</v>
          </cell>
        </row>
        <row r="53">
          <cell r="C53" t="str">
            <v>SempraRKBS</v>
          </cell>
          <cell r="D53">
            <v>0</v>
          </cell>
          <cell r="E53">
            <v>0</v>
          </cell>
          <cell r="F53">
            <v>2367840</v>
          </cell>
          <cell r="G53">
            <v>1425599.9999999998</v>
          </cell>
          <cell r="H53">
            <v>2446768</v>
          </cell>
          <cell r="I53">
            <v>1473119.9999999998</v>
          </cell>
          <cell r="J53">
            <v>2446768</v>
          </cell>
          <cell r="K53">
            <v>1473119.9999999998</v>
          </cell>
          <cell r="L53">
            <v>2209984</v>
          </cell>
          <cell r="M53">
            <v>1330559.9999999998</v>
          </cell>
          <cell r="N53">
            <v>1469653.0654981101</v>
          </cell>
          <cell r="O53">
            <v>884830.6516378239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10941013.06549811</v>
          </cell>
          <cell r="AC53">
            <v>6587230.6516378233</v>
          </cell>
          <cell r="AD53">
            <v>0.60206770727751868</v>
          </cell>
          <cell r="AE53">
            <v>6587230.6516378233</v>
          </cell>
          <cell r="AF53">
            <v>10941013.06549811</v>
          </cell>
          <cell r="AG53">
            <v>0.60206770727751868</v>
          </cell>
          <cell r="AH53" t="str">
            <v>SempraRKBS</v>
          </cell>
          <cell r="AI53" t="str">
            <v>SempraRKBS</v>
          </cell>
          <cell r="AJ53" t="str">
            <v>SempraRKBS</v>
          </cell>
          <cell r="AK53" t="str">
            <v>SempraRKBS</v>
          </cell>
        </row>
        <row r="54">
          <cell r="C54" t="str">
            <v>NationalFuelRKBS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49330</v>
          </cell>
          <cell r="O54">
            <v>27050</v>
          </cell>
          <cell r="P54">
            <v>1216797.8353174513</v>
          </cell>
          <cell r="Q54">
            <v>667228.49068187817</v>
          </cell>
          <cell r="R54">
            <v>767128.48331559589</v>
          </cell>
          <cell r="S54">
            <v>420653.26320062572</v>
          </cell>
          <cell r="T54">
            <v>565918.87594256841</v>
          </cell>
          <cell r="U54">
            <v>310320.40531616611</v>
          </cell>
          <cell r="V54">
            <v>416835.79793938494</v>
          </cell>
          <cell r="W54">
            <v>228571.01833084048</v>
          </cell>
          <cell r="X54">
            <v>417033.62396473961</v>
          </cell>
          <cell r="Y54">
            <v>228679.49580876163</v>
          </cell>
          <cell r="Z54">
            <v>377456.40836453682</v>
          </cell>
          <cell r="AA54">
            <v>206977.41427651979</v>
          </cell>
          <cell r="AB54">
            <v>3810501.0248442767</v>
          </cell>
          <cell r="AC54">
            <v>2089480.0876147919</v>
          </cell>
          <cell r="AD54">
            <v>0.54834786134198255</v>
          </cell>
          <cell r="AE54">
            <v>2089480.0876147919</v>
          </cell>
          <cell r="AF54">
            <v>3810501.0248442767</v>
          </cell>
          <cell r="AG54">
            <v>0.54834786134198243</v>
          </cell>
          <cell r="AH54" t="str">
            <v>NationalFuelRKBS</v>
          </cell>
          <cell r="AI54" t="str">
            <v>NationalFuelRKBS</v>
          </cell>
          <cell r="AJ54" t="str">
            <v>NationalFuelRKBS</v>
          </cell>
          <cell r="AK54" t="str">
            <v>NationalFuelRKBS</v>
          </cell>
        </row>
        <row r="55">
          <cell r="C55" t="str">
            <v>Unused "AJ"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 t="str">
            <v xml:space="preserve">                      N/A</v>
          </cell>
          <cell r="AE55">
            <v>0</v>
          </cell>
          <cell r="AF55">
            <v>0</v>
          </cell>
          <cell r="AG55">
            <v>0</v>
          </cell>
          <cell r="AH55" t="str">
            <v>Unused "AJ"</v>
          </cell>
          <cell r="AI55" t="str">
            <v>Unused "AJ"</v>
          </cell>
          <cell r="AJ55" t="str">
            <v>Unused "AJ"</v>
          </cell>
          <cell r="AK55" t="str">
            <v>Unused "AJ"</v>
          </cell>
        </row>
        <row r="56">
          <cell r="C56" t="str">
            <v>Unused "AK"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 t="str">
            <v xml:space="preserve">                      N/A</v>
          </cell>
          <cell r="AE56">
            <v>0</v>
          </cell>
          <cell r="AF56">
            <v>0</v>
          </cell>
          <cell r="AG56">
            <v>0</v>
          </cell>
          <cell r="AH56" t="str">
            <v>Unused "AK"</v>
          </cell>
          <cell r="AI56" t="str">
            <v>Unused "AK"</v>
          </cell>
          <cell r="AJ56" t="str">
            <v>Unused "AK"</v>
          </cell>
          <cell r="AK56" t="str">
            <v>Unused "AK"</v>
          </cell>
        </row>
        <row r="57">
          <cell r="C57" t="str">
            <v>Unused "AL"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 t="str">
            <v xml:space="preserve">                      N/A</v>
          </cell>
          <cell r="AE57">
            <v>0</v>
          </cell>
          <cell r="AF57">
            <v>0</v>
          </cell>
          <cell r="AG57">
            <v>0</v>
          </cell>
          <cell r="AH57" t="str">
            <v>Unused "AL"</v>
          </cell>
          <cell r="AI57" t="str">
            <v>Unused "AL"</v>
          </cell>
          <cell r="AJ57" t="str">
            <v>Unused "AL"</v>
          </cell>
          <cell r="AK57" t="str">
            <v>Unused "AL"</v>
          </cell>
        </row>
        <row r="58">
          <cell r="C58" t="str">
            <v>Unused "AM"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 t="str">
            <v xml:space="preserve">                      N/A</v>
          </cell>
          <cell r="AE58">
            <v>0</v>
          </cell>
          <cell r="AF58">
            <v>0</v>
          </cell>
          <cell r="AG58">
            <v>0</v>
          </cell>
          <cell r="AH58" t="str">
            <v>Unused "AM"</v>
          </cell>
          <cell r="AI58" t="str">
            <v>Unused "AM"</v>
          </cell>
          <cell r="AJ58" t="str">
            <v>Unused "AM"</v>
          </cell>
          <cell r="AK58" t="str">
            <v>Unused "AM"</v>
          </cell>
        </row>
        <row r="59">
          <cell r="C59" t="str">
            <v>Unused "AN"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 t="str">
            <v xml:space="preserve">                      N/A</v>
          </cell>
          <cell r="AE59">
            <v>0</v>
          </cell>
          <cell r="AF59">
            <v>0</v>
          </cell>
          <cell r="AG59">
            <v>0</v>
          </cell>
          <cell r="AH59" t="str">
            <v>Unused "AN"</v>
          </cell>
          <cell r="AI59" t="str">
            <v>Unused "AN"</v>
          </cell>
          <cell r="AJ59" t="str">
            <v>Unused "AN"</v>
          </cell>
          <cell r="AK59" t="str">
            <v>Unused "AN"</v>
          </cell>
        </row>
        <row r="60">
          <cell r="C60" t="str">
            <v>Unused "AO"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 t="str">
            <v xml:space="preserve">                      N/A</v>
          </cell>
          <cell r="AE60">
            <v>0</v>
          </cell>
          <cell r="AF60">
            <v>0</v>
          </cell>
          <cell r="AG60">
            <v>0</v>
          </cell>
          <cell r="AH60" t="str">
            <v>Unused "AO"</v>
          </cell>
          <cell r="AI60" t="str">
            <v>Unused "AO"</v>
          </cell>
          <cell r="AJ60" t="str">
            <v>Unused "AO"</v>
          </cell>
          <cell r="AK60" t="str">
            <v>Unused "AO"</v>
          </cell>
        </row>
        <row r="61">
          <cell r="C61" t="str">
            <v>Unused "AP"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 t="str">
            <v xml:space="preserve">                      N/A</v>
          </cell>
          <cell r="AE61">
            <v>0</v>
          </cell>
          <cell r="AF61">
            <v>0</v>
          </cell>
          <cell r="AG61">
            <v>0</v>
          </cell>
          <cell r="AH61" t="str">
            <v>Unused "AP"</v>
          </cell>
          <cell r="AI61" t="str">
            <v>Unused "AP"</v>
          </cell>
          <cell r="AJ61" t="str">
            <v>Unused "AP"</v>
          </cell>
          <cell r="AK61" t="str">
            <v>Unused "AP"</v>
          </cell>
        </row>
        <row r="62">
          <cell r="C62" t="str">
            <v>Unused "AQ"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 t="str">
            <v xml:space="preserve">                      N/A</v>
          </cell>
          <cell r="AE62">
            <v>0</v>
          </cell>
          <cell r="AF62">
            <v>0</v>
          </cell>
          <cell r="AG62">
            <v>0</v>
          </cell>
          <cell r="AH62" t="str">
            <v>Unused "AQ"</v>
          </cell>
          <cell r="AI62" t="str">
            <v>Unused "AQ"</v>
          </cell>
          <cell r="AJ62" t="str">
            <v>Unused "AQ"</v>
          </cell>
          <cell r="AK62" t="str">
            <v>Unused "AQ"</v>
          </cell>
        </row>
        <row r="63">
          <cell r="C63" t="str">
            <v>Unused "AR"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 t="str">
            <v xml:space="preserve">                      N/A</v>
          </cell>
          <cell r="AE63">
            <v>0</v>
          </cell>
          <cell r="AF63">
            <v>0</v>
          </cell>
          <cell r="AG63">
            <v>0</v>
          </cell>
          <cell r="AH63" t="str">
            <v>Unused "AR"</v>
          </cell>
          <cell r="AI63" t="str">
            <v>Unused "AR"</v>
          </cell>
          <cell r="AJ63" t="str">
            <v>Unused "AR"</v>
          </cell>
          <cell r="AK63" t="str">
            <v>Unused "AR"</v>
          </cell>
        </row>
        <row r="64">
          <cell r="C64" t="str">
            <v>Winter Only Swing Supplies</v>
          </cell>
          <cell r="AH64" t="str">
            <v>Winter Only Swing Supplies</v>
          </cell>
        </row>
        <row r="65">
          <cell r="C65" t="str">
            <v>SEMPRAABSTSW</v>
          </cell>
          <cell r="D65">
            <v>0</v>
          </cell>
          <cell r="E65">
            <v>0</v>
          </cell>
          <cell r="F65">
            <v>2875556.8055170779</v>
          </cell>
          <cell r="G65">
            <v>2104601.947524461</v>
          </cell>
          <cell r="H65">
            <v>2996460</v>
          </cell>
          <cell r="I65">
            <v>2190150</v>
          </cell>
          <cell r="J65">
            <v>2996460</v>
          </cell>
          <cell r="K65">
            <v>2190150</v>
          </cell>
          <cell r="L65">
            <v>2706480</v>
          </cell>
          <cell r="M65">
            <v>1978200</v>
          </cell>
          <cell r="N65">
            <v>571425.99360278808</v>
          </cell>
          <cell r="O65">
            <v>688655.63852685294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12146382.799119866</v>
          </cell>
          <cell r="AC65">
            <v>9151757.5860513151</v>
          </cell>
          <cell r="AD65">
            <v>0.75345538975722526</v>
          </cell>
          <cell r="AE65">
            <v>9151757.5860513151</v>
          </cell>
          <cell r="AF65">
            <v>12146382.799119866</v>
          </cell>
          <cell r="AG65">
            <v>0.75438159142450789</v>
          </cell>
          <cell r="AH65" t="str">
            <v>SEMPRAABSTSW</v>
          </cell>
          <cell r="AI65" t="str">
            <v>SEMPRAABSTSW</v>
          </cell>
          <cell r="AJ65" t="str">
            <v>SEMPRAABSTSW</v>
          </cell>
          <cell r="AK65" t="str">
            <v>SEMPRAABSTSW</v>
          </cell>
          <cell r="AL65">
            <v>9163007.5860513151</v>
          </cell>
          <cell r="AN65">
            <v>1767101.947524461</v>
          </cell>
        </row>
        <row r="66">
          <cell r="C66" t="str">
            <v>CANADIANNRABTCSW</v>
          </cell>
          <cell r="D66">
            <v>0</v>
          </cell>
          <cell r="E66">
            <v>0</v>
          </cell>
          <cell r="F66">
            <v>4143209.2423476279</v>
          </cell>
          <cell r="G66">
            <v>3074729.032781037</v>
          </cell>
          <cell r="H66">
            <v>4464000</v>
          </cell>
          <cell r="I66">
            <v>3289875</v>
          </cell>
          <cell r="J66">
            <v>4464000</v>
          </cell>
          <cell r="K66">
            <v>3289875</v>
          </cell>
          <cell r="L66">
            <v>4003577.9587569777</v>
          </cell>
          <cell r="M66">
            <v>2953973.0745668034</v>
          </cell>
          <cell r="N66">
            <v>660427.248093592</v>
          </cell>
          <cell r="O66">
            <v>927013.46965771506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17735214.449198198</v>
          </cell>
          <cell r="AC66">
            <v>13535465.577005556</v>
          </cell>
          <cell r="AD66">
            <v>0.76319717564043832</v>
          </cell>
          <cell r="AE66">
            <v>13535465.577005556</v>
          </cell>
          <cell r="AF66">
            <v>17735214.449198198</v>
          </cell>
          <cell r="AG66">
            <v>0.76417404570026348</v>
          </cell>
          <cell r="AH66" t="str">
            <v>CANADIANNRABTCSW</v>
          </cell>
          <cell r="AI66" t="str">
            <v>CANADIANNRABTCSW</v>
          </cell>
          <cell r="AJ66" t="str">
            <v>CANADIANNRABTCSW</v>
          </cell>
          <cell r="AK66" t="str">
            <v>CANADIANNRABTCSW</v>
          </cell>
          <cell r="AN66">
            <v>337500</v>
          </cell>
        </row>
        <row r="67">
          <cell r="C67" t="str">
            <v>NationalFuelRKSW</v>
          </cell>
          <cell r="D67">
            <v>0</v>
          </cell>
          <cell r="E67">
            <v>0</v>
          </cell>
          <cell r="F67">
            <v>2631994.9100247798</v>
          </cell>
          <cell r="G67">
            <v>2003500.4502486959</v>
          </cell>
          <cell r="H67">
            <v>3058460</v>
          </cell>
          <cell r="I67">
            <v>2283150</v>
          </cell>
          <cell r="J67">
            <v>3058460</v>
          </cell>
          <cell r="K67">
            <v>2283150</v>
          </cell>
          <cell r="L67">
            <v>2273311.6584223788</v>
          </cell>
          <cell r="M67">
            <v>1754796.4202532687</v>
          </cell>
          <cell r="N67">
            <v>357992.47027460206</v>
          </cell>
          <cell r="O67">
            <v>574469.92861367657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11380219.038721763</v>
          </cell>
          <cell r="AC67">
            <v>8899066.799115641</v>
          </cell>
          <cell r="AD67">
            <v>0.78197675886871088</v>
          </cell>
          <cell r="AE67">
            <v>8899066.799115641</v>
          </cell>
          <cell r="AF67">
            <v>11380219.038721763</v>
          </cell>
          <cell r="AG67">
            <v>0.7830004649995298</v>
          </cell>
          <cell r="AH67" t="str">
            <v>NationalFuelRKSW</v>
          </cell>
          <cell r="AI67" t="str">
            <v>NationalFuelRKSW</v>
          </cell>
          <cell r="AJ67" t="str">
            <v>NationalFuelRKSW</v>
          </cell>
          <cell r="AK67" t="str">
            <v>NationalFuelRKSW</v>
          </cell>
          <cell r="AN67">
            <v>2104601.947524461</v>
          </cell>
        </row>
        <row r="68">
          <cell r="C68" t="str">
            <v>EnsercoRKSW</v>
          </cell>
          <cell r="D68">
            <v>0</v>
          </cell>
          <cell r="E68">
            <v>0</v>
          </cell>
          <cell r="F68">
            <v>2413753.358486312</v>
          </cell>
          <cell r="G68">
            <v>1816824.6623980827</v>
          </cell>
          <cell r="H68">
            <v>3058460</v>
          </cell>
          <cell r="I68">
            <v>2224250</v>
          </cell>
          <cell r="J68">
            <v>3058460</v>
          </cell>
          <cell r="K68">
            <v>2224250</v>
          </cell>
          <cell r="L68">
            <v>1895178.9294760553</v>
          </cell>
          <cell r="M68">
            <v>1475837.5235426999</v>
          </cell>
          <cell r="N68">
            <v>295980</v>
          </cell>
          <cell r="O68">
            <v>514950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10721832.287962368</v>
          </cell>
          <cell r="AC68">
            <v>8256112.1859407835</v>
          </cell>
          <cell r="AD68">
            <v>0.77002810379808861</v>
          </cell>
          <cell r="AE68">
            <v>8256112.1859407835</v>
          </cell>
          <cell r="AF68">
            <v>10721832.287962368</v>
          </cell>
          <cell r="AG68">
            <v>0.77106337460832697</v>
          </cell>
          <cell r="AH68" t="str">
            <v>EnsercoRKSW</v>
          </cell>
          <cell r="AI68" t="str">
            <v>EnsercoRKSW</v>
          </cell>
          <cell r="AJ68" t="str">
            <v>EnsercoRKSW</v>
          </cell>
          <cell r="AK68" t="str">
            <v>EnsercoRKSW</v>
          </cell>
        </row>
        <row r="69">
          <cell r="C69" t="str">
            <v>OneokRKSW</v>
          </cell>
          <cell r="D69">
            <v>0</v>
          </cell>
          <cell r="E69">
            <v>0</v>
          </cell>
          <cell r="F69">
            <v>53661.023543157615</v>
          </cell>
          <cell r="G69">
            <v>242310.32884736083</v>
          </cell>
          <cell r="H69">
            <v>218221.92449879833</v>
          </cell>
          <cell r="I69">
            <v>323844.6434547723</v>
          </cell>
          <cell r="J69">
            <v>2224719.318585061</v>
          </cell>
          <cell r="K69">
            <v>1400416.4359053632</v>
          </cell>
          <cell r="L69">
            <v>2386780.5364187099</v>
          </cell>
          <cell r="M69">
            <v>1432333.2778879849</v>
          </cell>
          <cell r="N69">
            <v>402582.98483908968</v>
          </cell>
          <cell r="O69">
            <v>400450.43210423528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5285965.7878848165</v>
          </cell>
          <cell r="AC69">
            <v>3799355.1181997163</v>
          </cell>
          <cell r="AD69">
            <v>0.71876271445185258</v>
          </cell>
          <cell r="AE69">
            <v>3799355.1181997163</v>
          </cell>
          <cell r="AF69">
            <v>5285965.7878848165</v>
          </cell>
          <cell r="AG69">
            <v>0.73043598770942919</v>
          </cell>
          <cell r="AH69" t="str">
            <v>OneokRKSW</v>
          </cell>
          <cell r="AI69" t="str">
            <v>OneokRKSW</v>
          </cell>
          <cell r="AJ69" t="str">
            <v>OneokRKSW</v>
          </cell>
          <cell r="AK69" t="str">
            <v>OneokRKSW</v>
          </cell>
        </row>
        <row r="70">
          <cell r="C70" t="str">
            <v>WesternGas1RKSW</v>
          </cell>
          <cell r="D70">
            <v>0</v>
          </cell>
          <cell r="E70">
            <v>0</v>
          </cell>
          <cell r="F70">
            <v>0</v>
          </cell>
          <cell r="G70">
            <v>138000</v>
          </cell>
          <cell r="H70">
            <v>56572.791732603684</v>
          </cell>
          <cell r="I70">
            <v>167314.0413913969</v>
          </cell>
          <cell r="J70">
            <v>1284552.1444142838</v>
          </cell>
          <cell r="K70">
            <v>815733.44684997434</v>
          </cell>
          <cell r="L70">
            <v>1197435.309611877</v>
          </cell>
          <cell r="M70">
            <v>740504.23276341578</v>
          </cell>
          <cell r="N70">
            <v>197320</v>
          </cell>
          <cell r="O70">
            <v>225600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2735880.2457587644</v>
          </cell>
          <cell r="AC70">
            <v>2087151.7210047869</v>
          </cell>
          <cell r="AD70">
            <v>0.76288124242292621</v>
          </cell>
          <cell r="AE70">
            <v>2087151.7210047869</v>
          </cell>
          <cell r="AF70">
            <v>2735880.2457587644</v>
          </cell>
          <cell r="AG70">
            <v>0.77131899190365039</v>
          </cell>
          <cell r="AH70" t="str">
            <v>WesternGas1RKSW</v>
          </cell>
          <cell r="AI70" t="str">
            <v>WesternGas1RKSW</v>
          </cell>
          <cell r="AJ70" t="str">
            <v>WesternGas1RKSW</v>
          </cell>
          <cell r="AK70" t="str">
            <v>WesternGas1RKSW</v>
          </cell>
        </row>
        <row r="71">
          <cell r="C71" t="str">
            <v>WesternGas2RKSW</v>
          </cell>
          <cell r="D71">
            <v>0</v>
          </cell>
          <cell r="E71">
            <v>0</v>
          </cell>
          <cell r="F71">
            <v>0</v>
          </cell>
          <cell r="G71">
            <v>153000</v>
          </cell>
          <cell r="H71">
            <v>0</v>
          </cell>
          <cell r="I71">
            <v>158100</v>
          </cell>
          <cell r="J71">
            <v>847632.72881678864</v>
          </cell>
          <cell r="K71">
            <v>602278.10743794811</v>
          </cell>
          <cell r="L71">
            <v>822531.63961094152</v>
          </cell>
          <cell r="M71">
            <v>562986.44472320541</v>
          </cell>
          <cell r="N71">
            <v>125013.57047605375</v>
          </cell>
          <cell r="O71">
            <v>208499.63903153408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1795177.9389037839</v>
          </cell>
          <cell r="AC71">
            <v>1684864.1911926875</v>
          </cell>
          <cell r="AD71">
            <v>0.9385499647024077</v>
          </cell>
          <cell r="AE71">
            <v>1684864.1911926875</v>
          </cell>
          <cell r="AF71">
            <v>1795177.9389037839</v>
          </cell>
          <cell r="AG71">
            <v>0.94641615484498243</v>
          </cell>
          <cell r="AH71" t="str">
            <v>WesternGas2RKSW</v>
          </cell>
          <cell r="AI71" t="str">
            <v>WesternGas2RKSW</v>
          </cell>
          <cell r="AJ71" t="str">
            <v>WesternGas2RKSW</v>
          </cell>
          <cell r="AK71" t="str">
            <v>WesternGas2RKSW</v>
          </cell>
        </row>
        <row r="72">
          <cell r="C72" t="str">
            <v>ConocoPhRKSW</v>
          </cell>
          <cell r="D72">
            <v>0</v>
          </cell>
          <cell r="E72">
            <v>0</v>
          </cell>
          <cell r="F72">
            <v>0</v>
          </cell>
          <cell r="G72">
            <v>70500</v>
          </cell>
          <cell r="H72">
            <v>0</v>
          </cell>
          <cell r="I72">
            <v>72850</v>
          </cell>
          <cell r="J72">
            <v>295980</v>
          </cell>
          <cell r="K72">
            <v>228850</v>
          </cell>
          <cell r="L72">
            <v>394640</v>
          </cell>
          <cell r="M72">
            <v>268600</v>
          </cell>
          <cell r="N72">
            <v>49330</v>
          </cell>
          <cell r="O72">
            <v>92550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739950</v>
          </cell>
          <cell r="AC72">
            <v>733350</v>
          </cell>
          <cell r="AD72">
            <v>0.99108047841070346</v>
          </cell>
          <cell r="AE72">
            <v>733350</v>
          </cell>
          <cell r="AF72">
            <v>739950</v>
          </cell>
          <cell r="AG72">
            <v>1.0000337860666262</v>
          </cell>
          <cell r="AH72" t="str">
            <v>ConocoPhRKSW</v>
          </cell>
          <cell r="AI72" t="str">
            <v>ConocoPhRKSW</v>
          </cell>
          <cell r="AJ72" t="str">
            <v>ConocoPhRKSW</v>
          </cell>
          <cell r="AK72" t="str">
            <v>ConocoPhRKSW</v>
          </cell>
        </row>
        <row r="73">
          <cell r="C73" t="str">
            <v>NationalFuelRKSW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49330</v>
          </cell>
          <cell r="O73">
            <v>21850</v>
          </cell>
          <cell r="P73">
            <v>874327.92356772884</v>
          </cell>
          <cell r="Q73">
            <v>387270.73038627353</v>
          </cell>
          <cell r="R73">
            <v>605683.48358846887</v>
          </cell>
          <cell r="S73">
            <v>305113.20833516016</v>
          </cell>
          <cell r="T73">
            <v>274973.38954138779</v>
          </cell>
          <cell r="U73">
            <v>155519.10740329867</v>
          </cell>
          <cell r="V73">
            <v>304712.99173111725</v>
          </cell>
          <cell r="W73">
            <v>162455.94329066257</v>
          </cell>
          <cell r="X73">
            <v>303579.14712550718</v>
          </cell>
          <cell r="Y73">
            <v>162466.84541077208</v>
          </cell>
          <cell r="Z73">
            <v>172469.18523895842</v>
          </cell>
          <cell r="AA73">
            <v>76392.696076854685</v>
          </cell>
          <cell r="AB73">
            <v>2585076.1207931684</v>
          </cell>
          <cell r="AC73">
            <v>1271068.5309030218</v>
          </cell>
          <cell r="AD73">
            <v>0.49169481729343623</v>
          </cell>
          <cell r="AE73">
            <v>1271068.5309030218</v>
          </cell>
          <cell r="AF73">
            <v>2585076.1207931684</v>
          </cell>
          <cell r="AG73">
            <v>0.50391918372863032</v>
          </cell>
          <cell r="AH73" t="str">
            <v>NationalFuelRKSW</v>
          </cell>
          <cell r="AI73" t="str">
            <v>NationalFuelRKSW</v>
          </cell>
          <cell r="AJ73" t="str">
            <v>NationalFuelRKSW</v>
          </cell>
          <cell r="AK73" t="str">
            <v>NationalFuelRKSW</v>
          </cell>
        </row>
        <row r="74">
          <cell r="C74" t="str">
            <v>Unused "BD"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 t="str">
            <v xml:space="preserve">                      N/A</v>
          </cell>
          <cell r="AE74">
            <v>0</v>
          </cell>
          <cell r="AF74">
            <v>0</v>
          </cell>
          <cell r="AG74" t="str">
            <v xml:space="preserve">                      N/A</v>
          </cell>
          <cell r="AH74" t="str">
            <v>Unused "BD"</v>
          </cell>
          <cell r="AI74" t="str">
            <v>Unused "BD"</v>
          </cell>
          <cell r="AJ74" t="str">
            <v>Unused "BD"</v>
          </cell>
          <cell r="AK74" t="str">
            <v>Unused "BD"</v>
          </cell>
        </row>
        <row r="75">
          <cell r="C75" t="str">
            <v>Unused "Be"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 t="str">
            <v xml:space="preserve">                      N/A</v>
          </cell>
          <cell r="AE75">
            <v>0</v>
          </cell>
          <cell r="AF75">
            <v>0</v>
          </cell>
          <cell r="AG75" t="str">
            <v xml:space="preserve">                      N/A</v>
          </cell>
          <cell r="AH75" t="str">
            <v>Unused "Be"</v>
          </cell>
          <cell r="AI75" t="str">
            <v>Unused "Be"</v>
          </cell>
          <cell r="AJ75" t="str">
            <v>Unused "Be"</v>
          </cell>
          <cell r="AK75" t="str">
            <v>Unused "Be"</v>
          </cell>
        </row>
        <row r="76">
          <cell r="C76" t="str">
            <v>Unused "Bf"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 t="str">
            <v xml:space="preserve">                      N/A</v>
          </cell>
          <cell r="AE76">
            <v>0</v>
          </cell>
          <cell r="AF76">
            <v>0</v>
          </cell>
          <cell r="AG76" t="str">
            <v xml:space="preserve">                      N/A</v>
          </cell>
          <cell r="AH76" t="str">
            <v>Unused "Bf"</v>
          </cell>
          <cell r="AI76" t="str">
            <v>Day</v>
          </cell>
          <cell r="AJ76">
            <v>0</v>
          </cell>
          <cell r="AK76">
            <v>0</v>
          </cell>
        </row>
        <row r="77">
          <cell r="C77" t="str">
            <v>Unused "Bg"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 t="str">
            <v xml:space="preserve">                      N/A</v>
          </cell>
          <cell r="AE77">
            <v>0</v>
          </cell>
          <cell r="AF77">
            <v>0</v>
          </cell>
          <cell r="AG77" t="str">
            <v xml:space="preserve">                      N/A</v>
          </cell>
          <cell r="AH77" t="str">
            <v>Unused "Bg"</v>
          </cell>
          <cell r="AI77" t="str">
            <v>Unused "Bg"</v>
          </cell>
          <cell r="AJ77" t="str">
            <v>Unused "Bg"</v>
          </cell>
          <cell r="AK77" t="str">
            <v>Unused "Bg"</v>
          </cell>
        </row>
        <row r="78">
          <cell r="C78" t="str">
            <v xml:space="preserve">Spot Gas </v>
          </cell>
          <cell r="AH78" t="str">
            <v xml:space="preserve">Spot Gas </v>
          </cell>
        </row>
        <row r="79">
          <cell r="C79" t="str">
            <v>SPOTF</v>
          </cell>
          <cell r="D79">
            <v>18732857.95433785</v>
          </cell>
          <cell r="E79">
            <v>8066181.3065583352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3509458.4204849554</v>
          </cell>
          <cell r="K79">
            <v>1892019.2236518492</v>
          </cell>
          <cell r="L79">
            <v>1733456.5340205366</v>
          </cell>
          <cell r="M79">
            <v>913618.26625552378</v>
          </cell>
          <cell r="N79">
            <v>873604.17250941973</v>
          </cell>
          <cell r="O79">
            <v>415281.06967259391</v>
          </cell>
          <cell r="P79">
            <v>9650725.9520943202</v>
          </cell>
          <cell r="Q79">
            <v>4612081.9325058749</v>
          </cell>
          <cell r="R79">
            <v>1402849.6589857754</v>
          </cell>
          <cell r="S79">
            <v>711567.4325273548</v>
          </cell>
          <cell r="T79">
            <v>244730.55453502806</v>
          </cell>
          <cell r="U79">
            <v>137981.53395239418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876903.7480371464</v>
          </cell>
          <cell r="AA79">
            <v>397184.78363594512</v>
          </cell>
          <cell r="AB79">
            <v>37024586.995005034</v>
          </cell>
          <cell r="AC79">
            <v>17145915.54875987</v>
          </cell>
          <cell r="AD79">
            <v>0.46309538985736737</v>
          </cell>
          <cell r="AE79">
            <v>17145915.54875987</v>
          </cell>
          <cell r="AF79">
            <v>37024586.995005034</v>
          </cell>
          <cell r="AG79">
            <v>0.47308000000000006</v>
          </cell>
          <cell r="AH79" t="str">
            <v>SPOTF</v>
          </cell>
          <cell r="AI79" t="str">
            <v>Gas to Dispatch</v>
          </cell>
          <cell r="AJ79" t="str">
            <v>SPOTF</v>
          </cell>
          <cell r="AK79" t="str">
            <v>SPOTF</v>
          </cell>
        </row>
        <row r="80">
          <cell r="C80" t="str">
            <v>SPOTI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 t="str">
            <v xml:space="preserve">                      N/A</v>
          </cell>
          <cell r="AE80">
            <v>0</v>
          </cell>
          <cell r="AF80">
            <v>0</v>
          </cell>
          <cell r="AG80">
            <v>0</v>
          </cell>
          <cell r="AH80" t="str">
            <v>SPOTI</v>
          </cell>
          <cell r="AI80" t="str">
            <v>SPOTF</v>
          </cell>
          <cell r="AJ80" t="str">
            <v>SPOT I</v>
          </cell>
          <cell r="AK80" t="str">
            <v>SPOTI</v>
          </cell>
        </row>
        <row r="81">
          <cell r="C81" t="str">
            <v>Curtailment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 t="str">
            <v xml:space="preserve">                      N/A</v>
          </cell>
          <cell r="AE81">
            <v>0</v>
          </cell>
          <cell r="AF81">
            <v>0</v>
          </cell>
          <cell r="AH81" t="str">
            <v>Curtailment</v>
          </cell>
        </row>
        <row r="82">
          <cell r="C82" t="str">
            <v>Demand Charges in Commodity</v>
          </cell>
          <cell r="AH82" t="str">
            <v>Demand Charges in Commodity</v>
          </cell>
        </row>
        <row r="83">
          <cell r="F83">
            <v>0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P83">
            <v>0</v>
          </cell>
          <cell r="R83">
            <v>0</v>
          </cell>
          <cell r="T83">
            <v>0</v>
          </cell>
          <cell r="V83">
            <v>0</v>
          </cell>
          <cell r="X83">
            <v>0</v>
          </cell>
          <cell r="Z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H84">
            <v>0</v>
          </cell>
        </row>
        <row r="85">
          <cell r="C85" t="str">
            <v>TOTALS</v>
          </cell>
          <cell r="D85">
            <v>40083177.95433785</v>
          </cell>
          <cell r="E85">
            <v>16181152.996891666</v>
          </cell>
          <cell r="F85">
            <v>73085615.339918956</v>
          </cell>
          <cell r="G85">
            <v>41721427.050096557</v>
          </cell>
          <cell r="H85">
            <v>81346552.716231406</v>
          </cell>
          <cell r="I85">
            <v>46696230.500752978</v>
          </cell>
          <cell r="J85">
            <v>89234100.612301111</v>
          </cell>
          <cell r="K85">
            <v>50913419.029751934</v>
          </cell>
          <cell r="L85">
            <v>78376056.566317484</v>
          </cell>
          <cell r="M85">
            <v>44584962.493070021</v>
          </cell>
          <cell r="N85">
            <v>61820667.880750157</v>
          </cell>
          <cell r="O85">
            <v>34389809.258860976</v>
          </cell>
          <cell r="P85">
            <v>47710846.860014215</v>
          </cell>
          <cell r="Q85">
            <v>22866044.841441527</v>
          </cell>
          <cell r="R85">
            <v>39135681.794165805</v>
          </cell>
          <cell r="S85">
            <v>18819090.305327922</v>
          </cell>
          <cell r="T85">
            <v>32950157.287500627</v>
          </cell>
          <cell r="U85">
            <v>15817382.336879672</v>
          </cell>
          <cell r="V85">
            <v>22073636.60065892</v>
          </cell>
          <cell r="W85">
            <v>10536746.227995621</v>
          </cell>
          <cell r="X85">
            <v>22043912.440704938</v>
          </cell>
          <cell r="Y85">
            <v>10523154.973148476</v>
          </cell>
          <cell r="Z85">
            <v>26017755.981110521</v>
          </cell>
          <cell r="AA85">
            <v>12389394.053642172</v>
          </cell>
          <cell r="AB85">
            <v>613878162.03401208</v>
          </cell>
          <cell r="AC85">
            <v>325438814.06785959</v>
          </cell>
          <cell r="AD85">
            <v>0.5301358383389253</v>
          </cell>
          <cell r="AE85">
            <v>323349938.39639163</v>
          </cell>
          <cell r="AF85">
            <v>609616194.20681071</v>
          </cell>
          <cell r="AG85">
            <v>323349938.39639163</v>
          </cell>
          <cell r="AH85">
            <v>0</v>
          </cell>
        </row>
        <row r="86">
          <cell r="D86">
            <v>40083177.95433785</v>
          </cell>
          <cell r="F86">
            <v>73085615.339918956</v>
          </cell>
          <cell r="H86">
            <v>81346552.716231406</v>
          </cell>
          <cell r="J86">
            <v>89234100.612301111</v>
          </cell>
          <cell r="L86">
            <v>78376056.566317484</v>
          </cell>
          <cell r="N86">
            <v>61820667.880750157</v>
          </cell>
          <cell r="P86">
            <v>47710846.860014215</v>
          </cell>
          <cell r="R86">
            <v>39135681.794165805</v>
          </cell>
          <cell r="T86">
            <v>32950157.287500627</v>
          </cell>
          <cell r="V86">
            <v>22073636.60065892</v>
          </cell>
          <cell r="X86">
            <v>22043912.440704938</v>
          </cell>
          <cell r="Z86">
            <v>26017755.981110521</v>
          </cell>
        </row>
        <row r="87">
          <cell r="D87" t="str">
            <v>Volumes</v>
          </cell>
          <cell r="E87" t="str">
            <v>Cost</v>
          </cell>
          <cell r="F87" t="str">
            <v>Volumes</v>
          </cell>
          <cell r="G87" t="str">
            <v>Cost</v>
          </cell>
          <cell r="H87" t="str">
            <v>Volumes</v>
          </cell>
          <cell r="I87" t="str">
            <v>Cost</v>
          </cell>
          <cell r="J87" t="str">
            <v>Volumes</v>
          </cell>
          <cell r="K87" t="str">
            <v>Cost</v>
          </cell>
          <cell r="L87" t="str">
            <v>Volumes</v>
          </cell>
          <cell r="M87" t="str">
            <v>Cost</v>
          </cell>
          <cell r="N87" t="str">
            <v>Volumes</v>
          </cell>
          <cell r="O87" t="str">
            <v>Cost</v>
          </cell>
          <cell r="P87" t="str">
            <v>Volumes</v>
          </cell>
          <cell r="Q87" t="str">
            <v>Cost</v>
          </cell>
          <cell r="R87" t="str">
            <v>Volumes</v>
          </cell>
          <cell r="S87" t="str">
            <v>Cost</v>
          </cell>
          <cell r="T87" t="str">
            <v>Volumes</v>
          </cell>
          <cell r="U87" t="str">
            <v>Cost</v>
          </cell>
          <cell r="V87" t="str">
            <v>Volumes</v>
          </cell>
          <cell r="W87" t="str">
            <v>Cost</v>
          </cell>
          <cell r="X87" t="str">
            <v>Volumes</v>
          </cell>
          <cell r="Y87" t="str">
            <v>Cost</v>
          </cell>
          <cell r="Z87" t="str">
            <v>Volumes</v>
          </cell>
          <cell r="AA87" t="str">
            <v>Cost</v>
          </cell>
          <cell r="AB87" t="str">
            <v>Volumes</v>
          </cell>
          <cell r="AC87" t="str">
            <v>FLOWING</v>
          </cell>
          <cell r="AD87" t="str">
            <v>COST</v>
          </cell>
          <cell r="AE87" t="str">
            <v>Volumes</v>
          </cell>
          <cell r="AF87">
            <v>0</v>
          </cell>
        </row>
        <row r="88">
          <cell r="AF88" t="str">
            <v>=</v>
          </cell>
        </row>
        <row r="89">
          <cell r="C89" t="str">
            <v>TOTAL</v>
          </cell>
          <cell r="D89">
            <v>45324548.95433785</v>
          </cell>
          <cell r="E89">
            <v>18516318.640481666</v>
          </cell>
          <cell r="F89">
            <v>93536716.339918956</v>
          </cell>
          <cell r="G89">
            <v>50844672.315386556</v>
          </cell>
          <cell r="H89">
            <v>111381431.71623141</v>
          </cell>
          <cell r="I89">
            <v>60144045.327982977</v>
          </cell>
          <cell r="J89">
            <v>126604610.61230111</v>
          </cell>
          <cell r="K89">
            <v>67759312.75242193</v>
          </cell>
          <cell r="L89">
            <v>91341338.566317484</v>
          </cell>
          <cell r="M89">
            <v>50520351.635940023</v>
          </cell>
          <cell r="N89">
            <v>69757064.880750149</v>
          </cell>
          <cell r="O89">
            <v>37987767.039770976</v>
          </cell>
          <cell r="P89">
            <v>52115391.860014215</v>
          </cell>
          <cell r="Q89">
            <v>24919348.241221529</v>
          </cell>
          <cell r="R89">
            <v>39352681.794165805</v>
          </cell>
          <cell r="S89">
            <v>18911929.415327922</v>
          </cell>
          <cell r="T89">
            <v>33160157.287500627</v>
          </cell>
          <cell r="U89">
            <v>15907226.636879673</v>
          </cell>
          <cell r="V89">
            <v>22290636.60065892</v>
          </cell>
          <cell r="W89">
            <v>10629585.33799562</v>
          </cell>
          <cell r="X89">
            <v>22260912.440704938</v>
          </cell>
          <cell r="Y89">
            <v>10615994.083148476</v>
          </cell>
          <cell r="Z89">
            <v>26227755.981110521</v>
          </cell>
          <cell r="AA89">
            <v>12479238.353642173</v>
          </cell>
          <cell r="AB89">
            <v>733353247.03401208</v>
          </cell>
          <cell r="AC89">
            <v>379235790</v>
          </cell>
          <cell r="AD89">
            <v>0.51712567106478158</v>
          </cell>
          <cell r="AE89">
            <v>613878162.03401208</v>
          </cell>
        </row>
        <row r="90">
          <cell r="E90">
            <v>18516318.640481666</v>
          </cell>
          <cell r="G90">
            <v>50844672.315386556</v>
          </cell>
          <cell r="I90">
            <v>60144045.327982977</v>
          </cell>
          <cell r="K90">
            <v>67759312.75242193</v>
          </cell>
          <cell r="M90">
            <v>50520351.635940023</v>
          </cell>
          <cell r="O90">
            <v>37987767.039770976</v>
          </cell>
          <cell r="Q90">
            <v>24919348.241221529</v>
          </cell>
          <cell r="S90">
            <v>18911929.415327922</v>
          </cell>
          <cell r="U90">
            <v>15907226.636879673</v>
          </cell>
          <cell r="W90">
            <v>10629585.33799562</v>
          </cell>
          <cell r="Y90">
            <v>10615994.083148476</v>
          </cell>
          <cell r="AA90">
            <v>12479238.353642173</v>
          </cell>
          <cell r="AC90">
            <v>379235789.78019953</v>
          </cell>
          <cell r="AD90">
            <v>0.51712567076506177</v>
          </cell>
        </row>
        <row r="91">
          <cell r="AB91">
            <v>613878162.03401196</v>
          </cell>
          <cell r="AC91">
            <v>0.21980047225952148</v>
          </cell>
        </row>
        <row r="92">
          <cell r="AB92">
            <v>-119475085.00000012</v>
          </cell>
        </row>
        <row r="93">
          <cell r="AC93">
            <v>379235789.78019953</v>
          </cell>
        </row>
        <row r="94">
          <cell r="AA94">
            <v>3702958</v>
          </cell>
          <cell r="AB94">
            <v>609616194.20681071</v>
          </cell>
          <cell r="AC94" t="str">
            <v>PRODUCER FLOWING TOTAL</v>
          </cell>
          <cell r="AE94">
            <v>0</v>
          </cell>
        </row>
        <row r="95">
          <cell r="C95" t="str">
            <v>NORTHWEST NATURAL GAS COMPANY</v>
          </cell>
          <cell r="AA95">
            <v>737056205.03401208</v>
          </cell>
          <cell r="AB95">
            <v>0.54007583040176776</v>
          </cell>
          <cell r="AC95" t="str">
            <v>% CANADIAN OF FLOWING</v>
          </cell>
        </row>
        <row r="96">
          <cell r="C96" t="str">
            <v>MONTHLY WACOG CALCULATIONS</v>
          </cell>
          <cell r="X96">
            <v>125430809.55217114</v>
          </cell>
          <cell r="Y96" t="str">
            <v>BC</v>
          </cell>
          <cell r="AB96">
            <v>331540758.12603003</v>
          </cell>
          <cell r="AC96" t="str">
            <v>CANADIAN FLOWING</v>
          </cell>
          <cell r="AE96">
            <v>31093577.766390547</v>
          </cell>
          <cell r="AF96" t="str">
            <v>CANADIAN DEMAND</v>
          </cell>
        </row>
        <row r="97">
          <cell r="C97">
            <v>0</v>
          </cell>
          <cell r="X97">
            <v>206109948.57385889</v>
          </cell>
          <cell r="Y97" t="str">
            <v>Alberta</v>
          </cell>
          <cell r="AA97">
            <v>734361916</v>
          </cell>
          <cell r="AB97">
            <v>379235789.78019953</v>
          </cell>
          <cell r="AC97">
            <v>0</v>
          </cell>
        </row>
        <row r="98">
          <cell r="D98" t="str">
            <v>ALL SOURCE</v>
          </cell>
          <cell r="E98" t="str">
            <v>ALL SOURCE</v>
          </cell>
          <cell r="F98" t="str">
            <v>ALL SOURCE</v>
          </cell>
          <cell r="G98" t="str">
            <v>PORTFOLIO</v>
          </cell>
          <cell r="H98" t="str">
            <v>PORTFOLIO</v>
          </cell>
          <cell r="I98" t="str">
            <v>PORTFOLIO</v>
          </cell>
          <cell r="J98" t="str">
            <v>STORAGE</v>
          </cell>
          <cell r="K98" t="str">
            <v>STORAGE</v>
          </cell>
          <cell r="L98" t="str">
            <v>STORAGE</v>
          </cell>
          <cell r="X98">
            <v>331540758.12603003</v>
          </cell>
          <cell r="AA98">
            <v>1008668.9659879208</v>
          </cell>
          <cell r="AB98" t="str">
            <v>NORTHWEST NATURAL GAS COMPANY</v>
          </cell>
        </row>
        <row r="99">
          <cell r="D99" t="str">
            <v>VOLUMES [1]</v>
          </cell>
          <cell r="E99" t="str">
            <v>COST</v>
          </cell>
          <cell r="F99" t="str">
            <v>WACOG</v>
          </cell>
          <cell r="G99" t="str">
            <v>VOLUMES [2]</v>
          </cell>
          <cell r="H99" t="str">
            <v>COSTS</v>
          </cell>
          <cell r="I99" t="str">
            <v>WACOG</v>
          </cell>
          <cell r="J99" t="str">
            <v>VOLUMES</v>
          </cell>
          <cell r="K99" t="str">
            <v>COSTS</v>
          </cell>
          <cell r="L99" t="str">
            <v>WACOG</v>
          </cell>
          <cell r="AA99">
            <v>119475085</v>
          </cell>
          <cell r="AB99" t="str">
            <v xml:space="preserve">Computation Determining the </v>
          </cell>
        </row>
        <row r="100">
          <cell r="D100" t="str">
            <v xml:space="preserve"> ------------</v>
          </cell>
          <cell r="E100" t="str">
            <v xml:space="preserve"> ------------</v>
          </cell>
          <cell r="F100" t="str">
            <v xml:space="preserve"> ------------</v>
          </cell>
          <cell r="G100" t="str">
            <v xml:space="preserve"> ------------</v>
          </cell>
          <cell r="H100" t="str">
            <v xml:space="preserve"> ------------</v>
          </cell>
          <cell r="I100" t="str">
            <v xml:space="preserve"> ------------</v>
          </cell>
          <cell r="J100" t="str">
            <v xml:space="preserve"> ------------</v>
          </cell>
          <cell r="K100" t="str">
            <v xml:space="preserve"> ------------</v>
          </cell>
          <cell r="L100" t="str">
            <v xml:space="preserve"> ------------</v>
          </cell>
          <cell r="AA100">
            <v>-1.1920928955078125E-7</v>
          </cell>
          <cell r="AB100" t="str">
            <v>Mist Production Gas Price</v>
          </cell>
        </row>
        <row r="101">
          <cell r="C101" t="str">
            <v>JANUARY</v>
          </cell>
          <cell r="D101">
            <v>111381431.71623141</v>
          </cell>
          <cell r="E101">
            <v>60144045.327982977</v>
          </cell>
          <cell r="F101">
            <v>0.53998269191953918</v>
          </cell>
          <cell r="G101">
            <v>81346552.716231406</v>
          </cell>
          <cell r="H101">
            <v>46696230.500752978</v>
          </cell>
          <cell r="I101">
            <v>0.57404068078517967</v>
          </cell>
          <cell r="J101">
            <v>30034879</v>
          </cell>
          <cell r="K101">
            <v>13447814.827229997</v>
          </cell>
          <cell r="L101">
            <v>0.44773993686573527</v>
          </cell>
        </row>
        <row r="102">
          <cell r="C102" t="str">
            <v>FEBRUARY</v>
          </cell>
          <cell r="D102">
            <v>126604610.61230111</v>
          </cell>
          <cell r="E102">
            <v>67759312.75242193</v>
          </cell>
          <cell r="F102">
            <v>0.53520414797467353</v>
          </cell>
          <cell r="G102">
            <v>89234100.612301111</v>
          </cell>
          <cell r="H102">
            <v>50913419.029751934</v>
          </cell>
          <cell r="I102">
            <v>0.5705601186138185</v>
          </cell>
          <cell r="J102">
            <v>37370510</v>
          </cell>
          <cell r="K102">
            <v>16845893.72267</v>
          </cell>
          <cell r="L102">
            <v>0.45078040740332415</v>
          </cell>
        </row>
        <row r="103">
          <cell r="C103" t="str">
            <v>MARCH</v>
          </cell>
          <cell r="D103">
            <v>91341338.566317484</v>
          </cell>
          <cell r="E103">
            <v>50520351.635940023</v>
          </cell>
          <cell r="F103">
            <v>0.55309405827527058</v>
          </cell>
          <cell r="G103">
            <v>78376056.566317484</v>
          </cell>
          <cell r="H103">
            <v>44584962.493070021</v>
          </cell>
          <cell r="I103">
            <v>0.5688594763037701</v>
          </cell>
          <cell r="J103">
            <v>12965282</v>
          </cell>
          <cell r="K103">
            <v>5935389.1428699987</v>
          </cell>
          <cell r="L103">
            <v>0.45779097923747425</v>
          </cell>
        </row>
        <row r="104">
          <cell r="C104" t="str">
            <v>APRIL</v>
          </cell>
          <cell r="D104">
            <v>69757064.880750149</v>
          </cell>
          <cell r="E104">
            <v>37987767.039770976</v>
          </cell>
          <cell r="F104">
            <v>0.5445723254656879</v>
          </cell>
          <cell r="G104">
            <v>61820667.880750157</v>
          </cell>
          <cell r="H104">
            <v>34389809.258860976</v>
          </cell>
          <cell r="I104">
            <v>0.55628336667597444</v>
          </cell>
          <cell r="J104">
            <v>7936397</v>
          </cell>
          <cell r="K104">
            <v>3597957.7809099997</v>
          </cell>
          <cell r="L104">
            <v>0.45334901730722388</v>
          </cell>
          <cell r="AB104" t="str">
            <v>Commodity Cost of Producer Gas [1]</v>
          </cell>
          <cell r="AE104">
            <v>323349938.39639163</v>
          </cell>
          <cell r="AH104" t="str">
            <v>CHECK</v>
          </cell>
        </row>
        <row r="105">
          <cell r="C105" t="str">
            <v>MAY</v>
          </cell>
          <cell r="D105">
            <v>52115391.860014215</v>
          </cell>
          <cell r="E105">
            <v>24919348.241221529</v>
          </cell>
          <cell r="F105">
            <v>0.47815716915564477</v>
          </cell>
          <cell r="G105">
            <v>47710846.860014215</v>
          </cell>
          <cell r="H105">
            <v>22866044.841441527</v>
          </cell>
          <cell r="I105">
            <v>0.47926302604796639</v>
          </cell>
          <cell r="J105">
            <v>4404545</v>
          </cell>
          <cell r="K105">
            <v>2053303.3997800003</v>
          </cell>
          <cell r="L105">
            <v>0.4661783225690736</v>
          </cell>
          <cell r="AB105" t="str">
            <v>Commodity Cost of Summer Injection Gas</v>
          </cell>
          <cell r="AE105">
            <v>0</v>
          </cell>
          <cell r="AH105">
            <v>323349938.39639169</v>
          </cell>
        </row>
        <row r="106">
          <cell r="C106" t="str">
            <v>JUNE</v>
          </cell>
          <cell r="D106">
            <v>39352681.794165805</v>
          </cell>
          <cell r="E106">
            <v>18911929.415327922</v>
          </cell>
          <cell r="F106">
            <v>0.48057536495852465</v>
          </cell>
          <cell r="G106">
            <v>39135681.794165805</v>
          </cell>
          <cell r="H106">
            <v>18819090.305327922</v>
          </cell>
          <cell r="I106">
            <v>0.48086782809373207</v>
          </cell>
          <cell r="J106">
            <v>217000</v>
          </cell>
          <cell r="K106">
            <v>92839.109999999957</v>
          </cell>
          <cell r="L106">
            <v>0.42782999999999982</v>
          </cell>
          <cell r="AB106" t="str">
            <v>Upstream Demand Charges [2]</v>
          </cell>
          <cell r="AE106">
            <v>31093577.766390547</v>
          </cell>
          <cell r="AH106">
            <v>323349938.39639169</v>
          </cell>
        </row>
        <row r="107">
          <cell r="C107" t="str">
            <v>JULY</v>
          </cell>
          <cell r="D107">
            <v>33160157.287500627</v>
          </cell>
          <cell r="E107">
            <v>15907226.636879673</v>
          </cell>
          <cell r="F107">
            <v>0.47970902245616714</v>
          </cell>
          <cell r="G107">
            <v>32950157.287500627</v>
          </cell>
          <cell r="H107">
            <v>15817382.336879672</v>
          </cell>
          <cell r="I107">
            <v>0.48003966108167462</v>
          </cell>
          <cell r="J107">
            <v>210000</v>
          </cell>
          <cell r="K107">
            <v>89844.299999999959</v>
          </cell>
          <cell r="L107">
            <v>0.42782999999999982</v>
          </cell>
          <cell r="AE107" t="str">
            <v>-</v>
          </cell>
          <cell r="AH107">
            <v>0</v>
          </cell>
        </row>
        <row r="108">
          <cell r="C108" t="str">
            <v>AUGUST</v>
          </cell>
          <cell r="D108">
            <v>22290636.60065892</v>
          </cell>
          <cell r="E108">
            <v>10629585.33799562</v>
          </cell>
          <cell r="F108">
            <v>0.47686324659213214</v>
          </cell>
          <cell r="G108">
            <v>22073636.60065892</v>
          </cell>
          <cell r="H108">
            <v>10536746.227995621</v>
          </cell>
          <cell r="I108">
            <v>0.4773452792858377</v>
          </cell>
          <cell r="J108">
            <v>217000</v>
          </cell>
          <cell r="K108">
            <v>92839.109999999957</v>
          </cell>
          <cell r="L108">
            <v>0.42782999999999982</v>
          </cell>
          <cell r="AB108" t="str">
            <v>Total Cost of Producer Gas</v>
          </cell>
          <cell r="AE108">
            <v>354443516.16278219</v>
          </cell>
        </row>
        <row r="109">
          <cell r="C109" t="str">
            <v>SEPTEMBER</v>
          </cell>
          <cell r="D109">
            <v>22260912.440704938</v>
          </cell>
          <cell r="E109">
            <v>10615994.083148476</v>
          </cell>
          <cell r="F109">
            <v>0.47688944069231953</v>
          </cell>
          <cell r="G109">
            <v>22043912.440704938</v>
          </cell>
          <cell r="H109">
            <v>10523154.973148476</v>
          </cell>
          <cell r="I109">
            <v>0.47737238121655134</v>
          </cell>
          <cell r="J109">
            <v>217000</v>
          </cell>
          <cell r="K109">
            <v>92839.109999999957</v>
          </cell>
          <cell r="L109">
            <v>0.42782999999999982</v>
          </cell>
        </row>
        <row r="110">
          <cell r="C110" t="str">
            <v>OCTOBER</v>
          </cell>
          <cell r="D110">
            <v>26227755.981110521</v>
          </cell>
          <cell r="E110">
            <v>12479238.353642173</v>
          </cell>
          <cell r="F110">
            <v>0.47580274738829503</v>
          </cell>
          <cell r="G110">
            <v>26017755.981110521</v>
          </cell>
          <cell r="H110">
            <v>12389394.053642172</v>
          </cell>
          <cell r="I110">
            <v>0.47618995514590701</v>
          </cell>
          <cell r="J110">
            <v>210000</v>
          </cell>
          <cell r="K110">
            <v>89844.299999999959</v>
          </cell>
          <cell r="L110">
            <v>0.42782999999999982</v>
          </cell>
          <cell r="AB110" t="str">
            <v>Producer Volumes for System Supply</v>
          </cell>
          <cell r="AE110">
            <v>609616194.20681059</v>
          </cell>
        </row>
        <row r="111">
          <cell r="C111" t="str">
            <v>NOVEMBER</v>
          </cell>
          <cell r="D111">
            <v>45324548.95433785</v>
          </cell>
          <cell r="E111">
            <v>18516318.640481666</v>
          </cell>
          <cell r="F111">
            <v>0.40852736690520414</v>
          </cell>
          <cell r="G111">
            <v>40083177.95433785</v>
          </cell>
          <cell r="H111">
            <v>16181152.996891666</v>
          </cell>
          <cell r="I111">
            <v>0.40368937351536827</v>
          </cell>
          <cell r="J111">
            <v>5241371</v>
          </cell>
          <cell r="K111">
            <v>2335165.64359</v>
          </cell>
          <cell r="L111">
            <v>0.44552573049875693</v>
          </cell>
          <cell r="AB111" t="str">
            <v>Producer Volumes for Storage Injection</v>
          </cell>
          <cell r="AE111">
            <v>0</v>
          </cell>
        </row>
        <row r="112">
          <cell r="C112" t="str">
            <v>DECEMBER</v>
          </cell>
          <cell r="D112">
            <v>93536716.339918956</v>
          </cell>
          <cell r="E112">
            <v>50844672.315386556</v>
          </cell>
          <cell r="F112">
            <v>0.54357982945021788</v>
          </cell>
          <cell r="G112">
            <v>73085615.339918956</v>
          </cell>
          <cell r="H112">
            <v>41721427.050096557</v>
          </cell>
          <cell r="I112">
            <v>0.5708568896362366</v>
          </cell>
          <cell r="J112">
            <v>20451101</v>
          </cell>
          <cell r="K112">
            <v>9123245.2652900014</v>
          </cell>
          <cell r="L112">
            <v>0.44610044541318344</v>
          </cell>
          <cell r="AB112" t="str">
            <v>Total Producer Gas Therms [3]</v>
          </cell>
          <cell r="AE112">
            <v>609616194.20681059</v>
          </cell>
        </row>
        <row r="113">
          <cell r="D113" t="str">
            <v xml:space="preserve"> ------------</v>
          </cell>
          <cell r="E113" t="str">
            <v xml:space="preserve"> ------------</v>
          </cell>
          <cell r="F113" t="str">
            <v xml:space="preserve"> ------------</v>
          </cell>
          <cell r="G113" t="str">
            <v xml:space="preserve"> ------------</v>
          </cell>
          <cell r="H113" t="str">
            <v xml:space="preserve"> ------------</v>
          </cell>
          <cell r="I113" t="str">
            <v xml:space="preserve"> ------------</v>
          </cell>
          <cell r="J113" t="str">
            <v xml:space="preserve"> ------------</v>
          </cell>
          <cell r="K113" t="str">
            <v xml:space="preserve"> ------------</v>
          </cell>
          <cell r="L113" t="str">
            <v xml:space="preserve"> ------------</v>
          </cell>
        </row>
        <row r="114">
          <cell r="C114" t="str">
            <v>TOTAL</v>
          </cell>
          <cell r="D114">
            <v>733353247.03401208</v>
          </cell>
          <cell r="E114">
            <v>379235789.78019953</v>
          </cell>
          <cell r="F114">
            <v>0.51712567076506177</v>
          </cell>
          <cell r="G114">
            <v>613878162.03401196</v>
          </cell>
          <cell r="H114">
            <v>325438814.06785959</v>
          </cell>
          <cell r="I114">
            <v>0.53013583316349866</v>
          </cell>
          <cell r="J114">
            <v>119475085</v>
          </cell>
          <cell r="K114">
            <v>53796975.71233999</v>
          </cell>
          <cell r="L114">
            <v>0.45027777726494178</v>
          </cell>
          <cell r="AB114" t="str">
            <v>Average Producer Gas Cost per Therm</v>
          </cell>
          <cell r="AE114">
            <v>0.58142000000000005</v>
          </cell>
        </row>
        <row r="115">
          <cell r="C115" t="str">
            <v>[1]  ALL SOURCE VOLUMES AND COSTS INCLUCE GAS FROM BOTH STORAGE AND PIPELINE</v>
          </cell>
          <cell r="AE115" t="str">
            <v>=</v>
          </cell>
        </row>
        <row r="116">
          <cell r="C116" t="str">
            <v>SOURCES.  TRANSPORTATION CHARGES AND FIXED CHARGES ARE NOT INCLUDED.</v>
          </cell>
        </row>
        <row r="117">
          <cell r="C117" t="str">
            <v>[2]  PORTFOLIO VOLUMES AND COSTS INCLUDE ALL FLOWING GAS SOURCES WITHOUT DEMAND AND TRANSPORT CHARGES.</v>
          </cell>
          <cell r="AB117" t="str">
            <v>-</v>
          </cell>
          <cell r="AC117" t="str">
            <v>-</v>
          </cell>
          <cell r="AD117" t="str">
            <v>-</v>
          </cell>
          <cell r="AE117" t="str">
            <v>-</v>
          </cell>
          <cell r="AF117" t="str">
            <v>-</v>
          </cell>
          <cell r="AG117" t="str">
            <v>-</v>
          </cell>
        </row>
        <row r="118">
          <cell r="G118">
            <v>613878168.02696931</v>
          </cell>
          <cell r="AB118" t="str">
            <v>[1] Includes the cost of all producer sources except Mist Production</v>
          </cell>
        </row>
        <row r="119">
          <cell r="AB119" t="str">
            <v>gas priced into Northwest Pipeline</v>
          </cell>
        </row>
        <row r="120">
          <cell r="I120" t="str">
            <v>Demand</v>
          </cell>
          <cell r="AB120" t="str">
            <v>[2] For transportation of applicable gas other than Northwest Pipeline</v>
          </cell>
        </row>
      </sheetData>
      <sheetData sheetId="11" refreshError="1"/>
      <sheetData sheetId="12" refreshError="1"/>
      <sheetData sheetId="13"/>
      <sheetData sheetId="14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2.32 ANALYSIS"/>
      <sheetName val="WORKSHEET"/>
      <sheetName val="MAIN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EXEC SUMMARY"/>
      <sheetName val="EXEC SUMMARY CONT."/>
      <sheetName val="MARGIN NET"/>
      <sheetName val="MARGIN Detail"/>
      <sheetName val="REV"/>
      <sheetName val="Delivered Volumes"/>
      <sheetName val="SOURCE VOL"/>
      <sheetName val="COG"/>
      <sheetName val="CUSTOMER COUNTS report"/>
      <sheetName val="UNACCOUNTED FOR GAS"/>
      <sheetName val="Exec Summ Data"/>
      <sheetName val="General Inputs"/>
      <sheetName val="Rev&amp;Vol Inputs"/>
      <sheetName val="CUSTOMER Data"/>
      <sheetName val="Allocations"/>
      <sheetName val="Margin Calc"/>
      <sheetName val="Output for BOD report"/>
      <sheetName val="Output for EPS vis"/>
      <sheetName val="2008 Budget"/>
      <sheetName val="07 MARGIN NET"/>
      <sheetName val="07 MARGIN Detail"/>
      <sheetName val="07 REV"/>
      <sheetName val="07 Delivered Volumes"/>
      <sheetName val="07 SOURCE VOL"/>
      <sheetName val="07 COG"/>
      <sheetName val="QTR TITLE"/>
      <sheetName val="QTR MARGIN NET"/>
      <sheetName val="QTR MARGIN"/>
      <sheetName val="QTR Delivered Volumes"/>
      <sheetName val="QTR REV"/>
      <sheetName val="QTR SOURCE VOL"/>
      <sheetName val="QTR C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2">
          <cell r="A52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Officers"/>
      <sheetName val="Exempt"/>
      <sheetName val="Office"/>
      <sheetName val="Field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 101 Report"/>
      <sheetName val="UTILPLNT"/>
      <sheetName val="WA VEHICLES"/>
      <sheetName val="CIS TOTALS"/>
      <sheetName val="Capitalized%"/>
      <sheetName val="Table of Con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BS WORKPAPERS"/>
      <sheetName val="SEC UTILITY PLANT"/>
      <sheetName val="SEC ACCUM DEPR"/>
      <sheetName val="SEC NON-UTIL PROP"/>
      <sheetName val="SEC NON-UT DEPR &amp; AMORT"/>
      <sheetName val="SEC AIRCRAFT"/>
      <sheetName val="SEC OTHER INV"/>
      <sheetName val="SEC NW ENERGY"/>
      <sheetName val="SEC NNGFC"/>
      <sheetName val="SEC INT REC - NW ENERGY"/>
      <sheetName val="SEC INT REC - NNGFC"/>
      <sheetName val="SEC CASH"/>
      <sheetName val="SEC AR - TRADE"/>
      <sheetName val="SEC ALLOW UNCOLL ACCTS"/>
      <sheetName val="SEC ACCRUED REV"/>
      <sheetName val="SEC INVENTORIES"/>
      <sheetName val="SEC PREPAIDS"/>
      <sheetName val="SEC INC TAX ASSET"/>
      <sheetName val="SEC LOSS DERIVATIVES"/>
      <sheetName val="SEC UNAMORT LOSS DEBT RED"/>
      <sheetName val="SEC OTHER REG ASSETS"/>
      <sheetName val="SEC INVEST LIFE INS"/>
      <sheetName val="SEC OTHER ASSETS"/>
      <sheetName val="SEC COMMON STOCK"/>
      <sheetName val="SEC PREM ON COM STK"/>
      <sheetName val="SEC UNEARNED COMP"/>
      <sheetName val="SEC ACCUM COMPR INCOME"/>
      <sheetName val="SEC EARNINGS INV IN BUSINESS"/>
      <sheetName val="SEC PREFERENCE STOCK"/>
      <sheetName val="SEC PREFERRED STOCK"/>
      <sheetName val="SEC LONG-TERM DEBT"/>
      <sheetName val="SEC NOTES PAYABLE"/>
      <sheetName val="SEC ACCOUNTS PAYABLE"/>
      <sheetName val="SEC CURRENT DEBT"/>
      <sheetName val="SEC TAXES ACCRUED"/>
      <sheetName val="SEC INTEREST ACCRUED - OTHER"/>
      <sheetName val="SEC OTH CURR LIAB"/>
      <sheetName val="SEC CUSTOMER ADV"/>
      <sheetName val="SEC DEF INCOME TAX LIAB"/>
      <sheetName val="SEC DEF INVEST TAX CREDITS"/>
      <sheetName val="SEC OTHER LIAB"/>
      <sheetName val="SEC BEG RET EARN"/>
      <sheetName val="SEC NET INCOME"/>
      <sheetName val="SEC COMMON STK DIVIDENDS"/>
      <sheetName val="SEC CAPITAL STOCK EXPENSE"/>
      <sheetName val="LAW UTIL PLANT"/>
      <sheetName val="LAW ACCUM DEPR"/>
      <sheetName val="LAW GAS STORED"/>
      <sheetName val="LAW NON UTIL PROP"/>
      <sheetName val="LAW INV IN SUBS"/>
      <sheetName val="LAW OTHER INV"/>
      <sheetName val="LAW CASH"/>
      <sheetName val="LAW ACCT REC"/>
      <sheetName val="LAW ALLOW UNCOLL ACCT"/>
      <sheetName val="LAW ACCRUED REV"/>
      <sheetName val="LAW INV OF GAS"/>
      <sheetName val="LAW PREPAID PROP"/>
      <sheetName val="LAW UNAMT DEBT DISC"/>
      <sheetName val="LAW DEF REG AND OTHER"/>
      <sheetName val="FARLEY"/>
      <sheetName val="LAW COMM STOCK"/>
      <sheetName val="LAW PREM ON STOCK"/>
      <sheetName val="LAW RETAIN EARN"/>
      <sheetName val="LAW PREF STOCK"/>
      <sheetName val="LAW LONG TERM DEBT"/>
      <sheetName val="LAW ACCT PAY"/>
      <sheetName val="LAW NOTE PAY"/>
      <sheetName val="LAW CURR POR LT DEBT"/>
      <sheetName val="LAW CUST DEPOS"/>
      <sheetName val="LAW TAXES ACCRUED"/>
      <sheetName val="LAW INTEREST ACCRUED"/>
      <sheetName val="LAW DIVIDENDS DECLARED"/>
      <sheetName val="LAW OTH CURRENT LIAB"/>
      <sheetName val="LAW DEF TAXES INV CREDIT"/>
      <sheetName val="LAW OTHER LIABILITIES"/>
    </sheetNames>
    <sheetDataSet>
      <sheetData sheetId="0" refreshError="1">
        <row r="7">
          <cell r="F7">
            <v>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23">
          <cell r="B23">
            <v>13433580.029999999</v>
          </cell>
        </row>
      </sheetData>
      <sheetData sheetId="49" refreshError="1">
        <row r="42">
          <cell r="B42">
            <v>33963480.640000001</v>
          </cell>
        </row>
        <row r="44">
          <cell r="B44">
            <v>-5244349.6099999994</v>
          </cell>
        </row>
      </sheetData>
      <sheetData sheetId="50" refreshError="1">
        <row r="20">
          <cell r="B20">
            <v>-8517804.8300000001</v>
          </cell>
        </row>
        <row r="22">
          <cell r="B22">
            <v>5725355.6499999994</v>
          </cell>
        </row>
        <row r="24">
          <cell r="B24">
            <v>8518430.1699999999</v>
          </cell>
        </row>
        <row r="26">
          <cell r="B26">
            <v>-56356.429999999978</v>
          </cell>
        </row>
      </sheetData>
      <sheetData sheetId="51" refreshError="1">
        <row r="45">
          <cell r="B45">
            <v>6620882.8100000005</v>
          </cell>
        </row>
        <row r="47">
          <cell r="B47">
            <v>2752714.13</v>
          </cell>
        </row>
      </sheetData>
      <sheetData sheetId="52" refreshError="1">
        <row r="96">
          <cell r="B96">
            <v>2475325.4900000002</v>
          </cell>
        </row>
      </sheetData>
      <sheetData sheetId="53" refreshError="1">
        <row r="42">
          <cell r="B42">
            <v>69122705.230000019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>
        <row r="46">
          <cell r="B46">
            <v>3299115</v>
          </cell>
        </row>
      </sheetData>
      <sheetData sheetId="59" refreshError="1">
        <row r="159">
          <cell r="B159">
            <v>64734000</v>
          </cell>
        </row>
        <row r="161">
          <cell r="B161">
            <v>-10911988.169999987</v>
          </cell>
        </row>
        <row r="163">
          <cell r="B163">
            <v>7332394</v>
          </cell>
        </row>
        <row r="165">
          <cell r="B165">
            <v>45011073.32</v>
          </cell>
        </row>
        <row r="167">
          <cell r="B167">
            <v>91755639.98999998</v>
          </cell>
        </row>
      </sheetData>
      <sheetData sheetId="60" refreshError="1"/>
      <sheetData sheetId="61" refreshError="1"/>
      <sheetData sheetId="62" refreshError="1"/>
      <sheetData sheetId="63" refreshError="1">
        <row r="23">
          <cell r="B23">
            <v>-1817780.5</v>
          </cell>
        </row>
        <row r="25">
          <cell r="B25">
            <v>-862208.77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17">
          <cell r="B17">
            <v>3058749.56</v>
          </cell>
        </row>
      </sheetData>
      <sheetData sheetId="70" refreshError="1"/>
      <sheetData sheetId="71" refreshError="1"/>
      <sheetData sheetId="72" refreshError="1">
        <row r="15">
          <cell r="B15">
            <v>5.8207660913467407E-10</v>
          </cell>
        </row>
      </sheetData>
      <sheetData sheetId="73" refreshError="1"/>
      <sheetData sheetId="74" refreshError="1">
        <row r="34">
          <cell r="B34">
            <v>210359956.91999999</v>
          </cell>
        </row>
      </sheetData>
      <sheetData sheetId="75" refreshError="1">
        <row r="76">
          <cell r="B76">
            <v>1529272.67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taff Summary Page 1"/>
      <sheetName val="Staff Summary Page 2"/>
      <sheetName val="Staff Summary Page 3"/>
      <sheetName val="PGA effects"/>
      <sheetName val="page1"/>
      <sheetName val="Sheet1"/>
      <sheetName val="Rates"/>
      <sheetName val="Unbundled Rates"/>
      <sheetName val="RC Clp"/>
      <sheetName val="Elasticity"/>
      <sheetName val="Bare Steel"/>
      <sheetName val="Geo-Hazard"/>
      <sheetName val="CLP with elas"/>
      <sheetName val="New SMPE"/>
      <sheetName val="PGA by Sched"/>
      <sheetName val="Equalpct"/>
      <sheetName val="Temp Inc Summary"/>
      <sheetName val="Proposed Temps"/>
      <sheetName val="TEST CLP"/>
      <sheetName val="page1:CLP with elas"/>
      <sheetName val="New SMPE:Proposed Te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A7" t="str">
            <v>NW NATURAL</v>
          </cell>
        </row>
        <row r="8">
          <cell r="A8" t="str">
            <v xml:space="preserve"> OFFSET IN COST OF PURCHASED GAS</v>
          </cell>
        </row>
        <row r="9">
          <cell r="A9" t="str">
            <v xml:space="preserve"> AND ACCOUNTS 191 &amp; 186 AMORTIZATION INCREMENT</v>
          </cell>
        </row>
        <row r="10">
          <cell r="B10" t="str">
            <v xml:space="preserve"> </v>
          </cell>
          <cell r="C10" t="str">
            <v>EFFECTIVE</v>
          </cell>
          <cell r="D10">
            <v>38261</v>
          </cell>
        </row>
        <row r="13">
          <cell r="C13" t="str">
            <v>System</v>
          </cell>
          <cell r="D13" t="str">
            <v>Oregon</v>
          </cell>
        </row>
        <row r="14">
          <cell r="C14" t="str">
            <v>Actual</v>
          </cell>
          <cell r="D14" t="str">
            <v>Normalized</v>
          </cell>
        </row>
        <row r="15">
          <cell r="C15" t="str">
            <v>Effect</v>
          </cell>
          <cell r="D15" t="str">
            <v>Effect</v>
          </cell>
        </row>
        <row r="16">
          <cell r="C16" t="str">
            <v xml:space="preserve">   Total</v>
          </cell>
          <cell r="D16" t="str">
            <v xml:space="preserve">    Total</v>
          </cell>
          <cell r="E16" t="str">
            <v>Residential</v>
          </cell>
          <cell r="F16" t="str">
            <v>Commercial</v>
          </cell>
          <cell r="G16" t="str">
            <v>Industrial</v>
          </cell>
        </row>
        <row r="17">
          <cell r="C17" t="str">
            <v xml:space="preserve">   $(000)</v>
          </cell>
          <cell r="D17" t="str">
            <v xml:space="preserve">    $(000)</v>
          </cell>
          <cell r="E17" t="str">
            <v xml:space="preserve">    $(000)</v>
          </cell>
          <cell r="F17" t="str">
            <v xml:space="preserve">    $(000)</v>
          </cell>
          <cell r="G17" t="str">
            <v xml:space="preserve">    $(000)</v>
          </cell>
        </row>
        <row r="18">
          <cell r="B18" t="str">
            <v>Change in Purchased Gas Cost</v>
          </cell>
          <cell r="C18" t="str">
            <v xml:space="preserve">    (a)</v>
          </cell>
          <cell r="D18" t="str">
            <v xml:space="preserve">     (b)</v>
          </cell>
          <cell r="E18" t="str">
            <v>(c)</v>
          </cell>
          <cell r="F18" t="str">
            <v>(d)</v>
          </cell>
          <cell r="G18" t="str">
            <v>(e)</v>
          </cell>
        </row>
        <row r="20">
          <cell r="A20" t="str">
            <v xml:space="preserve">   1.</v>
          </cell>
          <cell r="B20" t="str">
            <v>Effect of Demand and Commodity</v>
          </cell>
          <cell r="C20">
            <v>86425.168822857086</v>
          </cell>
          <cell r="D20">
            <v>82636.869052793816</v>
          </cell>
          <cell r="E20">
            <v>39351.056511715615</v>
          </cell>
          <cell r="F20">
            <v>26115.804646276069</v>
          </cell>
          <cell r="G20">
            <v>17170.00789480214</v>
          </cell>
          <cell r="I20">
            <v>82636.869052793831</v>
          </cell>
        </row>
        <row r="21">
          <cell r="B21" t="str">
            <v>Cost Changes (See Page 2)</v>
          </cell>
        </row>
        <row r="23">
          <cell r="A23" t="str">
            <v xml:space="preserve">   2.</v>
          </cell>
          <cell r="B23" t="str">
            <v>Allowance for Business License</v>
          </cell>
          <cell r="D23">
            <v>2475.0547440110822</v>
          </cell>
          <cell r="E23">
            <v>1178.6024835832941</v>
          </cell>
          <cell r="F23">
            <v>782.19379466249302</v>
          </cell>
          <cell r="G23">
            <v>514.25846576530239</v>
          </cell>
        </row>
        <row r="24">
          <cell r="B24" t="str">
            <v>and Franchise Fees at--------</v>
          </cell>
          <cell r="C24">
            <v>2.9079999999999998E-2</v>
          </cell>
        </row>
        <row r="26">
          <cell r="A26" t="str">
            <v xml:space="preserve">   3.</v>
          </cell>
          <cell r="B26" t="str">
            <v>Sub-Total -- Cost of Gas Changes</v>
          </cell>
          <cell r="D26">
            <v>85111.923796804898</v>
          </cell>
          <cell r="E26">
            <v>40529.658995298909</v>
          </cell>
          <cell r="F26">
            <v>26897.998440938562</v>
          </cell>
          <cell r="G26">
            <v>17684.266360567442</v>
          </cell>
          <cell r="I26">
            <v>85111.923796804913</v>
          </cell>
        </row>
        <row r="28">
          <cell r="B28" t="str">
            <v>Temporary Adjustment</v>
          </cell>
        </row>
        <row r="29">
          <cell r="A29" t="str">
            <v xml:space="preserve">   4.</v>
          </cell>
          <cell r="B29" t="str">
            <v>Amortization of 191 Gas Cost Accounts</v>
          </cell>
          <cell r="D29">
            <v>5789.37</v>
          </cell>
          <cell r="E29">
            <v>2756.8545208517785</v>
          </cell>
          <cell r="F29">
            <v>1829.619849808427</v>
          </cell>
          <cell r="G29">
            <v>1202.8956293397951</v>
          </cell>
          <cell r="I29">
            <v>5789.3700000000008</v>
          </cell>
          <cell r="J29">
            <v>0</v>
          </cell>
        </row>
        <row r="31">
          <cell r="A31" t="str">
            <v xml:space="preserve">   5.</v>
          </cell>
          <cell r="B31" t="str">
            <v>Allowance for Business License</v>
          </cell>
          <cell r="D31">
            <v>173</v>
          </cell>
          <cell r="E31">
            <v>82</v>
          </cell>
          <cell r="F31">
            <v>55</v>
          </cell>
          <cell r="G31">
            <v>36</v>
          </cell>
          <cell r="I31">
            <v>173</v>
          </cell>
          <cell r="J31">
            <v>0</v>
          </cell>
        </row>
        <row r="32">
          <cell r="B32" t="str">
            <v>and Franchise Fees at--------</v>
          </cell>
          <cell r="C32">
            <v>2.9079999999999998E-2</v>
          </cell>
        </row>
        <row r="33">
          <cell r="A33" t="str">
            <v xml:space="preserve">   6.</v>
          </cell>
          <cell r="B33" t="str">
            <v>Account 191 Total</v>
          </cell>
          <cell r="D33">
            <v>5962.37</v>
          </cell>
          <cell r="E33">
            <v>2838.8545208517785</v>
          </cell>
          <cell r="F33">
            <v>1884.619849808427</v>
          </cell>
          <cell r="G33">
            <v>1238.8956293397951</v>
          </cell>
          <cell r="I33">
            <v>5962.3700000000008</v>
          </cell>
          <cell r="J33">
            <v>0</v>
          </cell>
        </row>
        <row r="36">
          <cell r="A36" t="str">
            <v xml:space="preserve">   7.</v>
          </cell>
          <cell r="B36" t="str">
            <v>Amortization of Non-Ratebase 186 Accounts</v>
          </cell>
          <cell r="D36">
            <v>5312.3860000000004</v>
          </cell>
          <cell r="E36">
            <v>3089.9026905962241</v>
          </cell>
          <cell r="F36">
            <v>2001.6071764158355</v>
          </cell>
          <cell r="G36">
            <v>220.87613298791976</v>
          </cell>
          <cell r="I36">
            <v>5312.3859999999795</v>
          </cell>
          <cell r="J36">
            <v>-2.0918378140777349E-11</v>
          </cell>
        </row>
        <row r="38">
          <cell r="A38" t="str">
            <v xml:space="preserve">   8.</v>
          </cell>
          <cell r="B38" t="str">
            <v>Allowance for Business License</v>
          </cell>
          <cell r="D38">
            <v>88.358189675770703</v>
          </cell>
          <cell r="E38">
            <v>51.392765513532972</v>
          </cell>
          <cell r="F38">
            <v>33.291704810255546</v>
          </cell>
          <cell r="G38">
            <v>3.6737193519818336</v>
          </cell>
          <cell r="I38">
            <v>88.358189675770348</v>
          </cell>
          <cell r="J38">
            <v>-3.5527136788005009E-13</v>
          </cell>
        </row>
        <row r="39">
          <cell r="B39" t="str">
            <v>and Franchise Fees at--------</v>
          </cell>
          <cell r="C39">
            <v>2.9079999999999998E-2</v>
          </cell>
        </row>
        <row r="40">
          <cell r="A40" t="str">
            <v xml:space="preserve">   9.</v>
          </cell>
          <cell r="B40" t="str">
            <v>Account 186 Non-Ratebase Total</v>
          </cell>
          <cell r="D40">
            <v>5400.7441896757709</v>
          </cell>
          <cell r="E40">
            <v>3141.2954561097572</v>
          </cell>
          <cell r="F40">
            <v>2034.8988812260911</v>
          </cell>
          <cell r="G40">
            <v>224.54985233990161</v>
          </cell>
          <cell r="I40">
            <v>5400.74418967575</v>
          </cell>
          <cell r="J40">
            <v>-2.0918378140777349E-11</v>
          </cell>
        </row>
        <row r="43">
          <cell r="A43" t="str">
            <v xml:space="preserve">  10.</v>
          </cell>
          <cell r="B43" t="str">
            <v xml:space="preserve">Addition of new Rate Base Items (Bare Steel, </v>
          </cell>
          <cell r="D43">
            <v>15501.68099999997</v>
          </cell>
          <cell r="E43">
            <v>10475.787561007721</v>
          </cell>
          <cell r="F43">
            <v>4639.1714427952102</v>
          </cell>
          <cell r="G43">
            <v>386.79383766456806</v>
          </cell>
          <cell r="I43">
            <v>15501.7528414675</v>
          </cell>
          <cell r="J43">
            <v>7.1841467530248337E-2</v>
          </cell>
        </row>
        <row r="44">
          <cell r="B44" t="str">
            <v xml:space="preserve"> GeoHazard, SMPE and Mist Recall)</v>
          </cell>
        </row>
        <row r="45">
          <cell r="A45" t="str">
            <v xml:space="preserve">  11.</v>
          </cell>
          <cell r="B45" t="str">
            <v>Elasticity Adjustment</v>
          </cell>
          <cell r="D45">
            <v>5822.0770724698741</v>
          </cell>
          <cell r="E45">
            <v>4407.8633988197489</v>
          </cell>
          <cell r="F45">
            <v>1414.2136736501247</v>
          </cell>
          <cell r="G45">
            <v>0</v>
          </cell>
          <cell r="I45">
            <v>5822.0770724698741</v>
          </cell>
        </row>
        <row r="47">
          <cell r="A47" t="str">
            <v xml:space="preserve">  12.</v>
          </cell>
          <cell r="B47" t="str">
            <v>Removal of Current Bare Steel, Geohazard</v>
          </cell>
          <cell r="D47">
            <v>-1266</v>
          </cell>
          <cell r="E47">
            <v>-789.3441180626229</v>
          </cell>
          <cell r="F47">
            <v>-431.71527589998345</v>
          </cell>
          <cell r="G47">
            <v>-44.940606037393486</v>
          </cell>
          <cell r="I47">
            <v>-1265.9999999999998</v>
          </cell>
          <cell r="J47">
            <v>0</v>
          </cell>
        </row>
        <row r="48">
          <cell r="B48" t="str">
            <v>and Franchise Fees at--------</v>
          </cell>
          <cell r="C48">
            <v>2.9079999999999998E-2</v>
          </cell>
        </row>
        <row r="49">
          <cell r="A49" t="str">
            <v xml:space="preserve">  13.</v>
          </cell>
          <cell r="B49" t="str">
            <v>Total New Rate Base and Decoupling</v>
          </cell>
          <cell r="D49">
            <v>20057.758072469842</v>
          </cell>
          <cell r="E49">
            <v>14094.306841764846</v>
          </cell>
          <cell r="F49">
            <v>5621.6698405453517</v>
          </cell>
          <cell r="G49">
            <v>341.85323162717458</v>
          </cell>
          <cell r="I49">
            <v>20057.829913937374</v>
          </cell>
          <cell r="J49">
            <v>7.1841467532067327E-2</v>
          </cell>
        </row>
      </sheetData>
      <sheetData sheetId="6">
        <row r="7">
          <cell r="C7" t="str">
            <v>Demand</v>
          </cell>
          <cell r="D7" t="str">
            <v>Commodity</v>
          </cell>
          <cell r="E7" t="str">
            <v>Decoupling</v>
          </cell>
          <cell r="F7" t="str">
            <v>Temp Inc</v>
          </cell>
          <cell r="G7" t="str">
            <v>Temp Inc</v>
          </cell>
          <cell r="H7" t="str">
            <v>Funding</v>
          </cell>
          <cell r="I7" t="str">
            <v>Credit</v>
          </cell>
          <cell r="J7" t="str">
            <v>Temp Inc</v>
          </cell>
          <cell r="K7" t="str">
            <v>Block</v>
          </cell>
        </row>
        <row r="8">
          <cell r="B8" t="str">
            <v>1r</v>
          </cell>
          <cell r="C8">
            <v>97131.937743718343</v>
          </cell>
          <cell r="D8">
            <v>401343.48537220003</v>
          </cell>
          <cell r="E8">
            <v>2774.4643441060998</v>
          </cell>
          <cell r="F8">
            <v>7667.7559250655613</v>
          </cell>
          <cell r="G8">
            <v>2830.4333654569436</v>
          </cell>
          <cell r="H8">
            <v>255.85838331814179</v>
          </cell>
          <cell r="I8">
            <v>-174.72233194061158</v>
          </cell>
          <cell r="J8">
            <v>4524.698472157439</v>
          </cell>
          <cell r="K8">
            <v>-2440.9469749852856</v>
          </cell>
        </row>
        <row r="9">
          <cell r="B9" t="str">
            <v>1c</v>
          </cell>
          <cell r="C9">
            <v>8670.1404884945023</v>
          </cell>
          <cell r="D9">
            <v>34035.440399840001</v>
          </cell>
          <cell r="E9">
            <v>314.74029275447936</v>
          </cell>
          <cell r="F9">
            <v>684.43523979942336</v>
          </cell>
          <cell r="G9">
            <v>252.64867037434402</v>
          </cell>
          <cell r="I9">
            <v>-14.327422785620579</v>
          </cell>
          <cell r="J9">
            <v>371.03023562030137</v>
          </cell>
          <cell r="K9">
            <v>-200.16032821599856</v>
          </cell>
        </row>
        <row r="10">
          <cell r="B10">
            <v>2</v>
          </cell>
          <cell r="C10">
            <v>41326490.14463596</v>
          </cell>
          <cell r="D10">
            <v>170758640.03259543</v>
          </cell>
          <cell r="E10">
            <v>1180444.620345894</v>
          </cell>
          <cell r="F10">
            <v>3262381.5300049344</v>
          </cell>
          <cell r="G10">
            <v>1204257.6242145433</v>
          </cell>
          <cell r="H10">
            <v>108859.44625668187</v>
          </cell>
          <cell r="I10">
            <v>-63796.815617120577</v>
          </cell>
          <cell r="J10">
            <v>1652114.8209575454</v>
          </cell>
          <cell r="K10">
            <v>-891269.26343488239</v>
          </cell>
        </row>
        <row r="11">
          <cell r="B11" t="str">
            <v>3c</v>
          </cell>
          <cell r="C11">
            <v>18704745.729666963</v>
          </cell>
          <cell r="D11">
            <v>73627709.553313792</v>
          </cell>
          <cell r="E11">
            <v>679012.88966030709</v>
          </cell>
          <cell r="F11">
            <v>1476583.5854517787</v>
          </cell>
          <cell r="G11">
            <v>545057.96584977035</v>
          </cell>
          <cell r="I11">
            <v>-22231.47272380544</v>
          </cell>
          <cell r="J11">
            <v>575717.53736337367</v>
          </cell>
          <cell r="K11">
            <v>-310583.34382291959</v>
          </cell>
        </row>
        <row r="12">
          <cell r="B12" t="str">
            <v>3i</v>
          </cell>
          <cell r="C12">
            <v>319005.84009258088</v>
          </cell>
          <cell r="D12">
            <v>1401955.41026632</v>
          </cell>
          <cell r="E12">
            <v>0</v>
          </cell>
          <cell r="F12">
            <v>24826.983271999998</v>
          </cell>
          <cell r="G12">
            <v>0</v>
          </cell>
          <cell r="I12">
            <v>-406.64849412678336</v>
          </cell>
          <cell r="J12">
            <v>10530.776459107577</v>
          </cell>
          <cell r="K12">
            <v>-5681.0563400588662</v>
          </cell>
        </row>
        <row r="13">
          <cell r="B13">
            <v>19</v>
          </cell>
          <cell r="C13">
            <v>4237.5443399136384</v>
          </cell>
          <cell r="D13">
            <v>18889.946689316002</v>
          </cell>
          <cell r="E13">
            <v>121.04615765445027</v>
          </cell>
          <cell r="F13">
            <v>334.52058988481673</v>
          </cell>
          <cell r="G13">
            <v>123.47511646073298</v>
          </cell>
          <cell r="I13">
            <v>0</v>
          </cell>
          <cell r="K13">
            <v>-71.227771825334273</v>
          </cell>
        </row>
        <row r="14">
          <cell r="B14" t="str">
            <v>31c</v>
          </cell>
          <cell r="C14">
            <v>7974871.1520905113</v>
          </cell>
          <cell r="D14">
            <v>36940254.677588657</v>
          </cell>
          <cell r="E14">
            <v>289500.8776869385</v>
          </cell>
          <cell r="F14">
            <v>629549.52766842174</v>
          </cell>
          <cell r="G14">
            <v>321582.39371399983</v>
          </cell>
          <cell r="I14">
            <v>-5350.1908335669295</v>
          </cell>
          <cell r="J14">
            <v>134522.19519332703</v>
          </cell>
          <cell r="K14">
            <v>-74744.49308076514</v>
          </cell>
        </row>
        <row r="15">
          <cell r="B15" t="str">
            <v>31i</v>
          </cell>
          <cell r="C15">
            <v>2703036.2488739677</v>
          </cell>
          <cell r="D15">
            <v>15107654.345453195</v>
          </cell>
          <cell r="H15">
            <v>3901.6535680000006</v>
          </cell>
          <cell r="I15">
            <v>-1978.4449408923881</v>
          </cell>
          <cell r="J15">
            <v>49744.909069074551</v>
          </cell>
          <cell r="K15">
            <v>-27639.736374902488</v>
          </cell>
        </row>
        <row r="16">
          <cell r="B16">
            <v>32</v>
          </cell>
          <cell r="C16">
            <v>4401653.5389567809</v>
          </cell>
          <cell r="D16">
            <v>61718042.34591639</v>
          </cell>
          <cell r="F16">
            <v>323978.67366899998</v>
          </cell>
          <cell r="G16">
            <v>145989.459462</v>
          </cell>
          <cell r="H16">
            <v>49906.038448000007</v>
          </cell>
          <cell r="I16">
            <v>-5257.4565284550335</v>
          </cell>
          <cell r="K16">
            <v>-73448.954502351422</v>
          </cell>
        </row>
        <row r="17">
          <cell r="F17">
            <v>91180.023000000001</v>
          </cell>
        </row>
        <row r="21">
          <cell r="C21">
            <v>75539842.276888877</v>
          </cell>
          <cell r="D21">
            <v>360008525.23759514</v>
          </cell>
          <cell r="E21">
            <v>2152168.6384876547</v>
          </cell>
          <cell r="F21">
            <v>5817187.0348208854</v>
          </cell>
          <cell r="G21">
            <v>2220094.0003926056</v>
          </cell>
          <cell r="H21">
            <v>162922.99665600003</v>
          </cell>
          <cell r="I21">
            <v>-99210.078892693389</v>
          </cell>
          <cell r="J21">
            <v>2427525.9677502066</v>
          </cell>
          <cell r="K21">
            <v>-1386079.1826309066</v>
          </cell>
        </row>
        <row r="22">
          <cell r="C22">
            <v>76954288.277336225</v>
          </cell>
          <cell r="D22">
            <v>360008525.2375952</v>
          </cell>
          <cell r="E22">
            <v>2154500.8857578379</v>
          </cell>
          <cell r="F22">
            <v>5962767.2722778395</v>
          </cell>
          <cell r="G22">
            <v>2207446.545544432</v>
          </cell>
          <cell r="H22">
            <v>161799.11836196596</v>
          </cell>
          <cell r="I22">
            <v>-99215.177357557783</v>
          </cell>
          <cell r="J22">
            <v>2433044.9470605198</v>
          </cell>
          <cell r="K22">
            <v>-1386079.1826309068</v>
          </cell>
        </row>
        <row r="23">
          <cell r="E23">
            <v>-2332.2472701831721</v>
          </cell>
          <cell r="F23">
            <v>-145580.23745695408</v>
          </cell>
          <cell r="G23">
            <v>12647.45484817354</v>
          </cell>
          <cell r="H23">
            <v>1123.8782940340752</v>
          </cell>
          <cell r="I23">
            <v>5.0984648643934634</v>
          </cell>
          <cell r="J23">
            <v>-5518.9793103132397</v>
          </cell>
          <cell r="K23">
            <v>0</v>
          </cell>
        </row>
        <row r="24">
          <cell r="C24">
            <v>68435152.489058137</v>
          </cell>
        </row>
        <row r="26">
          <cell r="C26">
            <v>75539842.276888877</v>
          </cell>
          <cell r="F26">
            <v>340985327</v>
          </cell>
        </row>
        <row r="27">
          <cell r="F27">
            <v>219689004</v>
          </cell>
        </row>
        <row r="28">
          <cell r="F28">
            <v>560674331</v>
          </cell>
        </row>
        <row r="33">
          <cell r="D33">
            <v>341020209.04000002</v>
          </cell>
          <cell r="E33" t="str">
            <v>res</v>
          </cell>
        </row>
        <row r="34">
          <cell r="D34">
            <v>222930282.77461708</v>
          </cell>
          <cell r="E34" t="str">
            <v>com</v>
          </cell>
          <cell r="G34">
            <v>62849.599999999999</v>
          </cell>
          <cell r="H34">
            <v>1</v>
          </cell>
          <cell r="I34" t="str">
            <v>COMMERCIAL</v>
          </cell>
        </row>
        <row r="35">
          <cell r="D35">
            <v>2625948.7999999998</v>
          </cell>
          <cell r="E35" t="str">
            <v>3I</v>
          </cell>
          <cell r="G35">
            <v>741118</v>
          </cell>
          <cell r="H35">
            <v>1</v>
          </cell>
          <cell r="I35" t="str">
            <v>RESIDENTIAL</v>
          </cell>
        </row>
        <row r="36">
          <cell r="D36">
            <v>24385334.800000001</v>
          </cell>
          <cell r="E36" t="str">
            <v>31i</v>
          </cell>
          <cell r="G36">
            <v>315278578.69999987</v>
          </cell>
          <cell r="H36">
            <v>2</v>
          </cell>
          <cell r="I36" t="str">
            <v>RESIDENTIAL</v>
          </cell>
        </row>
        <row r="37">
          <cell r="D37">
            <v>117211606.00000001</v>
          </cell>
          <cell r="E37">
            <v>32</v>
          </cell>
          <cell r="G37">
            <v>43100.6</v>
          </cell>
          <cell r="H37" t="str">
            <v>2A</v>
          </cell>
          <cell r="I37" t="str">
            <v>LIQ PETRO GAS</v>
          </cell>
        </row>
        <row r="38">
          <cell r="C38">
            <v>0.97092000000000001</v>
          </cell>
          <cell r="D38">
            <v>708173381.41461706</v>
          </cell>
          <cell r="E38" t="str">
            <v>Total Sales</v>
          </cell>
          <cell r="G38">
            <v>135590165.90000001</v>
          </cell>
          <cell r="H38">
            <v>3</v>
          </cell>
          <cell r="I38" t="str">
            <v>COMMERCIAL</v>
          </cell>
        </row>
        <row r="39">
          <cell r="G39">
            <v>2588840.7999999998</v>
          </cell>
          <cell r="H39">
            <v>3</v>
          </cell>
          <cell r="I39" t="str">
            <v>INDUSTRIAL FIRM</v>
          </cell>
        </row>
        <row r="40">
          <cell r="D40">
            <v>144222889.60000002</v>
          </cell>
          <cell r="G40">
            <v>370234.19999999949</v>
          </cell>
          <cell r="H40">
            <v>3</v>
          </cell>
          <cell r="I40" t="str">
            <v>RESIDENTIAL (see COMM)</v>
          </cell>
        </row>
        <row r="41">
          <cell r="G41">
            <v>8285528.3999999631</v>
          </cell>
          <cell r="H41">
            <v>4</v>
          </cell>
          <cell r="I41" t="str">
            <v>COMMERCIAL</v>
          </cell>
        </row>
        <row r="42">
          <cell r="G42">
            <v>3706499.2000000053</v>
          </cell>
          <cell r="H42">
            <v>4</v>
          </cell>
          <cell r="I42" t="str">
            <v>INDUSTRIAL FIRM</v>
          </cell>
        </row>
        <row r="43">
          <cell r="G43">
            <v>99692.100000000093</v>
          </cell>
          <cell r="H43">
            <v>4</v>
          </cell>
          <cell r="I43" t="str">
            <v>RESIDENTIAL</v>
          </cell>
        </row>
        <row r="44">
          <cell r="G44">
            <v>462987</v>
          </cell>
          <cell r="H44">
            <v>6</v>
          </cell>
          <cell r="I44" t="str">
            <v>COMMERCIAL</v>
          </cell>
        </row>
        <row r="45">
          <cell r="G45">
            <v>3750491.9999999925</v>
          </cell>
          <cell r="H45">
            <v>6</v>
          </cell>
          <cell r="I45" t="str">
            <v>INDUSTRIAL FIRM</v>
          </cell>
        </row>
        <row r="46">
          <cell r="G46">
            <v>559106.4</v>
          </cell>
          <cell r="H46">
            <v>10</v>
          </cell>
          <cell r="I46" t="str">
            <v>COMMERCIAL</v>
          </cell>
        </row>
        <row r="47">
          <cell r="G47">
            <v>17749.5</v>
          </cell>
          <cell r="H47">
            <v>10</v>
          </cell>
          <cell r="I47" t="str">
            <v>INDUSTRIAL FIRM</v>
          </cell>
        </row>
        <row r="48">
          <cell r="G48">
            <v>34882.04</v>
          </cell>
          <cell r="H48">
            <v>19</v>
          </cell>
          <cell r="I48" t="str">
            <v>RESIDENTIAL</v>
          </cell>
        </row>
        <row r="49">
          <cell r="G49">
            <v>1559361.9</v>
          </cell>
          <cell r="H49">
            <v>21</v>
          </cell>
          <cell r="I49" t="str">
            <v>COMMERCIAL</v>
          </cell>
        </row>
        <row r="50">
          <cell r="G50">
            <v>38803</v>
          </cell>
          <cell r="H50">
            <v>21</v>
          </cell>
          <cell r="I50" t="str">
            <v>INDUSTRIAL FIRM</v>
          </cell>
        </row>
        <row r="51">
          <cell r="G51">
            <v>5857388</v>
          </cell>
          <cell r="H51">
            <v>23</v>
          </cell>
          <cell r="I51" t="str">
            <v>INTERRUPTIBLE</v>
          </cell>
        </row>
      </sheetData>
      <sheetData sheetId="7">
        <row r="7">
          <cell r="A7" t="str">
            <v>Calculation of Rates to Become Effective</v>
          </cell>
        </row>
      </sheetData>
      <sheetData sheetId="8">
        <row r="7">
          <cell r="A7">
            <v>38261</v>
          </cell>
        </row>
      </sheetData>
      <sheetData sheetId="9">
        <row r="8">
          <cell r="D8" t="str">
            <v>Residential</v>
          </cell>
        </row>
      </sheetData>
      <sheetData sheetId="10">
        <row r="7">
          <cell r="B7" t="str">
            <v>(a)</v>
          </cell>
        </row>
      </sheetData>
      <sheetData sheetId="11">
        <row r="8">
          <cell r="B8" t="str">
            <v>Total Cost of Service</v>
          </cell>
        </row>
      </sheetData>
      <sheetData sheetId="12">
        <row r="8">
          <cell r="B8" t="str">
            <v>Total Cost of Service</v>
          </cell>
        </row>
      </sheetData>
      <sheetData sheetId="13">
        <row r="8">
          <cell r="C8" t="str">
            <v>Avg. Price</v>
          </cell>
        </row>
      </sheetData>
      <sheetData sheetId="14">
        <row r="2">
          <cell r="B2" t="str">
            <v>NW Natural</v>
          </cell>
        </row>
        <row r="3">
          <cell r="B3" t="str">
            <v>SMPE Revenue Requirement</v>
          </cell>
        </row>
        <row r="4">
          <cell r="B4" t="str">
            <v xml:space="preserve">Spread to the Various Schedules on an </v>
          </cell>
        </row>
        <row r="5">
          <cell r="B5" t="str">
            <v>Equal Percentage of Margin Basis</v>
          </cell>
        </row>
        <row r="7">
          <cell r="B7" t="str">
            <v>Proposed total Increase of</v>
          </cell>
          <cell r="E7">
            <v>13988123</v>
          </cell>
        </row>
        <row r="8">
          <cell r="B8" t="str">
            <v>Appliled to Sch 1, 2, 3, 31, 33</v>
          </cell>
        </row>
        <row r="10">
          <cell r="D10" t="str">
            <v>Current</v>
          </cell>
          <cell r="K10" t="str">
            <v>Proposed</v>
          </cell>
          <cell r="L10" t="str">
            <v>Proposed</v>
          </cell>
        </row>
        <row r="11">
          <cell r="C11" t="str">
            <v>Rate</v>
          </cell>
          <cell r="D11" t="str">
            <v>Permanent</v>
          </cell>
          <cell r="E11" t="str">
            <v>Current</v>
          </cell>
          <cell r="H11" t="str">
            <v>Service Chrg &amp;</v>
          </cell>
          <cell r="I11" t="str">
            <v>Volumetric</v>
          </cell>
          <cell r="J11" t="str">
            <v>Total</v>
          </cell>
          <cell r="K11" t="str">
            <v>Margin Rates</v>
          </cell>
          <cell r="L11" t="str">
            <v>Service Chg &amp;</v>
          </cell>
        </row>
        <row r="12">
          <cell r="B12" t="str">
            <v>Multiplier</v>
          </cell>
          <cell r="C12" t="str">
            <v>Sched</v>
          </cell>
          <cell r="D12" t="str">
            <v>Rates</v>
          </cell>
          <cell r="E12" t="str">
            <v>Margins</v>
          </cell>
          <cell r="F12" t="str">
            <v>Custs</v>
          </cell>
          <cell r="G12" t="str">
            <v>Therms</v>
          </cell>
          <cell r="H12" t="str">
            <v>Min Bill Margin</v>
          </cell>
          <cell r="I12" t="str">
            <v>Margin</v>
          </cell>
          <cell r="J12" t="str">
            <v>Margin</v>
          </cell>
          <cell r="K12" t="str">
            <v>With General</v>
          </cell>
          <cell r="L12" t="str">
            <v>Min Bill Margin</v>
          </cell>
        </row>
        <row r="13">
          <cell r="B13">
            <v>0</v>
          </cell>
          <cell r="C13">
            <v>1</v>
          </cell>
          <cell r="D13">
            <v>5</v>
          </cell>
          <cell r="E13">
            <v>5</v>
          </cell>
          <cell r="F13">
            <v>2983</v>
          </cell>
          <cell r="G13">
            <v>741118</v>
          </cell>
          <cell r="H13">
            <v>178980</v>
          </cell>
          <cell r="I13">
            <v>329195.64807220001</v>
          </cell>
          <cell r="J13">
            <v>508175.64807220001</v>
          </cell>
          <cell r="K13">
            <v>5</v>
          </cell>
          <cell r="L13">
            <v>178980</v>
          </cell>
        </row>
        <row r="14">
          <cell r="C14" t="str">
            <v>1R</v>
          </cell>
          <cell r="D14">
            <v>0.98765000000000003</v>
          </cell>
          <cell r="E14">
            <v>0.44418790000000002</v>
          </cell>
          <cell r="K14">
            <v>0.47928834639264839</v>
          </cell>
        </row>
        <row r="15">
          <cell r="B15">
            <v>1</v>
          </cell>
          <cell r="C15" t="str">
            <v>1C</v>
          </cell>
          <cell r="D15">
            <v>0.97297</v>
          </cell>
          <cell r="E15">
            <v>0.4295079</v>
          </cell>
          <cell r="F15">
            <v>179</v>
          </cell>
          <cell r="G15">
            <v>62130.179020337608</v>
          </cell>
          <cell r="H15">
            <v>10740</v>
          </cell>
          <cell r="I15">
            <v>26685.402717649264</v>
          </cell>
          <cell r="J15">
            <v>37425.402717649267</v>
          </cell>
          <cell r="K15">
            <v>0.46344830904574158</v>
          </cell>
          <cell r="L15">
            <v>10740</v>
          </cell>
        </row>
        <row r="17">
          <cell r="B17">
            <v>0</v>
          </cell>
          <cell r="C17">
            <v>2</v>
          </cell>
          <cell r="D17">
            <v>6</v>
          </cell>
          <cell r="E17">
            <v>6</v>
          </cell>
          <cell r="F17">
            <v>470052</v>
          </cell>
          <cell r="H17">
            <v>33843744</v>
          </cell>
          <cell r="J17">
            <v>33843744</v>
          </cell>
          <cell r="K17">
            <v>6</v>
          </cell>
          <cell r="L17">
            <v>33843744</v>
          </cell>
        </row>
        <row r="18">
          <cell r="B18">
            <v>1</v>
          </cell>
          <cell r="C18">
            <v>2</v>
          </cell>
          <cell r="D18">
            <v>0.92466000000000004</v>
          </cell>
          <cell r="E18">
            <v>0.38119790000000003</v>
          </cell>
          <cell r="G18">
            <v>315321679.29999989</v>
          </cell>
          <cell r="I18">
            <v>120199961.97363344</v>
          </cell>
          <cell r="J18">
            <v>120199961.97363344</v>
          </cell>
          <cell r="K18">
            <v>0.41132077469771272</v>
          </cell>
        </row>
        <row r="19">
          <cell r="B19">
            <v>0</v>
          </cell>
          <cell r="C19">
            <v>3</v>
          </cell>
          <cell r="D19">
            <v>8</v>
          </cell>
          <cell r="E19">
            <v>8</v>
          </cell>
          <cell r="K19">
            <v>8</v>
          </cell>
        </row>
        <row r="20">
          <cell r="B20">
            <v>1</v>
          </cell>
          <cell r="C20" t="str">
            <v>3C</v>
          </cell>
          <cell r="D20">
            <v>0.85153999999999996</v>
          </cell>
          <cell r="E20">
            <v>0.30807789999999996</v>
          </cell>
          <cell r="F20">
            <v>51940</v>
          </cell>
          <cell r="G20">
            <v>135960404.79999998</v>
          </cell>
          <cell r="H20">
            <v>4986240</v>
          </cell>
          <cell r="I20">
            <v>41886395.993933909</v>
          </cell>
          <cell r="J20">
            <v>46872635.993933909</v>
          </cell>
          <cell r="K20">
            <v>0.33242271401611717</v>
          </cell>
          <cell r="L20">
            <v>4986240</v>
          </cell>
        </row>
        <row r="21">
          <cell r="B21">
            <v>1</v>
          </cell>
          <cell r="C21" t="str">
            <v>3I</v>
          </cell>
          <cell r="D21">
            <v>0.83523000000000003</v>
          </cell>
          <cell r="E21">
            <v>0.29176790000000002</v>
          </cell>
          <cell r="F21">
            <v>152.19040139616055</v>
          </cell>
          <cell r="G21">
            <v>2625948.7999999998</v>
          </cell>
          <cell r="H21">
            <v>14610.278534031413</v>
          </cell>
          <cell r="I21">
            <v>766167.56688351999</v>
          </cell>
          <cell r="J21">
            <v>780777.84541755135</v>
          </cell>
          <cell r="K21">
            <v>0.31482387143246271</v>
          </cell>
          <cell r="L21">
            <v>14610.278534031413</v>
          </cell>
        </row>
        <row r="22">
          <cell r="B22">
            <v>0</v>
          </cell>
          <cell r="C22" t="str">
            <v>31C</v>
          </cell>
          <cell r="D22">
            <v>325</v>
          </cell>
          <cell r="E22">
            <v>325</v>
          </cell>
          <cell r="F22">
            <v>1245</v>
          </cell>
          <cell r="H22">
            <v>4855500</v>
          </cell>
          <cell r="K22">
            <v>325</v>
          </cell>
          <cell r="L22">
            <v>4855500</v>
          </cell>
        </row>
        <row r="23">
          <cell r="B23">
            <v>1</v>
          </cell>
          <cell r="D23">
            <v>0.15483</v>
          </cell>
          <cell r="E23">
            <v>0.15483</v>
          </cell>
          <cell r="G23">
            <v>29880000</v>
          </cell>
          <cell r="I23">
            <v>4626320.3999999994</v>
          </cell>
          <cell r="J23">
            <v>14935882.089465991</v>
          </cell>
          <cell r="K23">
            <v>0.16706491705869012</v>
          </cell>
        </row>
        <row r="24">
          <cell r="B24">
            <v>1</v>
          </cell>
          <cell r="D24">
            <v>0.13982</v>
          </cell>
          <cell r="E24">
            <v>0.13982</v>
          </cell>
          <cell r="G24">
            <v>39007736.299999952</v>
          </cell>
          <cell r="I24">
            <v>5454061.6894659931</v>
          </cell>
          <cell r="K24">
            <v>0.15086880257796328</v>
          </cell>
        </row>
        <row r="25">
          <cell r="B25">
            <v>0</v>
          </cell>
          <cell r="C25" t="str">
            <v>31I</v>
          </cell>
          <cell r="D25">
            <v>325</v>
          </cell>
          <cell r="E25">
            <v>325</v>
          </cell>
          <cell r="F25">
            <v>294</v>
          </cell>
          <cell r="H25">
            <v>1146600</v>
          </cell>
          <cell r="K25">
            <v>325</v>
          </cell>
          <cell r="L25">
            <v>1146600</v>
          </cell>
        </row>
        <row r="26">
          <cell r="B26">
            <v>1</v>
          </cell>
          <cell r="D26">
            <v>0.16353000000000001</v>
          </cell>
          <cell r="E26">
            <v>0.16353000000000001</v>
          </cell>
          <cell r="G26">
            <v>7056000</v>
          </cell>
          <cell r="I26">
            <v>1153867.6800000002</v>
          </cell>
          <cell r="J26">
            <v>4874220.4844960012</v>
          </cell>
          <cell r="K26">
            <v>0.17645240513212943</v>
          </cell>
        </row>
        <row r="27">
          <cell r="B27">
            <v>1</v>
          </cell>
          <cell r="D27">
            <v>0.14852000000000001</v>
          </cell>
          <cell r="E27">
            <v>0.14852000000000001</v>
          </cell>
          <cell r="G27">
            <v>17329334.800000001</v>
          </cell>
          <cell r="I27">
            <v>2573752.8044960005</v>
          </cell>
          <cell r="K27">
            <v>0.16025629065140257</v>
          </cell>
        </row>
        <row r="28">
          <cell r="C28">
            <v>33</v>
          </cell>
          <cell r="E28">
            <v>5.0000000000000001E-3</v>
          </cell>
        </row>
        <row r="29">
          <cell r="G29">
            <v>547984352.17902017</v>
          </cell>
          <cell r="H29">
            <v>45036414.278534032</v>
          </cell>
          <cell r="I29">
            <v>177016409.15920272</v>
          </cell>
          <cell r="J29">
            <v>222052823.43773675</v>
          </cell>
          <cell r="L29">
            <v>45036414.278534032</v>
          </cell>
        </row>
        <row r="34">
          <cell r="A34" t="str">
            <v>Demand</v>
          </cell>
          <cell r="B34">
            <v>0.12778999999999999</v>
          </cell>
        </row>
        <row r="35">
          <cell r="A35" t="str">
            <v>Wacog</v>
          </cell>
          <cell r="B35">
            <v>0.41567210000000004</v>
          </cell>
          <cell r="I35">
            <v>13988122.99999997</v>
          </cell>
          <cell r="J35" t="str">
            <v>Test</v>
          </cell>
        </row>
        <row r="36">
          <cell r="B36">
            <v>0.13051000000000001</v>
          </cell>
          <cell r="I36">
            <v>13988123</v>
          </cell>
          <cell r="J36" t="str">
            <v>revenue increase</v>
          </cell>
        </row>
        <row r="37">
          <cell r="B37">
            <v>0.37668000000000001</v>
          </cell>
          <cell r="I37">
            <v>177016409.15920272</v>
          </cell>
          <cell r="J37" t="str">
            <v>Base Margin</v>
          </cell>
        </row>
        <row r="38">
          <cell r="I38">
            <v>7.9021617636699112E-2</v>
          </cell>
          <cell r="J38" t="str">
            <v>Percent Change on Margin</v>
          </cell>
        </row>
        <row r="39">
          <cell r="I39">
            <v>1.0790216176366991</v>
          </cell>
          <cell r="J39" t="str">
            <v>Multiplier</v>
          </cell>
        </row>
      </sheetData>
      <sheetData sheetId="15">
        <row r="1">
          <cell r="A1" t="str">
            <v>NW Natural</v>
          </cell>
        </row>
      </sheetData>
      <sheetData sheetId="16">
        <row r="1">
          <cell r="A1" t="str">
            <v>NW Natural</v>
          </cell>
        </row>
      </sheetData>
      <sheetData sheetId="17">
        <row r="2">
          <cell r="A2" t="str">
            <v>NW Natural</v>
          </cell>
        </row>
      </sheetData>
      <sheetData sheetId="18">
        <row r="1">
          <cell r="A1" t="str">
            <v>NW Natural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EXEC SUMMARY"/>
      <sheetName val="EXEC SUMMARY CONT."/>
      <sheetName val="MARGIN NET"/>
      <sheetName val="MARGIN Detail"/>
      <sheetName val="REV"/>
      <sheetName val="Delivered Volumes"/>
      <sheetName val="SOURCE VOL"/>
      <sheetName val="COG"/>
      <sheetName val="CUSTOMER COUNTS report"/>
      <sheetName val="UNACCOUNTED FOR GAS"/>
    </sheetNames>
    <sheetDataSet>
      <sheetData sheetId="0" refreshError="1">
        <row r="5">
          <cell r="B5" t="str">
            <v>March 2008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aintenance Detail"/>
      <sheetName val="Groups"/>
      <sheetName val="Dell Leases-Current"/>
      <sheetName val="Discontinued Maint."/>
      <sheetName val="Dues, Subs, Books"/>
      <sheetName val="Contracts_T&amp;Cs"/>
      <sheetName val="Conversion Pivot"/>
    </sheetNames>
    <sheetDataSet>
      <sheetData sheetId="0"/>
      <sheetData sheetId="1"/>
      <sheetData sheetId="2">
        <row r="1">
          <cell r="E1" t="str">
            <v>Construction Operation Services</v>
          </cell>
        </row>
        <row r="2">
          <cell r="E2" t="str">
            <v>Customer Acquisition Systems</v>
          </cell>
        </row>
        <row r="3">
          <cell r="E3" t="str">
            <v>Customer Field Services</v>
          </cell>
        </row>
        <row r="4">
          <cell r="E4" t="str">
            <v>Customer Information Systems</v>
          </cell>
        </row>
        <row r="5">
          <cell r="E5" t="str">
            <v>e-Commerce Site &amp; Intranet</v>
          </cell>
        </row>
        <row r="6">
          <cell r="E6" t="str">
            <v>Engineering Systems</v>
          </cell>
        </row>
        <row r="7">
          <cell r="E7" t="str">
            <v>Finance, Acctg, Info Mgmt &amp; Procurement</v>
          </cell>
        </row>
        <row r="8">
          <cell r="E8" t="str">
            <v>Gas Supply Systems</v>
          </cell>
        </row>
        <row r="9">
          <cell r="E9" t="str">
            <v>Grand Total</v>
          </cell>
        </row>
        <row r="10">
          <cell r="E10" t="str">
            <v>Human Resources and Payroll</v>
          </cell>
        </row>
        <row r="11">
          <cell r="E11" t="str">
            <v>Personal Office Technology</v>
          </cell>
        </row>
        <row r="12">
          <cell r="E12" t="str">
            <v>Other</v>
          </cell>
        </row>
        <row r="13">
          <cell r="E13" t="str">
            <v>Reporting and Other Areas</v>
          </cell>
        </row>
        <row r="14">
          <cell r="E14" t="str">
            <v>Sarbanes Oxley Compliance</v>
          </cell>
        </row>
        <row r="15">
          <cell r="E15" t="str">
            <v xml:space="preserve">  Allocate-DB</v>
          </cell>
        </row>
        <row r="16">
          <cell r="E16" t="str">
            <v xml:space="preserve">  Allocate-General Admin</v>
          </cell>
        </row>
        <row r="17">
          <cell r="E17" t="str">
            <v xml:space="preserve">  Allocate-iSeries</v>
          </cell>
        </row>
        <row r="18">
          <cell r="E18" t="str">
            <v xml:space="preserve">  Allocate-Network</v>
          </cell>
        </row>
        <row r="19">
          <cell r="E19" t="str">
            <v xml:space="preserve">  Allocate-NT</v>
          </cell>
        </row>
        <row r="20">
          <cell r="E20" t="str">
            <v xml:space="preserve">  Allocate-Platform General</v>
          </cell>
        </row>
      </sheetData>
      <sheetData sheetId="3"/>
      <sheetData sheetId="4"/>
      <sheetData sheetId="5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udget Prep Submittal Summary"/>
      <sheetName val="Cost Summary"/>
      <sheetName val="P1 Facilities Capital"/>
      <sheetName val="P1 Internal Labor"/>
      <sheetName val="Drop dn"/>
      <sheetName val="P1 External Labor "/>
      <sheetName val="P1 Material"/>
      <sheetName val="P1 Other"/>
      <sheetName val="P1 Hardware"/>
      <sheetName val="P1 Software "/>
      <sheetName val="BUDGET"/>
      <sheetName val="Details"/>
      <sheetName val="Sheet2 (2)"/>
      <sheetName val="BID COST BREAK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WA Detail"/>
      <sheetName val="WA 0506 Matrix"/>
      <sheetName val="WA Proposed Temps"/>
      <sheetName val="WA 0607 Matrix"/>
      <sheetName val="OR Detail"/>
      <sheetName val="OR Increments for filing"/>
      <sheetName val="OR 0506 Matrix"/>
      <sheetName val="OR 0607 Matrix"/>
      <sheetName val="New Vols"/>
      <sheetName val="VOL_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nvironmental"/>
      <sheetName val="Chart2"/>
      <sheetName val="Import fr margin&amp;COG model"/>
      <sheetName val="Export to Treasury"/>
      <sheetName val="Export to Linda"/>
      <sheetName val="Export to Income Model"/>
      <sheetName val="Export to REV-0 in margin model"/>
      <sheetName val="Volumes from Margin Model"/>
      <sheetName val="WA Amort Rates0910"/>
      <sheetName val="OR Amort Rates0910"/>
      <sheetName val="Balances"/>
      <sheetName val="Accum"/>
      <sheetName val="Amort"/>
      <sheetName val="Transfers"/>
      <sheetName val="Interest"/>
      <sheetName val="Check"/>
      <sheetName val="x186291"/>
      <sheetName val="x186229"/>
      <sheetName val="186259 Tax Kicker"/>
      <sheetName val="186275 Res Decoupling"/>
      <sheetName val="186277 Amort Res Decoupling"/>
      <sheetName val="186270 Comm Decoupling"/>
      <sheetName val="186271 Amort Comm Decoupling"/>
      <sheetName val="186276 CUB funding"/>
      <sheetName val="186286 Amort CUB Fund"/>
      <sheetName val="186278 NWIGU funding"/>
      <sheetName val="186288 Amort NWIGU Fund"/>
      <sheetName val="186306 Amort Smart Energy"/>
      <sheetName val="186370 Amort Pension"/>
      <sheetName val="191400 OR WACOG Def"/>
      <sheetName val="191401 OR WACOG Amort"/>
      <sheetName val="191410 OR Demand Def"/>
      <sheetName val="191411 OR Demand Amort"/>
      <sheetName val="191450 OR Demand Def"/>
      <sheetName val="191417 OR Coos Bay Dem"/>
      <sheetName val="186311 WA Furn now EE GEN"/>
      <sheetName val="186312 WA EE (ETO)"/>
      <sheetName val="186314 WA LIEE"/>
      <sheetName val="186316 WA Amort catchall"/>
      <sheetName val="186234 GREAT"/>
      <sheetName val="186235 GREAT AMORT"/>
      <sheetName val="186365 WA Albany Amort"/>
      <sheetName val="191420 WA WACOG Def"/>
      <sheetName val="191421 WA WACOG Amort"/>
      <sheetName val="191430 WA DEMAND DEf"/>
      <sheetName val="191431 WA Demand Amort"/>
      <sheetName val="191432"/>
      <sheetName val="186302 WA Margin Sharing"/>
      <sheetName val="Chart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E4">
            <v>3.2500000000000001E-2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&amp; Documentation"/>
      <sheetName val="Inputs"/>
      <sheetName val="Washington volumes"/>
      <sheetName val="Allocation equal ¢ per therm"/>
      <sheetName val="Allocation = % of revenue"/>
      <sheetName val="Allocation = % of margin"/>
      <sheetName val="Permanents"/>
      <sheetName val="Temporaries"/>
      <sheetName val="Rates in detail"/>
      <sheetName val="Rates in summary"/>
      <sheetName val="Avg Bill by RS"/>
      <sheetName val="Margin Model"/>
      <sheetName val="Amortization"/>
      <sheetName val="F Goldenrod"/>
      <sheetName val="F Goldenrod+Rate Case"/>
      <sheetName val="Cover"/>
      <sheetName val="WA Index"/>
      <sheetName val="Statement of Rat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Annual WACOG History"/>
      <sheetName val="Winter WACOG History"/>
      <sheetName val="RS 1 BR History"/>
      <sheetName val="RS 2 BR History"/>
      <sheetName val="RS 3 BR History"/>
      <sheetName val="RS 19 BR History"/>
      <sheetName val="RS 27 BR History"/>
      <sheetName val="RS 41 Firm BR History"/>
      <sheetName val="RS 41 Intp BR History"/>
      <sheetName val="RS 42 FS BR History"/>
      <sheetName val="RS42 IS BR History"/>
      <sheetName val="RS 41T BR History"/>
      <sheetName val="RS 42T BR History"/>
      <sheetName val="RS 43 FT BR History"/>
      <sheetName val="RS 43 IT BR History "/>
      <sheetName val="RS 1 PR History"/>
      <sheetName val="RS 2 PR History"/>
      <sheetName val="RS 3 PR History"/>
      <sheetName val="RS 21 BR History"/>
      <sheetName val="RS 54 BR History"/>
      <sheetName val="wacog purch history 1988-2007"/>
      <sheetName val="Chgs in Rates by RS 1995-2004"/>
      <sheetName val="RS 3T BR His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K13">
            <v>0.10213</v>
          </cell>
          <cell r="L13">
            <v>8.3300000000000006E-3</v>
          </cell>
          <cell r="M13">
            <v>0</v>
          </cell>
          <cell r="N13">
            <v>1.771E-2</v>
          </cell>
          <cell r="O13">
            <v>2.3600000000000001E-3</v>
          </cell>
          <cell r="P13">
            <v>-1.1100000000000001E-3</v>
          </cell>
          <cell r="Q13">
            <v>0</v>
          </cell>
          <cell r="R13">
            <v>1.396E-2</v>
          </cell>
          <cell r="S13">
            <v>0</v>
          </cell>
          <cell r="T13">
            <v>4.2000000000000002E-4</v>
          </cell>
          <cell r="U13">
            <v>3.7949999999999998E-2</v>
          </cell>
        </row>
        <row r="14">
          <cell r="K14">
            <v>8.863E-2</v>
          </cell>
          <cell r="L14">
            <v>7.1999999999999998E-3</v>
          </cell>
          <cell r="M14">
            <v>0</v>
          </cell>
          <cell r="N14">
            <v>1.536E-2</v>
          </cell>
          <cell r="O14">
            <v>2.0400000000000001E-3</v>
          </cell>
          <cell r="P14">
            <v>-9.6000000000000002E-4</v>
          </cell>
          <cell r="Q14">
            <v>0</v>
          </cell>
          <cell r="R14">
            <v>1.2109999999999999E-2</v>
          </cell>
          <cell r="S14">
            <v>0</v>
          </cell>
          <cell r="T14">
            <v>3.8000000000000002E-4</v>
          </cell>
          <cell r="U14">
            <v>3.2939999999999997E-2</v>
          </cell>
        </row>
        <row r="15">
          <cell r="K15">
            <v>5.8880000000000002E-2</v>
          </cell>
          <cell r="L15">
            <v>4.7999999999999996E-3</v>
          </cell>
          <cell r="M15">
            <v>0</v>
          </cell>
          <cell r="N15">
            <v>1.021E-2</v>
          </cell>
          <cell r="O15">
            <v>1.3600000000000001E-3</v>
          </cell>
          <cell r="P15">
            <v>-6.4000000000000005E-4</v>
          </cell>
          <cell r="Q15">
            <v>3.6000000000000002E-4</v>
          </cell>
          <cell r="R15">
            <v>8.0499999999999999E-3</v>
          </cell>
          <cell r="S15">
            <v>0</v>
          </cell>
          <cell r="T15">
            <v>3.1E-4</v>
          </cell>
          <cell r="U15">
            <v>2.188E-2</v>
          </cell>
        </row>
        <row r="16">
          <cell r="K16">
            <v>5.2319999999999998E-2</v>
          </cell>
          <cell r="L16">
            <v>4.2700000000000004E-3</v>
          </cell>
          <cell r="M16">
            <v>0</v>
          </cell>
          <cell r="N16">
            <v>9.0699999999999999E-3</v>
          </cell>
          <cell r="O16">
            <v>1.2099999999999999E-3</v>
          </cell>
          <cell r="P16">
            <v>-5.6999999999999998E-4</v>
          </cell>
          <cell r="Q16">
            <v>0</v>
          </cell>
          <cell r="R16">
            <v>7.1500000000000001E-3</v>
          </cell>
          <cell r="S16">
            <v>0</v>
          </cell>
          <cell r="T16">
            <v>2.9E-4</v>
          </cell>
          <cell r="U16">
            <v>1.9439999999999999E-2</v>
          </cell>
        </row>
        <row r="17">
          <cell r="K17">
            <v>0</v>
          </cell>
          <cell r="L17">
            <v>0</v>
          </cell>
          <cell r="M17">
            <v>0</v>
          </cell>
          <cell r="N17">
            <v>8.3300000000000006E-3</v>
          </cell>
          <cell r="O17">
            <v>1.1100000000000001E-3</v>
          </cell>
          <cell r="P17">
            <v>-5.1999999999999995E-4</v>
          </cell>
          <cell r="Q17">
            <v>0</v>
          </cell>
          <cell r="R17">
            <v>6.5599999999999999E-3</v>
          </cell>
          <cell r="S17">
            <v>1.0300000000000001E-3</v>
          </cell>
          <cell r="T17">
            <v>2.4000000000000001E-4</v>
          </cell>
          <cell r="U17">
            <v>1.7850000000000001E-2</v>
          </cell>
        </row>
        <row r="18">
          <cell r="K18">
            <v>8.5110000000000005E-2</v>
          </cell>
          <cell r="L18">
            <v>6.94E-3</v>
          </cell>
          <cell r="M18">
            <v>0</v>
          </cell>
          <cell r="N18">
            <v>1.4749999999999999E-2</v>
          </cell>
          <cell r="O18">
            <v>1.97E-3</v>
          </cell>
          <cell r="P18">
            <v>-9.3000000000000005E-4</v>
          </cell>
          <cell r="Q18">
            <v>0</v>
          </cell>
          <cell r="R18">
            <v>1.163E-2</v>
          </cell>
          <cell r="S18">
            <v>0</v>
          </cell>
          <cell r="T18">
            <v>4.2999999999999999E-4</v>
          </cell>
          <cell r="U18">
            <v>3.1620000000000002E-2</v>
          </cell>
        </row>
        <row r="19">
          <cell r="K19">
            <v>4.2070000000000003E-2</v>
          </cell>
          <cell r="L19">
            <v>3.4299999999999999E-3</v>
          </cell>
          <cell r="M19">
            <v>0</v>
          </cell>
          <cell r="N19">
            <v>7.3000000000000001E-3</v>
          </cell>
          <cell r="O19">
            <v>9.7000000000000005E-4</v>
          </cell>
          <cell r="P19">
            <v>-4.6000000000000001E-4</v>
          </cell>
          <cell r="Q19">
            <v>0</v>
          </cell>
          <cell r="R19">
            <v>5.7499999999999999E-3</v>
          </cell>
          <cell r="S19">
            <v>0</v>
          </cell>
          <cell r="T19">
            <v>2.3000000000000001E-4</v>
          </cell>
          <cell r="U19">
            <v>1.5630000000000002E-2</v>
          </cell>
        </row>
        <row r="20">
          <cell r="K20">
            <v>3.7069999999999999E-2</v>
          </cell>
          <cell r="L20">
            <v>3.0200000000000001E-3</v>
          </cell>
          <cell r="M20">
            <v>0</v>
          </cell>
          <cell r="N20">
            <v>6.43E-3</v>
          </cell>
          <cell r="O20">
            <v>8.5999999999999998E-4</v>
          </cell>
          <cell r="P20">
            <v>-4.0000000000000002E-4</v>
          </cell>
          <cell r="Q20">
            <v>0</v>
          </cell>
          <cell r="R20">
            <v>5.0699999999999999E-3</v>
          </cell>
          <cell r="S20">
            <v>0</v>
          </cell>
          <cell r="T20">
            <v>2.2000000000000001E-4</v>
          </cell>
          <cell r="U20">
            <v>1.3769999999999999E-2</v>
          </cell>
        </row>
        <row r="21">
          <cell r="K21">
            <v>0</v>
          </cell>
          <cell r="L21">
            <v>0</v>
          </cell>
          <cell r="M21">
            <v>0</v>
          </cell>
          <cell r="N21">
            <v>6.2500000000000003E-3</v>
          </cell>
          <cell r="O21">
            <v>8.3000000000000001E-4</v>
          </cell>
          <cell r="P21">
            <v>-3.8999999999999999E-4</v>
          </cell>
          <cell r="Q21">
            <v>0</v>
          </cell>
          <cell r="R21">
            <v>4.9300000000000004E-3</v>
          </cell>
          <cell r="S21">
            <v>1.0300000000000001E-3</v>
          </cell>
          <cell r="T21">
            <v>2.1000000000000001E-4</v>
          </cell>
          <cell r="U21">
            <v>1.34E-2</v>
          </cell>
        </row>
        <row r="22">
          <cell r="K22">
            <v>0</v>
          </cell>
          <cell r="L22">
            <v>0</v>
          </cell>
          <cell r="M22">
            <v>0</v>
          </cell>
          <cell r="N22">
            <v>5.5100000000000001E-3</v>
          </cell>
          <cell r="O22">
            <v>7.2999999999999996E-4</v>
          </cell>
          <cell r="P22">
            <v>-3.4000000000000002E-4</v>
          </cell>
          <cell r="Q22">
            <v>0</v>
          </cell>
          <cell r="R22">
            <v>4.3400000000000001E-3</v>
          </cell>
          <cell r="S22">
            <v>1.0300000000000001E-3</v>
          </cell>
          <cell r="T22">
            <v>2.1000000000000001E-4</v>
          </cell>
          <cell r="U22">
            <v>1.1809999999999999E-2</v>
          </cell>
        </row>
        <row r="23">
          <cell r="K23">
            <v>3.7560000000000003E-2</v>
          </cell>
          <cell r="L23">
            <v>3.0599999999999998E-3</v>
          </cell>
          <cell r="M23">
            <v>0</v>
          </cell>
          <cell r="N23">
            <v>6.6400000000000001E-3</v>
          </cell>
          <cell r="O23">
            <v>8.8000000000000003E-4</v>
          </cell>
          <cell r="P23">
            <v>-4.2999999999999999E-4</v>
          </cell>
          <cell r="Q23">
            <v>0</v>
          </cell>
          <cell r="R23">
            <v>5.4599999999999996E-3</v>
          </cell>
          <cell r="S23">
            <v>0</v>
          </cell>
          <cell r="T23">
            <v>0</v>
          </cell>
          <cell r="U23">
            <v>1.4829999999999999E-2</v>
          </cell>
        </row>
        <row r="24">
          <cell r="K24">
            <v>3.3099999999999997E-2</v>
          </cell>
          <cell r="L24">
            <v>2.7000000000000001E-3</v>
          </cell>
          <cell r="M24">
            <v>0</v>
          </cell>
          <cell r="N24">
            <v>5.8500000000000002E-3</v>
          </cell>
          <cell r="O24">
            <v>7.7999999999999999E-4</v>
          </cell>
          <cell r="P24">
            <v>-3.8000000000000002E-4</v>
          </cell>
          <cell r="Q24">
            <v>0</v>
          </cell>
          <cell r="R24">
            <v>4.81E-3</v>
          </cell>
          <cell r="S24">
            <v>0</v>
          </cell>
          <cell r="T24">
            <v>0</v>
          </cell>
          <cell r="U24">
            <v>1.307E-2</v>
          </cell>
        </row>
        <row r="25">
          <cell r="K25">
            <v>0</v>
          </cell>
          <cell r="L25">
            <v>0</v>
          </cell>
          <cell r="M25">
            <v>0</v>
          </cell>
          <cell r="N25">
            <v>6.28E-3</v>
          </cell>
          <cell r="O25">
            <v>8.4000000000000003E-4</v>
          </cell>
          <cell r="P25">
            <v>-4.0999999999999999E-4</v>
          </cell>
          <cell r="Q25">
            <v>0</v>
          </cell>
          <cell r="R25">
            <v>5.1599999999999997E-3</v>
          </cell>
          <cell r="S25">
            <v>1.0300000000000001E-3</v>
          </cell>
          <cell r="T25">
            <v>0</v>
          </cell>
          <cell r="U25">
            <v>1.4030000000000001E-2</v>
          </cell>
        </row>
        <row r="26">
          <cell r="K26">
            <v>0</v>
          </cell>
          <cell r="L26">
            <v>0</v>
          </cell>
          <cell r="M26">
            <v>0</v>
          </cell>
          <cell r="N26">
            <v>5.5300000000000002E-3</v>
          </cell>
          <cell r="O26">
            <v>7.3999999999999999E-4</v>
          </cell>
          <cell r="P26">
            <v>-3.6000000000000002E-4</v>
          </cell>
          <cell r="Q26">
            <v>0</v>
          </cell>
          <cell r="R26">
            <v>4.5500000000000002E-3</v>
          </cell>
          <cell r="S26">
            <v>1.0300000000000001E-3</v>
          </cell>
          <cell r="T26">
            <v>0</v>
          </cell>
          <cell r="U26">
            <v>1.2359999999999999E-2</v>
          </cell>
        </row>
        <row r="27"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-4.4999999999999999E-4</v>
          </cell>
          <cell r="Q27">
            <v>0</v>
          </cell>
          <cell r="R27">
            <v>5.6899999999999997E-3</v>
          </cell>
          <cell r="S27">
            <v>1.0300000000000001E-3</v>
          </cell>
          <cell r="T27">
            <v>1.4999999999999999E-4</v>
          </cell>
          <cell r="U27">
            <v>1.5440000000000001E-2</v>
          </cell>
        </row>
        <row r="28"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-4.0000000000000002E-4</v>
          </cell>
          <cell r="Q28">
            <v>0</v>
          </cell>
          <cell r="R28">
            <v>5.0099999999999997E-3</v>
          </cell>
          <cell r="S28">
            <v>1.0300000000000001E-3</v>
          </cell>
          <cell r="T28">
            <v>1.3999999999999999E-4</v>
          </cell>
          <cell r="U28">
            <v>1.3599999999999999E-2</v>
          </cell>
        </row>
        <row r="29"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-4.0999999999999999E-4</v>
          </cell>
          <cell r="Q29">
            <v>0</v>
          </cell>
          <cell r="R29">
            <v>5.2199999999999998E-3</v>
          </cell>
          <cell r="S29">
            <v>1.0300000000000001E-3</v>
          </cell>
          <cell r="T29">
            <v>0</v>
          </cell>
          <cell r="U29">
            <v>1.418E-2</v>
          </cell>
        </row>
        <row r="30"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-3.6000000000000002E-4</v>
          </cell>
          <cell r="Q30">
            <v>0</v>
          </cell>
          <cell r="R30">
            <v>4.5999999999999999E-3</v>
          </cell>
          <cell r="S30">
            <v>1.0300000000000001E-3</v>
          </cell>
          <cell r="T30">
            <v>0</v>
          </cell>
          <cell r="U30">
            <v>1.2500000000000001E-2</v>
          </cell>
        </row>
        <row r="31">
          <cell r="K31">
            <v>2.3380000000000001E-2</v>
          </cell>
          <cell r="L31">
            <v>1.91E-3</v>
          </cell>
          <cell r="M31">
            <v>0</v>
          </cell>
          <cell r="N31">
            <v>4.0499999999999998E-3</v>
          </cell>
          <cell r="O31">
            <v>5.4000000000000001E-4</v>
          </cell>
          <cell r="P31">
            <v>-2.5000000000000001E-4</v>
          </cell>
          <cell r="Q31">
            <v>0</v>
          </cell>
          <cell r="R31">
            <v>3.2000000000000002E-3</v>
          </cell>
          <cell r="S31">
            <v>0</v>
          </cell>
          <cell r="T31">
            <v>1.4999999999999999E-4</v>
          </cell>
          <cell r="U31">
            <v>8.6899999999999998E-3</v>
          </cell>
        </row>
        <row r="32">
          <cell r="K32">
            <v>2.0930000000000001E-2</v>
          </cell>
          <cell r="L32">
            <v>1.7099999999999999E-3</v>
          </cell>
          <cell r="M32">
            <v>0</v>
          </cell>
          <cell r="N32">
            <v>3.63E-3</v>
          </cell>
          <cell r="O32">
            <v>4.8000000000000001E-4</v>
          </cell>
          <cell r="P32">
            <v>-2.3000000000000001E-4</v>
          </cell>
          <cell r="Q32">
            <v>0</v>
          </cell>
          <cell r="R32">
            <v>2.8600000000000001E-3</v>
          </cell>
          <cell r="S32">
            <v>0</v>
          </cell>
          <cell r="T32">
            <v>1.3999999999999999E-4</v>
          </cell>
          <cell r="U32">
            <v>7.7799999999999996E-3</v>
          </cell>
        </row>
        <row r="33">
          <cell r="K33">
            <v>1.6049999999999998E-2</v>
          </cell>
          <cell r="L33">
            <v>1.31E-3</v>
          </cell>
          <cell r="M33">
            <v>0</v>
          </cell>
          <cell r="N33">
            <v>2.7799999999999999E-3</v>
          </cell>
          <cell r="O33">
            <v>3.6999999999999999E-4</v>
          </cell>
          <cell r="P33">
            <v>-1.7000000000000001E-4</v>
          </cell>
          <cell r="Q33">
            <v>0</v>
          </cell>
          <cell r="R33">
            <v>2.1900000000000001E-3</v>
          </cell>
          <cell r="S33">
            <v>0</v>
          </cell>
          <cell r="T33">
            <v>1.3999999999999999E-4</v>
          </cell>
          <cell r="U33">
            <v>5.9699999999999996E-3</v>
          </cell>
        </row>
        <row r="34">
          <cell r="K34">
            <v>1.2840000000000001E-2</v>
          </cell>
          <cell r="L34">
            <v>1.0499999999999999E-3</v>
          </cell>
          <cell r="M34">
            <v>0</v>
          </cell>
          <cell r="N34">
            <v>2.2300000000000002E-3</v>
          </cell>
          <cell r="O34">
            <v>2.9999999999999997E-4</v>
          </cell>
          <cell r="P34">
            <v>-1.3999999999999999E-4</v>
          </cell>
          <cell r="Q34">
            <v>0</v>
          </cell>
          <cell r="R34">
            <v>1.7600000000000001E-3</v>
          </cell>
          <cell r="S34">
            <v>0</v>
          </cell>
          <cell r="T34">
            <v>1.2999999999999999E-4</v>
          </cell>
          <cell r="U34">
            <v>4.7699999999999999E-3</v>
          </cell>
        </row>
        <row r="35">
          <cell r="K35">
            <v>8.5599999999999999E-3</v>
          </cell>
          <cell r="L35">
            <v>6.9999999999999999E-4</v>
          </cell>
          <cell r="M35">
            <v>0</v>
          </cell>
          <cell r="N35">
            <v>1.48E-3</v>
          </cell>
          <cell r="O35">
            <v>2.0000000000000001E-4</v>
          </cell>
          <cell r="P35">
            <v>-9.0000000000000006E-5</v>
          </cell>
          <cell r="Q35">
            <v>0</v>
          </cell>
          <cell r="R35">
            <v>1.17E-3</v>
          </cell>
          <cell r="S35">
            <v>0</v>
          </cell>
          <cell r="T35">
            <v>1.2999999999999999E-4</v>
          </cell>
          <cell r="U35">
            <v>3.1800000000000001E-3</v>
          </cell>
        </row>
        <row r="36">
          <cell r="K36">
            <v>3.2100000000000002E-3</v>
          </cell>
          <cell r="L36">
            <v>2.5999999999999998E-4</v>
          </cell>
          <cell r="M36">
            <v>0</v>
          </cell>
          <cell r="N36">
            <v>5.5999999999999995E-4</v>
          </cell>
          <cell r="O36">
            <v>6.9999999999999994E-5</v>
          </cell>
          <cell r="P36">
            <v>-3.0000000000000001E-5</v>
          </cell>
          <cell r="Q36">
            <v>0</v>
          </cell>
          <cell r="R36">
            <v>4.4000000000000002E-4</v>
          </cell>
          <cell r="S36">
            <v>0</v>
          </cell>
          <cell r="T36">
            <v>1.2E-4</v>
          </cell>
          <cell r="U36">
            <v>1.1900000000000001E-3</v>
          </cell>
        </row>
        <row r="37">
          <cell r="K37">
            <v>0</v>
          </cell>
          <cell r="L37">
            <v>0</v>
          </cell>
          <cell r="M37">
            <v>0</v>
          </cell>
          <cell r="N37">
            <v>3.9300000000000003E-3</v>
          </cell>
          <cell r="O37">
            <v>5.1999999999999995E-4</v>
          </cell>
          <cell r="P37">
            <v>-2.5000000000000001E-4</v>
          </cell>
          <cell r="Q37">
            <v>0</v>
          </cell>
          <cell r="R37">
            <v>3.0999999999999999E-3</v>
          </cell>
          <cell r="S37">
            <v>1.0300000000000001E-3</v>
          </cell>
          <cell r="T37">
            <v>3.0000000000000001E-5</v>
          </cell>
          <cell r="U37">
            <v>8.43E-3</v>
          </cell>
        </row>
        <row r="38">
          <cell r="K38">
            <v>0</v>
          </cell>
          <cell r="L38">
            <v>0</v>
          </cell>
          <cell r="M38">
            <v>0</v>
          </cell>
          <cell r="N38">
            <v>3.5200000000000001E-3</v>
          </cell>
          <cell r="O38">
            <v>4.6999999999999999E-4</v>
          </cell>
          <cell r="P38">
            <v>-2.2000000000000001E-4</v>
          </cell>
          <cell r="Q38">
            <v>0</v>
          </cell>
          <cell r="R38">
            <v>2.7699999999999999E-3</v>
          </cell>
          <cell r="S38">
            <v>1.0300000000000001E-3</v>
          </cell>
          <cell r="T38">
            <v>3.0000000000000001E-5</v>
          </cell>
          <cell r="U38">
            <v>7.5399999999999998E-3</v>
          </cell>
        </row>
        <row r="39">
          <cell r="K39">
            <v>0</v>
          </cell>
          <cell r="L39">
            <v>0</v>
          </cell>
          <cell r="M39">
            <v>0</v>
          </cell>
          <cell r="N39">
            <v>2.7000000000000001E-3</v>
          </cell>
          <cell r="O39">
            <v>3.6000000000000002E-4</v>
          </cell>
          <cell r="P39">
            <v>-1.7000000000000001E-4</v>
          </cell>
          <cell r="Q39">
            <v>0</v>
          </cell>
          <cell r="R39">
            <v>2.1299999999999999E-3</v>
          </cell>
          <cell r="S39">
            <v>1.0300000000000001E-3</v>
          </cell>
          <cell r="T39">
            <v>3.0000000000000001E-5</v>
          </cell>
          <cell r="U39">
            <v>5.7800000000000004E-3</v>
          </cell>
        </row>
        <row r="40">
          <cell r="K40">
            <v>0</v>
          </cell>
          <cell r="L40">
            <v>0</v>
          </cell>
          <cell r="M40">
            <v>0</v>
          </cell>
          <cell r="N40">
            <v>2.16E-3</v>
          </cell>
          <cell r="O40">
            <v>2.9E-4</v>
          </cell>
          <cell r="P40">
            <v>-1.3999999999999999E-4</v>
          </cell>
          <cell r="Q40">
            <v>0</v>
          </cell>
          <cell r="R40">
            <v>1.6999999999999999E-3</v>
          </cell>
          <cell r="S40">
            <v>1.0300000000000001E-3</v>
          </cell>
          <cell r="T40">
            <v>3.0000000000000001E-5</v>
          </cell>
          <cell r="U40">
            <v>4.6299999999999996E-3</v>
          </cell>
        </row>
        <row r="41">
          <cell r="K41">
            <v>0</v>
          </cell>
          <cell r="L41">
            <v>0</v>
          </cell>
          <cell r="M41">
            <v>0</v>
          </cell>
          <cell r="N41">
            <v>1.4400000000000001E-3</v>
          </cell>
          <cell r="O41">
            <v>1.9000000000000001E-4</v>
          </cell>
          <cell r="P41">
            <v>-9.0000000000000006E-5</v>
          </cell>
          <cell r="Q41">
            <v>0</v>
          </cell>
          <cell r="R41">
            <v>1.14E-3</v>
          </cell>
          <cell r="S41">
            <v>1.0300000000000001E-3</v>
          </cell>
          <cell r="T41">
            <v>3.0000000000000001E-5</v>
          </cell>
          <cell r="U41">
            <v>3.0899999999999999E-3</v>
          </cell>
        </row>
        <row r="42">
          <cell r="K42">
            <v>0</v>
          </cell>
          <cell r="L42">
            <v>0</v>
          </cell>
          <cell r="M42">
            <v>0</v>
          </cell>
          <cell r="N42">
            <v>5.4000000000000001E-4</v>
          </cell>
          <cell r="O42">
            <v>6.9999999999999994E-5</v>
          </cell>
          <cell r="P42">
            <v>-3.0000000000000001E-5</v>
          </cell>
          <cell r="Q42">
            <v>0</v>
          </cell>
          <cell r="R42">
            <v>4.2999999999999999E-4</v>
          </cell>
          <cell r="S42">
            <v>1.0300000000000001E-3</v>
          </cell>
          <cell r="T42">
            <v>3.0000000000000001E-5</v>
          </cell>
          <cell r="U42">
            <v>1.16E-3</v>
          </cell>
        </row>
        <row r="43"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-1.4999999999999999E-4</v>
          </cell>
          <cell r="Q43">
            <v>0</v>
          </cell>
          <cell r="R43">
            <v>1.9300000000000001E-3</v>
          </cell>
          <cell r="S43">
            <v>1.0300000000000001E-3</v>
          </cell>
          <cell r="T43">
            <v>1.2E-4</v>
          </cell>
          <cell r="U43">
            <v>5.2399999999999999E-3</v>
          </cell>
        </row>
        <row r="44"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-1.3999999999999999E-4</v>
          </cell>
          <cell r="Q44">
            <v>0</v>
          </cell>
          <cell r="R44">
            <v>1.73E-3</v>
          </cell>
          <cell r="S44">
            <v>1.0300000000000001E-3</v>
          </cell>
          <cell r="T44">
            <v>1.2E-4</v>
          </cell>
          <cell r="U44">
            <v>4.6899999999999997E-3</v>
          </cell>
        </row>
        <row r="45"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-1.1E-4</v>
          </cell>
          <cell r="Q45">
            <v>0</v>
          </cell>
          <cell r="R45">
            <v>1.33E-3</v>
          </cell>
          <cell r="S45">
            <v>1.0300000000000001E-3</v>
          </cell>
          <cell r="T45">
            <v>1.1E-4</v>
          </cell>
          <cell r="U45">
            <v>3.5999999999999999E-3</v>
          </cell>
        </row>
        <row r="46"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-8.0000000000000007E-5</v>
          </cell>
          <cell r="Q46">
            <v>0</v>
          </cell>
          <cell r="R46">
            <v>1.06E-3</v>
          </cell>
          <cell r="S46">
            <v>1.0300000000000001E-3</v>
          </cell>
          <cell r="T46">
            <v>1.1E-4</v>
          </cell>
          <cell r="U46">
            <v>2.8800000000000002E-3</v>
          </cell>
        </row>
        <row r="47"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-6.0000000000000002E-5</v>
          </cell>
          <cell r="Q47">
            <v>0</v>
          </cell>
          <cell r="R47">
            <v>7.1000000000000002E-4</v>
          </cell>
          <cell r="S47">
            <v>1.0300000000000001E-3</v>
          </cell>
          <cell r="T47">
            <v>1E-4</v>
          </cell>
          <cell r="U47">
            <v>1.92E-3</v>
          </cell>
        </row>
        <row r="48"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-2.0000000000000002E-5</v>
          </cell>
          <cell r="Q48">
            <v>0</v>
          </cell>
          <cell r="R48">
            <v>2.7E-4</v>
          </cell>
          <cell r="S48">
            <v>1.0300000000000001E-3</v>
          </cell>
          <cell r="T48">
            <v>1E-4</v>
          </cell>
          <cell r="U48">
            <v>7.2000000000000005E-4</v>
          </cell>
        </row>
        <row r="49"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-1.6000000000000001E-4</v>
          </cell>
          <cell r="Q49">
            <v>0</v>
          </cell>
          <cell r="R49">
            <v>2.0600000000000002E-3</v>
          </cell>
          <cell r="S49">
            <v>1.0300000000000001E-3</v>
          </cell>
          <cell r="T49">
            <v>1E-4</v>
          </cell>
          <cell r="U49">
            <v>5.5900000000000004E-3</v>
          </cell>
        </row>
        <row r="50"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-1.4999999999999999E-4</v>
          </cell>
          <cell r="Q50">
            <v>0</v>
          </cell>
          <cell r="R50">
            <v>1.8400000000000001E-3</v>
          </cell>
          <cell r="S50">
            <v>1.0300000000000001E-3</v>
          </cell>
          <cell r="T50">
            <v>1E-4</v>
          </cell>
          <cell r="U50">
            <v>5.0099999999999997E-3</v>
          </cell>
        </row>
        <row r="51"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-1.1E-4</v>
          </cell>
          <cell r="Q51">
            <v>0</v>
          </cell>
          <cell r="R51">
            <v>1.41E-3</v>
          </cell>
          <cell r="S51">
            <v>1.0300000000000001E-3</v>
          </cell>
          <cell r="T51">
            <v>9.0000000000000006E-5</v>
          </cell>
          <cell r="U51">
            <v>3.8400000000000001E-3</v>
          </cell>
        </row>
        <row r="52"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-9.0000000000000006E-5</v>
          </cell>
          <cell r="Q52">
            <v>0</v>
          </cell>
          <cell r="R52">
            <v>1.1299999999999999E-3</v>
          </cell>
          <cell r="S52">
            <v>1.0300000000000001E-3</v>
          </cell>
          <cell r="T52">
            <v>9.0000000000000006E-5</v>
          </cell>
          <cell r="U52">
            <v>3.0699999999999998E-3</v>
          </cell>
        </row>
        <row r="53"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-6.0000000000000002E-5</v>
          </cell>
          <cell r="Q53">
            <v>0</v>
          </cell>
          <cell r="R53">
            <v>7.5000000000000002E-4</v>
          </cell>
          <cell r="S53">
            <v>1.0300000000000001E-3</v>
          </cell>
          <cell r="T53">
            <v>9.0000000000000006E-5</v>
          </cell>
          <cell r="U53">
            <v>2.0500000000000002E-3</v>
          </cell>
        </row>
        <row r="54"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-2.0000000000000002E-5</v>
          </cell>
          <cell r="Q54">
            <v>0</v>
          </cell>
          <cell r="R54">
            <v>2.7999999999999998E-4</v>
          </cell>
          <cell r="S54">
            <v>1.0300000000000001E-3</v>
          </cell>
          <cell r="T54">
            <v>8.0000000000000007E-5</v>
          </cell>
          <cell r="U54">
            <v>7.6999999999999996E-4</v>
          </cell>
        </row>
        <row r="55">
          <cell r="K55">
            <v>1.729E-2</v>
          </cell>
          <cell r="L55">
            <v>1.41E-3</v>
          </cell>
          <cell r="M55">
            <v>0</v>
          </cell>
          <cell r="N55">
            <v>3.0000000000000001E-3</v>
          </cell>
          <cell r="O55">
            <v>4.0000000000000002E-4</v>
          </cell>
          <cell r="P55">
            <v>-1.9000000000000001E-4</v>
          </cell>
          <cell r="Q55">
            <v>0</v>
          </cell>
          <cell r="R55">
            <v>2.3600000000000001E-3</v>
          </cell>
          <cell r="S55">
            <v>0</v>
          </cell>
          <cell r="T55">
            <v>1.8000000000000001E-4</v>
          </cell>
          <cell r="U55">
            <v>6.4200000000000004E-3</v>
          </cell>
        </row>
        <row r="56">
          <cell r="K56">
            <v>1.5480000000000001E-2</v>
          </cell>
          <cell r="L56">
            <v>1.2600000000000001E-3</v>
          </cell>
          <cell r="M56">
            <v>0</v>
          </cell>
          <cell r="N56">
            <v>2.6800000000000001E-3</v>
          </cell>
          <cell r="O56">
            <v>3.6000000000000002E-4</v>
          </cell>
          <cell r="P56">
            <v>-1.7000000000000001E-4</v>
          </cell>
          <cell r="Q56">
            <v>0</v>
          </cell>
          <cell r="R56">
            <v>2.1199999999999999E-3</v>
          </cell>
          <cell r="S56">
            <v>0</v>
          </cell>
          <cell r="T56">
            <v>1.8000000000000001E-4</v>
          </cell>
          <cell r="U56">
            <v>5.7499999999999999E-3</v>
          </cell>
        </row>
        <row r="57">
          <cell r="K57">
            <v>1.187E-2</v>
          </cell>
          <cell r="L57">
            <v>9.7000000000000005E-4</v>
          </cell>
          <cell r="M57">
            <v>0</v>
          </cell>
          <cell r="N57">
            <v>2.0600000000000002E-3</v>
          </cell>
          <cell r="O57">
            <v>2.7E-4</v>
          </cell>
          <cell r="P57">
            <v>-1.2999999999999999E-4</v>
          </cell>
          <cell r="Q57">
            <v>0</v>
          </cell>
          <cell r="R57">
            <v>1.6199999999999999E-3</v>
          </cell>
          <cell r="S57">
            <v>0</v>
          </cell>
          <cell r="T57">
            <v>1.7000000000000001E-4</v>
          </cell>
          <cell r="U57">
            <v>4.4099999999999999E-3</v>
          </cell>
        </row>
        <row r="58">
          <cell r="K58">
            <v>9.4900000000000002E-3</v>
          </cell>
          <cell r="L58">
            <v>7.6999999999999996E-4</v>
          </cell>
          <cell r="M58">
            <v>0</v>
          </cell>
          <cell r="N58">
            <v>1.65E-3</v>
          </cell>
          <cell r="O58">
            <v>2.2000000000000001E-4</v>
          </cell>
          <cell r="P58">
            <v>-1E-4</v>
          </cell>
          <cell r="Q58">
            <v>0</v>
          </cell>
          <cell r="R58">
            <v>1.2999999999999999E-3</v>
          </cell>
          <cell r="S58">
            <v>0</v>
          </cell>
          <cell r="T58">
            <v>1.7000000000000001E-4</v>
          </cell>
          <cell r="U58">
            <v>3.5300000000000002E-3</v>
          </cell>
        </row>
        <row r="59">
          <cell r="K59">
            <v>6.3299999999999997E-3</v>
          </cell>
          <cell r="L59">
            <v>5.1999999999999995E-4</v>
          </cell>
          <cell r="M59">
            <v>0</v>
          </cell>
          <cell r="N59">
            <v>1.1000000000000001E-3</v>
          </cell>
          <cell r="O59">
            <v>1.4999999999999999E-4</v>
          </cell>
          <cell r="P59">
            <v>-6.9999999999999994E-5</v>
          </cell>
          <cell r="Q59">
            <v>0</v>
          </cell>
          <cell r="R59">
            <v>8.7000000000000001E-4</v>
          </cell>
          <cell r="S59">
            <v>0</v>
          </cell>
          <cell r="T59">
            <v>1.6000000000000001E-4</v>
          </cell>
          <cell r="U59">
            <v>2.3500000000000001E-3</v>
          </cell>
        </row>
        <row r="60">
          <cell r="K60">
            <v>2.3700000000000001E-3</v>
          </cell>
          <cell r="L60">
            <v>1.9000000000000001E-4</v>
          </cell>
          <cell r="M60">
            <v>0</v>
          </cell>
          <cell r="N60">
            <v>4.0999999999999999E-4</v>
          </cell>
          <cell r="O60">
            <v>5.0000000000000002E-5</v>
          </cell>
          <cell r="P60">
            <v>-3.0000000000000001E-5</v>
          </cell>
          <cell r="Q60">
            <v>0</v>
          </cell>
          <cell r="R60">
            <v>3.2000000000000003E-4</v>
          </cell>
          <cell r="S60">
            <v>0</v>
          </cell>
          <cell r="T60">
            <v>1.4999999999999999E-4</v>
          </cell>
          <cell r="U60">
            <v>8.8000000000000003E-4</v>
          </cell>
        </row>
        <row r="61">
          <cell r="K61">
            <v>0</v>
          </cell>
          <cell r="L61">
            <v>0</v>
          </cell>
          <cell r="M61">
            <v>0</v>
          </cell>
          <cell r="N61">
            <v>3.5599999999999998E-3</v>
          </cell>
          <cell r="O61">
            <v>4.8000000000000001E-4</v>
          </cell>
          <cell r="P61">
            <v>-2.2000000000000001E-4</v>
          </cell>
          <cell r="Q61">
            <v>0</v>
          </cell>
          <cell r="R61">
            <v>2.81E-3</v>
          </cell>
          <cell r="S61">
            <v>1.0300000000000001E-3</v>
          </cell>
          <cell r="T61">
            <v>6.9999999999999994E-5</v>
          </cell>
          <cell r="U61">
            <v>7.6400000000000001E-3</v>
          </cell>
        </row>
        <row r="62">
          <cell r="K62">
            <v>0</v>
          </cell>
          <cell r="L62">
            <v>0</v>
          </cell>
          <cell r="M62">
            <v>0</v>
          </cell>
          <cell r="N62">
            <v>3.1900000000000001E-3</v>
          </cell>
          <cell r="O62">
            <v>4.2999999999999999E-4</v>
          </cell>
          <cell r="P62">
            <v>-2.0000000000000001E-4</v>
          </cell>
          <cell r="Q62">
            <v>0</v>
          </cell>
          <cell r="R62">
            <v>2.5200000000000001E-3</v>
          </cell>
          <cell r="S62">
            <v>1.0300000000000001E-3</v>
          </cell>
          <cell r="T62">
            <v>6.9999999999999994E-5</v>
          </cell>
          <cell r="U62">
            <v>6.8300000000000001E-3</v>
          </cell>
        </row>
        <row r="63">
          <cell r="K63">
            <v>0</v>
          </cell>
          <cell r="L63">
            <v>0</v>
          </cell>
          <cell r="M63">
            <v>0</v>
          </cell>
          <cell r="N63">
            <v>2.4499999999999999E-3</v>
          </cell>
          <cell r="O63">
            <v>3.3E-4</v>
          </cell>
          <cell r="P63">
            <v>-1.4999999999999999E-4</v>
          </cell>
          <cell r="Q63">
            <v>0</v>
          </cell>
          <cell r="R63">
            <v>1.9300000000000001E-3</v>
          </cell>
          <cell r="S63">
            <v>1.0300000000000001E-3</v>
          </cell>
          <cell r="T63">
            <v>6.9999999999999994E-5</v>
          </cell>
          <cell r="U63">
            <v>5.2399999999999999E-3</v>
          </cell>
        </row>
        <row r="64">
          <cell r="K64">
            <v>0</v>
          </cell>
          <cell r="L64">
            <v>0</v>
          </cell>
          <cell r="M64">
            <v>0</v>
          </cell>
          <cell r="N64">
            <v>1.9599999999999999E-3</v>
          </cell>
          <cell r="O64">
            <v>2.5999999999999998E-4</v>
          </cell>
          <cell r="P64">
            <v>-1.2E-4</v>
          </cell>
          <cell r="Q64">
            <v>0</v>
          </cell>
          <cell r="R64">
            <v>1.5399999999999999E-3</v>
          </cell>
          <cell r="S64">
            <v>1.0300000000000001E-3</v>
          </cell>
          <cell r="T64">
            <v>6.9999999999999994E-5</v>
          </cell>
          <cell r="U64">
            <v>4.1900000000000001E-3</v>
          </cell>
        </row>
        <row r="65">
          <cell r="K65">
            <v>0</v>
          </cell>
          <cell r="L65">
            <v>0</v>
          </cell>
          <cell r="M65">
            <v>0</v>
          </cell>
          <cell r="N65">
            <v>1.2999999999999999E-3</v>
          </cell>
          <cell r="O65">
            <v>1.7000000000000001E-4</v>
          </cell>
          <cell r="P65">
            <v>-8.0000000000000007E-5</v>
          </cell>
          <cell r="Q65">
            <v>0</v>
          </cell>
          <cell r="R65">
            <v>1.0300000000000001E-3</v>
          </cell>
          <cell r="S65">
            <v>1.0300000000000001E-3</v>
          </cell>
          <cell r="T65">
            <v>6.9999999999999994E-5</v>
          </cell>
          <cell r="U65">
            <v>2.7899999999999999E-3</v>
          </cell>
        </row>
        <row r="66">
          <cell r="K66">
            <v>0</v>
          </cell>
          <cell r="L66">
            <v>0</v>
          </cell>
          <cell r="M66">
            <v>0</v>
          </cell>
          <cell r="N66">
            <v>4.8999999999999998E-4</v>
          </cell>
          <cell r="O66">
            <v>6.9999999999999994E-5</v>
          </cell>
          <cell r="P66">
            <v>-3.0000000000000001E-5</v>
          </cell>
          <cell r="Q66">
            <v>0</v>
          </cell>
          <cell r="R66">
            <v>3.8999999999999999E-4</v>
          </cell>
          <cell r="S66">
            <v>1.0300000000000001E-3</v>
          </cell>
          <cell r="T66">
            <v>6.0000000000000002E-5</v>
          </cell>
          <cell r="U66">
            <v>1.0499999999999999E-3</v>
          </cell>
        </row>
        <row r="67"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-1.6000000000000001E-4</v>
          </cell>
          <cell r="Q67">
            <v>0</v>
          </cell>
          <cell r="R67">
            <v>2.0100000000000001E-3</v>
          </cell>
          <cell r="S67">
            <v>1.0300000000000001E-3</v>
          </cell>
          <cell r="T67">
            <v>0</v>
          </cell>
          <cell r="U67">
            <v>5.4599999999999996E-3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-1.3999999999999999E-4</v>
          </cell>
          <cell r="Q68">
            <v>0</v>
          </cell>
          <cell r="R68">
            <v>1.8E-3</v>
          </cell>
          <cell r="S68">
            <v>1.0300000000000001E-3</v>
          </cell>
          <cell r="T68">
            <v>0</v>
          </cell>
          <cell r="U68">
            <v>4.8900000000000002E-3</v>
          </cell>
        </row>
        <row r="69"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-1.1E-4</v>
          </cell>
          <cell r="Q69">
            <v>0</v>
          </cell>
          <cell r="R69">
            <v>1.3799999999999999E-3</v>
          </cell>
          <cell r="S69">
            <v>1.0300000000000001E-3</v>
          </cell>
          <cell r="T69">
            <v>0</v>
          </cell>
          <cell r="U69">
            <v>3.7499999999999999E-3</v>
          </cell>
        </row>
        <row r="70"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-9.0000000000000006E-5</v>
          </cell>
          <cell r="Q70">
            <v>0</v>
          </cell>
          <cell r="R70">
            <v>1.1100000000000001E-3</v>
          </cell>
          <cell r="S70">
            <v>1.0300000000000001E-3</v>
          </cell>
          <cell r="T70">
            <v>0</v>
          </cell>
          <cell r="U70">
            <v>3.0000000000000001E-3</v>
          </cell>
        </row>
        <row r="71"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-6.0000000000000002E-5</v>
          </cell>
          <cell r="Q71">
            <v>0</v>
          </cell>
          <cell r="R71">
            <v>7.3999999999999999E-4</v>
          </cell>
          <cell r="S71">
            <v>1.0300000000000001E-3</v>
          </cell>
          <cell r="T71">
            <v>0</v>
          </cell>
          <cell r="U71">
            <v>2E-3</v>
          </cell>
        </row>
        <row r="72"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-2.0000000000000002E-5</v>
          </cell>
          <cell r="Q72">
            <v>0</v>
          </cell>
          <cell r="R72">
            <v>2.7999999999999998E-4</v>
          </cell>
          <cell r="S72">
            <v>1.0300000000000001E-3</v>
          </cell>
          <cell r="T72">
            <v>0</v>
          </cell>
          <cell r="U72">
            <v>7.5000000000000002E-4</v>
          </cell>
        </row>
        <row r="73"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-1.6000000000000001E-4</v>
          </cell>
          <cell r="Q73">
            <v>0</v>
          </cell>
          <cell r="R73">
            <v>2.0100000000000001E-3</v>
          </cell>
          <cell r="S73">
            <v>1.0300000000000001E-3</v>
          </cell>
          <cell r="T73">
            <v>1E-4</v>
          </cell>
          <cell r="U73">
            <v>5.4599999999999996E-3</v>
          </cell>
        </row>
        <row r="74"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-1.3999999999999999E-4</v>
          </cell>
          <cell r="Q74">
            <v>0</v>
          </cell>
          <cell r="R74">
            <v>1.8E-3</v>
          </cell>
          <cell r="S74">
            <v>1.0300000000000001E-3</v>
          </cell>
          <cell r="T74">
            <v>1E-4</v>
          </cell>
          <cell r="U74">
            <v>4.8900000000000002E-3</v>
          </cell>
        </row>
        <row r="75"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-1.1E-4</v>
          </cell>
          <cell r="Q75">
            <v>0</v>
          </cell>
          <cell r="R75">
            <v>1.3799999999999999E-3</v>
          </cell>
          <cell r="S75">
            <v>1.0300000000000001E-3</v>
          </cell>
          <cell r="T75">
            <v>9.0000000000000006E-5</v>
          </cell>
          <cell r="U75">
            <v>3.7499999999999999E-3</v>
          </cell>
        </row>
        <row r="76"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-9.0000000000000006E-5</v>
          </cell>
          <cell r="Q76">
            <v>0</v>
          </cell>
          <cell r="R76">
            <v>1.1000000000000001E-3</v>
          </cell>
          <cell r="S76">
            <v>1.0300000000000001E-3</v>
          </cell>
          <cell r="T76">
            <v>9.0000000000000006E-5</v>
          </cell>
          <cell r="U76">
            <v>3.0000000000000001E-3</v>
          </cell>
        </row>
        <row r="77"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-6.0000000000000002E-5</v>
          </cell>
          <cell r="Q77">
            <v>0</v>
          </cell>
          <cell r="R77">
            <v>7.3999999999999999E-4</v>
          </cell>
          <cell r="S77">
            <v>1.0300000000000001E-3</v>
          </cell>
          <cell r="T77">
            <v>8.0000000000000007E-5</v>
          </cell>
          <cell r="U77">
            <v>2E-3</v>
          </cell>
        </row>
        <row r="78"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-2.0000000000000002E-5</v>
          </cell>
          <cell r="Q78">
            <v>0</v>
          </cell>
          <cell r="R78">
            <v>2.7999999999999998E-4</v>
          </cell>
          <cell r="S78">
            <v>1.0300000000000001E-3</v>
          </cell>
          <cell r="T78">
            <v>8.0000000000000007E-5</v>
          </cell>
          <cell r="U78">
            <v>7.5000000000000002E-4</v>
          </cell>
        </row>
        <row r="79"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-1.0000000000000001E-5</v>
          </cell>
          <cell r="Q79">
            <v>0</v>
          </cell>
          <cell r="R79">
            <v>0</v>
          </cell>
          <cell r="S79">
            <v>1.0300000000000001E-3</v>
          </cell>
          <cell r="T79">
            <v>0</v>
          </cell>
          <cell r="U79">
            <v>1.9000000000000001E-4</v>
          </cell>
        </row>
        <row r="80"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-1.0000000000000001E-5</v>
          </cell>
          <cell r="Q80">
            <v>0</v>
          </cell>
          <cell r="R80">
            <v>0</v>
          </cell>
          <cell r="S80">
            <v>1.0300000000000001E-3</v>
          </cell>
          <cell r="T80">
            <v>0</v>
          </cell>
          <cell r="U80">
            <v>1.9000000000000001E-4</v>
          </cell>
        </row>
        <row r="81"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ost and Revenues"/>
      <sheetName val="Aver Bill by RS"/>
      <sheetName val="Deferral"/>
      <sheetName val="Fixed Credits"/>
      <sheetName val="Volumes"/>
      <sheetName val="Tables for Filing"/>
      <sheetName val="Customer Impacts_DNU"/>
      <sheetName val="2024 Volumes"/>
      <sheetName val="2025 Volumes"/>
    </sheetNames>
    <sheetDataSet>
      <sheetData sheetId="0"/>
      <sheetData sheetId="1"/>
      <sheetData sheetId="2">
        <row r="13">
          <cell r="J13">
            <v>1.816614207786148</v>
          </cell>
        </row>
        <row r="14">
          <cell r="J14">
            <v>5.3425825423278139</v>
          </cell>
        </row>
        <row r="15">
          <cell r="J15">
            <v>10.540904108741115</v>
          </cell>
        </row>
        <row r="16">
          <cell r="J16">
            <v>48.320758584764796</v>
          </cell>
        </row>
        <row r="17">
          <cell r="J17">
            <v>129.16257090345997</v>
          </cell>
        </row>
        <row r="18">
          <cell r="J18">
            <v>0</v>
          </cell>
        </row>
        <row r="19">
          <cell r="J19">
            <v>515.08785319123695</v>
          </cell>
        </row>
        <row r="22">
          <cell r="J22">
            <v>622.72278920943302</v>
          </cell>
        </row>
        <row r="25">
          <cell r="J25">
            <v>515.08785319123695</v>
          </cell>
        </row>
        <row r="28">
          <cell r="J28">
            <v>622.72278920943302</v>
          </cell>
        </row>
        <row r="31">
          <cell r="J31">
            <v>515.08785319123695</v>
          </cell>
        </row>
        <row r="34">
          <cell r="J34">
            <v>622.72278920943302</v>
          </cell>
        </row>
        <row r="37">
          <cell r="J37">
            <v>5142.2693365131181</v>
          </cell>
        </row>
        <row r="44">
          <cell r="J44">
            <v>3945.7691048183847</v>
          </cell>
        </row>
        <row r="51">
          <cell r="J51">
            <v>5142.2693365131181</v>
          </cell>
        </row>
        <row r="58">
          <cell r="J58">
            <v>3945.7691048183847</v>
          </cell>
        </row>
        <row r="65">
          <cell r="J65">
            <v>5142.2693365131181</v>
          </cell>
        </row>
        <row r="72">
          <cell r="J72">
            <v>3945.7691048183847</v>
          </cell>
        </row>
        <row r="79">
          <cell r="J79">
            <v>5142.2693365131181</v>
          </cell>
        </row>
        <row r="86">
          <cell r="J86">
            <v>3945.7691048183847</v>
          </cell>
        </row>
        <row r="93">
          <cell r="J93"/>
        </row>
        <row r="94">
          <cell r="J94"/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GA Summary by Month"/>
      <sheetName val="WA AMORT 2024-25"/>
      <sheetName val="PGA Summary"/>
      <sheetName val="151822 GREAT"/>
      <sheetName val="151824 GREAT AMORT"/>
      <sheetName val="151890 WA-LIEE"/>
      <sheetName val="151892 WA-LIEE  AMORT"/>
      <sheetName val="151894 Historical DSM Amort"/>
      <sheetName val="151898 WA EE True-Up"/>
      <sheetName val="151540 Defer WACOG"/>
      <sheetName val="151941 WA Tariffs"/>
      <sheetName val="151545 Amort WACOG"/>
      <sheetName val="151550 Defer Demand"/>
      <sheetName val="151555 Amort Demand"/>
      <sheetName val="232035 Storage Sharing"/>
      <sheetName val="232050 Amort Gain on Prop"/>
      <sheetName val="232075 Defer WA Property Sales"/>
      <sheetName val="151827 WUTC Defer"/>
      <sheetName val="151829 WUTC Fee Amort"/>
      <sheetName val="151887 WA EE Audit Defer"/>
      <sheetName val="151889 WA EE Audit AMORT"/>
      <sheetName val="151914 Rate Mitigation Amort"/>
      <sheetName val="151884 Participatory Fund Defer"/>
      <sheetName val="151823 Demand Response Defer"/>
      <sheetName val="186310 Energy Eff General"/>
      <sheetName val="186312 Energy Eff Res &amp; Comm"/>
      <sheetName val="186311 Furnace Program"/>
      <sheetName val="186317 Historical DSM"/>
      <sheetName val="254307 PROP SALES"/>
      <sheetName val="254317 PROP SLS AMORT"/>
      <sheetName val="191432"/>
    </sheetNames>
    <sheetDataSet>
      <sheetData sheetId="0"/>
      <sheetData sheetId="1">
        <row r="82">
          <cell r="X82">
            <v>290187.96999999997</v>
          </cell>
          <cell r="Y82">
            <v>43633.72</v>
          </cell>
          <cell r="Z82">
            <v>4082.08</v>
          </cell>
          <cell r="AJ82">
            <v>154325.26</v>
          </cell>
          <cell r="AK82">
            <v>23489.700000000004</v>
          </cell>
          <cell r="AL82">
            <v>1261.23</v>
          </cell>
        </row>
      </sheetData>
      <sheetData sheetId="2"/>
      <sheetData sheetId="3">
        <row r="218">
          <cell r="I218">
            <v>585080.04999999981</v>
          </cell>
        </row>
        <row r="219">
          <cell r="G219">
            <v>3656.75</v>
          </cell>
        </row>
        <row r="220">
          <cell r="G220">
            <v>3679.61</v>
          </cell>
        </row>
      </sheetData>
      <sheetData sheetId="4">
        <row r="219">
          <cell r="I219">
            <v>159153.54643603571</v>
          </cell>
        </row>
        <row r="220">
          <cell r="D220">
            <v>-24624.870000000003</v>
          </cell>
          <cell r="G220">
            <v>917.76</v>
          </cell>
        </row>
        <row r="221">
          <cell r="D221">
            <v>-13597.850000000002</v>
          </cell>
          <cell r="G221">
            <v>804.05</v>
          </cell>
        </row>
      </sheetData>
      <sheetData sheetId="5">
        <row r="242">
          <cell r="X242">
            <v>97391.199999999924</v>
          </cell>
        </row>
        <row r="243">
          <cell r="G243">
            <v>608.69000000000005</v>
          </cell>
        </row>
        <row r="244">
          <cell r="G244">
            <v>612.5</v>
          </cell>
        </row>
      </sheetData>
      <sheetData sheetId="6">
        <row r="205">
          <cell r="I205">
            <v>21490.910100000096</v>
          </cell>
        </row>
        <row r="206">
          <cell r="D206">
            <v>-3281.6</v>
          </cell>
          <cell r="G206">
            <v>124.06</v>
          </cell>
        </row>
        <row r="207">
          <cell r="D207">
            <v>-1811.6200000000001</v>
          </cell>
          <cell r="G207">
            <v>108.92</v>
          </cell>
        </row>
      </sheetData>
      <sheetData sheetId="7">
        <row r="259">
          <cell r="I259">
            <v>59658.208188029967</v>
          </cell>
        </row>
        <row r="260">
          <cell r="D260">
            <v>-11175.609999999999</v>
          </cell>
          <cell r="G260">
            <v>337.94</v>
          </cell>
        </row>
        <row r="261">
          <cell r="D261">
            <v>-6263.579999999999</v>
          </cell>
          <cell r="G261">
            <v>285.55</v>
          </cell>
        </row>
      </sheetData>
      <sheetData sheetId="8">
        <row r="87">
          <cell r="G87">
            <v>108574.00305196176</v>
          </cell>
        </row>
        <row r="88">
          <cell r="D88">
            <v>-137088.38000000003</v>
          </cell>
        </row>
        <row r="89">
          <cell r="D89">
            <v>-76835.919999999984</v>
          </cell>
        </row>
      </sheetData>
      <sheetData sheetId="9"/>
      <sheetData sheetId="10">
        <row r="56">
          <cell r="D56">
            <v>4518.78</v>
          </cell>
        </row>
      </sheetData>
      <sheetData sheetId="11"/>
      <sheetData sheetId="12"/>
      <sheetData sheetId="13"/>
      <sheetData sheetId="14"/>
      <sheetData sheetId="15">
        <row r="76">
          <cell r="I76">
            <v>-11226.409123499925</v>
          </cell>
        </row>
        <row r="77">
          <cell r="D77">
            <v>1707.2200000000003</v>
          </cell>
          <cell r="G77">
            <v>-64.83</v>
          </cell>
        </row>
        <row r="78">
          <cell r="D78">
            <v>901.61</v>
          </cell>
          <cell r="G78">
            <v>-57.08</v>
          </cell>
        </row>
      </sheetData>
      <sheetData sheetId="16"/>
      <sheetData sheetId="17"/>
      <sheetData sheetId="18">
        <row r="223">
          <cell r="J223">
            <v>2782.7999999999683</v>
          </cell>
        </row>
        <row r="224">
          <cell r="D224">
            <v>-816.13</v>
          </cell>
          <cell r="G224">
            <v>14.84</v>
          </cell>
        </row>
        <row r="225">
          <cell r="D225">
            <v>-436.51</v>
          </cell>
          <cell r="G225">
            <v>11.02</v>
          </cell>
        </row>
      </sheetData>
      <sheetData sheetId="19">
        <row r="221">
          <cell r="I221">
            <v>-21556.77</v>
          </cell>
        </row>
        <row r="222">
          <cell r="G222">
            <v>-134.72999999999999</v>
          </cell>
        </row>
        <row r="223">
          <cell r="G223">
            <v>-135.57</v>
          </cell>
        </row>
      </sheetData>
      <sheetData sheetId="20">
        <row r="223">
          <cell r="J223">
            <v>30741.759999999998</v>
          </cell>
        </row>
        <row r="224">
          <cell r="D224">
            <v>-1750.6800000000003</v>
          </cell>
          <cell r="G224">
            <v>186.67</v>
          </cell>
        </row>
        <row r="225">
          <cell r="D225">
            <v>-546.44000000000005</v>
          </cell>
          <cell r="G225">
            <v>180.65</v>
          </cell>
        </row>
      </sheetData>
      <sheetData sheetId="21">
        <row r="223">
          <cell r="F223">
            <v>4.5699999999999998E-2</v>
          </cell>
          <cell r="I223">
            <v>5025.4758480155888</v>
          </cell>
        </row>
        <row r="224">
          <cell r="D224">
            <v>-576.28</v>
          </cell>
          <cell r="G224">
            <v>18.04</v>
          </cell>
        </row>
        <row r="225">
          <cell r="D225">
            <v>-350.21</v>
          </cell>
          <cell r="G225">
            <v>16.350000000000001</v>
          </cell>
        </row>
      </sheetData>
      <sheetData sheetId="22">
        <row r="222">
          <cell r="J222">
            <v>0</v>
          </cell>
        </row>
        <row r="223">
          <cell r="G223">
            <v>0</v>
          </cell>
        </row>
        <row r="224">
          <cell r="G224">
            <v>0</v>
          </cell>
        </row>
      </sheetData>
      <sheetData sheetId="23">
        <row r="221">
          <cell r="J221">
            <v>136996.75999999998</v>
          </cell>
        </row>
        <row r="222">
          <cell r="G222">
            <v>536.23</v>
          </cell>
        </row>
        <row r="223">
          <cell r="G223">
            <v>538.33000000000004</v>
          </cell>
        </row>
      </sheetData>
      <sheetData sheetId="24"/>
      <sheetData sheetId="25"/>
      <sheetData sheetId="26"/>
      <sheetData sheetId="27"/>
      <sheetData sheetId="28"/>
      <sheetData sheetId="29"/>
      <sheetData sheetId="30">
        <row r="16">
          <cell r="E16">
            <v>80446.39</v>
          </cell>
        </row>
        <row r="28">
          <cell r="E28">
            <v>518825.06999999995</v>
          </cell>
        </row>
        <row r="40">
          <cell r="E40">
            <v>542317.63000000035</v>
          </cell>
        </row>
        <row r="45">
          <cell r="E45">
            <v>2012245.2499999998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&amp; Documentation"/>
      <sheetName val="Inputs"/>
      <sheetName val="Washington volumes"/>
      <sheetName val="Allocation equal ¢ per therm"/>
      <sheetName val="Allocation = % of revenue"/>
      <sheetName val="Rates in detail"/>
      <sheetName val="Allocation = % of margin"/>
      <sheetName val="Permanents"/>
      <sheetName val="Temporaries"/>
      <sheetName val="Rates in summary"/>
      <sheetName val="Avg Bill by RS"/>
      <sheetName val="Margin Model"/>
      <sheetName val="Amortization"/>
      <sheetName val="F Goldenrod"/>
      <sheetName val="F Goldenrod+Rate Case"/>
      <sheetName val="Cover"/>
      <sheetName val="WA Index"/>
      <sheetName val="Statement of Rat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Annual WACOG History"/>
      <sheetName val="Winter WACOG History"/>
      <sheetName val="RS 1 BR History"/>
      <sheetName val="RS 2 BR History"/>
      <sheetName val="RS 3 BR History"/>
      <sheetName val="RS 19 BR History"/>
      <sheetName val="RS 27 BR History"/>
      <sheetName val="RS 41 Firm BR History"/>
      <sheetName val="RS 41 Intp BR History"/>
      <sheetName val="RS 42 FS BR History"/>
      <sheetName val="RS42 IS BR History"/>
      <sheetName val="RS 41T BR History"/>
      <sheetName val="RS 42T BR History"/>
      <sheetName val="RS 43 FT BR History"/>
      <sheetName val="RS 43 IT BR History "/>
      <sheetName val="RS 1 PR History"/>
      <sheetName val="RS 2 PR History"/>
      <sheetName val="RS 3 PR History"/>
      <sheetName val="RS 21 BR History"/>
      <sheetName val="RS 54 BR History"/>
      <sheetName val="wacog purch history 1988-2007"/>
      <sheetName val="Chgs in Rates by RS 1995-2004"/>
      <sheetName val="RS 3T BR History"/>
    </sheetNames>
    <sheetDataSet>
      <sheetData sheetId="0"/>
      <sheetData sheetId="1"/>
      <sheetData sheetId="2">
        <row r="85">
          <cell r="M85">
            <v>90908754.476871997</v>
          </cell>
        </row>
        <row r="86">
          <cell r="M86">
            <v>11239544.658402635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 Upload"/>
      <sheetName val="Journal Page"/>
      <sheetName val="UNBILLED BLOCK MODEL"/>
      <sheetName val="Totals from Amort Schedules"/>
      <sheetName val="Old Journal Page"/>
      <sheetName val="CIS Data"/>
      <sheetName val="OR AMORT"/>
      <sheetName val="186231 Int Res"/>
      <sheetName val="186274 SEC Defer Int Amort"/>
      <sheetName val="186183"/>
      <sheetName val="186232"/>
      <sheetName val="186233"/>
      <sheetName val="186236"/>
      <sheetName val="186237"/>
      <sheetName val="186238"/>
      <sheetName val="186239"/>
      <sheetName val="186244"/>
      <sheetName val="186245"/>
      <sheetName val="186271"/>
      <sheetName val="186277"/>
      <sheetName val="186286"/>
      <sheetName val="186288"/>
      <sheetName val="186420"/>
      <sheetName val="191401"/>
      <sheetName val="191411"/>
      <sheetName val="186311"/>
      <sheetName val="186307"/>
      <sheetName val="191031"/>
      <sheetName val="254315"/>
      <sheetName val="254309"/>
      <sheetName val="191442"/>
      <sheetName val="254305"/>
      <sheetName val="191440"/>
      <sheetName val="191030"/>
      <sheetName val="184301"/>
      <sheetName val="186401"/>
      <sheetName val="254303"/>
      <sheetName val="186279"/>
      <sheetName val="WA AMORT"/>
      <sheetName val="186234"/>
      <sheetName val="186235"/>
      <sheetName val="186310"/>
      <sheetName val="186312"/>
      <sheetName val="186314"/>
      <sheetName val="186315"/>
      <sheetName val="186316"/>
      <sheetName val="191421"/>
      <sheetName val="254317"/>
      <sheetName val="254307"/>
      <sheetName val="186365"/>
      <sheetName val="SB 408 McBit"/>
      <sheetName val="OR WACOG Refd 201206"/>
      <sheetName val="WA WACOG Refd 201206"/>
      <sheetName val="191431"/>
      <sheetName val="254120"/>
      <sheetName val="Storage Credit "/>
      <sheetName val="Change Control Tab"/>
      <sheetName val="Documentation"/>
    </sheetNames>
    <sheetDataSet>
      <sheetData sheetId="0" refreshError="1"/>
      <sheetData sheetId="1">
        <row r="18">
          <cell r="G18">
            <v>312579.31</v>
          </cell>
        </row>
        <row r="95">
          <cell r="F95">
            <v>118864.15999999999</v>
          </cell>
        </row>
        <row r="99">
          <cell r="F99">
            <v>121370.06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 Upload"/>
      <sheetName val="UNBILLED BLOCK MODEL"/>
      <sheetName val="Totals from Amort Schedules"/>
      <sheetName val="Old Journal Page"/>
      <sheetName val="CIS Data"/>
      <sheetName val="Journal Page"/>
      <sheetName val="OR AMORT"/>
      <sheetName val="186231 Int Res"/>
      <sheetName val="186274 SEC Defer Int Amort"/>
      <sheetName val="186183"/>
      <sheetName val="186232"/>
      <sheetName val="186236"/>
      <sheetName val="186233"/>
      <sheetName val="186237"/>
      <sheetName val="186238"/>
      <sheetName val="186239"/>
      <sheetName val="186244"/>
      <sheetName val="186245"/>
      <sheetName val="186266"/>
      <sheetName val="186269"/>
      <sheetName val="186277"/>
      <sheetName val="186286"/>
      <sheetName val="186288"/>
      <sheetName val="186311"/>
      <sheetName val="186320"/>
      <sheetName val="186321"/>
      <sheetName val="186424"/>
      <sheetName val="191401"/>
      <sheetName val="191411"/>
      <sheetName val="254305"/>
      <sheetName val="254313"/>
      <sheetName val="186227"/>
      <sheetName val="186271"/>
      <sheetName val="254315"/>
      <sheetName val="254320"/>
      <sheetName val="254321"/>
      <sheetName val="WA AMORT"/>
      <sheetName val="186184"/>
      <sheetName val="186234"/>
      <sheetName val="186235"/>
      <sheetName val="186314"/>
      <sheetName val="186315"/>
      <sheetName val="186316"/>
      <sheetName val="186317"/>
      <sheetName val="186423"/>
      <sheetName val="191421"/>
      <sheetName val="191431"/>
      <sheetName val="254307"/>
      <sheetName val="186420"/>
      <sheetName val="186421"/>
      <sheetName val="186307"/>
      <sheetName val="191031"/>
      <sheetName val="254309"/>
      <sheetName val="191442"/>
      <sheetName val="191440"/>
      <sheetName val="191030"/>
      <sheetName val="184301"/>
      <sheetName val="186401"/>
      <sheetName val="254303"/>
      <sheetName val="186279"/>
      <sheetName val="254003"/>
      <sheetName val="254305 and 254315 support "/>
      <sheetName val="186365"/>
      <sheetName val="SB 408 McBit"/>
      <sheetName val="OR WACOG Refd 201206"/>
      <sheetName val="WA WACOG Refd 201206"/>
      <sheetName val="254120"/>
      <sheetName val="254317"/>
      <sheetName val="186027"/>
      <sheetName val="186422"/>
      <sheetName val="254121"/>
      <sheetName val="Storage Credit "/>
      <sheetName val="Change Control Tab"/>
      <sheetName val="Documentation"/>
      <sheetName val="FERC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32">
          <cell r="AB132">
            <v>-88002.670000000027</v>
          </cell>
        </row>
        <row r="135">
          <cell r="AB135">
            <v>379874.56999999995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load"/>
      <sheetName val="Instructions"/>
      <sheetName val="Change Control Tab"/>
      <sheetName val="Totals from Amort Schedules"/>
      <sheetName val="CIS Data"/>
      <sheetName val="UNBILLED BLOCK MODEL"/>
      <sheetName val="Old Journal Page"/>
      <sheetName val="Journal Page"/>
      <sheetName val="OR AMORT"/>
      <sheetName val="151816 Int Res"/>
      <sheetName val="151862 SEC Defer Int Amort"/>
      <sheetName val="151734"/>
      <sheetName val="151736"/>
      <sheetName val="151380"/>
      <sheetName val="151803"/>
      <sheetName val="151805"/>
      <sheetName val="151818"/>
      <sheetName val="151912"/>
      <sheetName val="151820"/>
      <sheetName val="151826"/>
      <sheetName val="151828"/>
      <sheetName val="151830"/>
      <sheetName val="151832"/>
      <sheetName val="151834"/>
      <sheetName val="151836"/>
      <sheetName val="151848"/>
      <sheetName val="151852"/>
      <sheetName val="151868"/>
      <sheetName val="151876"/>
      <sheetName val="151880"/>
      <sheetName val="151882"/>
      <sheetName val="151888"/>
      <sheetName val="151900"/>
      <sheetName val="151902"/>
      <sheetName val="151917"/>
      <sheetName val="151919"/>
      <sheetName val="151934"/>
      <sheetName val="151510"/>
      <sheetName val="151525"/>
      <sheetName val="232045"/>
      <sheetName val="232065"/>
      <sheetName val="186227"/>
      <sheetName val="186271"/>
      <sheetName val="232070"/>
      <sheetName val="232085"/>
      <sheetName val="232090"/>
      <sheetName val="151819"/>
      <sheetName val="WA AMORT"/>
      <sheetName val="151385"/>
      <sheetName val="151914"/>
      <sheetName val="151822"/>
      <sheetName val="151824"/>
      <sheetName val="151827"/>
      <sheetName val="151887"/>
      <sheetName val="151890"/>
      <sheetName val="151892"/>
      <sheetName val="151894"/>
      <sheetName val="151896"/>
      <sheetName val="151918"/>
      <sheetName val="151545"/>
      <sheetName val="151555"/>
      <sheetName val="232050"/>
      <sheetName val="186420"/>
      <sheetName val="186421"/>
      <sheetName val="186307"/>
      <sheetName val="191031"/>
      <sheetName val="254309"/>
      <sheetName val="191442"/>
      <sheetName val="191440"/>
      <sheetName val="191030"/>
      <sheetName val="184301"/>
      <sheetName val="186401"/>
      <sheetName val="254303"/>
      <sheetName val="186279"/>
      <sheetName val="254003"/>
      <sheetName val="254305 and 254315 support "/>
      <sheetName val="186365"/>
      <sheetName val="SB 408 McBit"/>
      <sheetName val="OR WACOG Refd 201206"/>
      <sheetName val="WA WACOG Refd 201206"/>
      <sheetName val="254120"/>
      <sheetName val="232075"/>
      <sheetName val="186027"/>
      <sheetName val="151916"/>
      <sheetName val="151817"/>
      <sheetName val="Storage Credit "/>
      <sheetName val="Documentation"/>
      <sheetName val="FERC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D6">
            <v>3312013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30">
          <cell r="AB130">
            <v>-25112.339999999989</v>
          </cell>
        </row>
        <row r="135">
          <cell r="AB135">
            <v>18863.93</v>
          </cell>
        </row>
      </sheetData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ison to current OR"/>
      <sheetName val="Winter WACOG OR"/>
      <sheetName val="Derivation of Demand rates OR"/>
      <sheetName val="Demand Charges"/>
      <sheetName val="Total Commodity Summary"/>
      <sheetName val="RNG RTC Costs - HC"/>
      <sheetName val="Commodity Cost from Vol Pipe"/>
      <sheetName val="Hedged Spot Dispatch &amp; Cost"/>
      <sheetName val="Commodity Cost from Supply"/>
      <sheetName val="Commodity Supply Dispatch"/>
      <sheetName val="download for JV28A"/>
      <sheetName val="Commodity Cost from Supply VERT"/>
      <sheetName val="Commodity Cost from Gas Reserve"/>
      <sheetName val="Gas Reserves Dispatch"/>
      <sheetName val="Commodity Cost from RNG+BG"/>
      <sheetName val="RNG Dispatch+BG"/>
      <sheetName val="Commodity Cost from Storage"/>
      <sheetName val="Storage Dispatch"/>
      <sheetName val="Index Prices"/>
      <sheetName val="Line loss"/>
      <sheetName val="Fuel factors"/>
      <sheetName val="General Inputs"/>
      <sheetName val="Gas Reserve Data"/>
      <sheetName val="Supply Contracts"/>
      <sheetName val="Spot contracts"/>
      <sheetName val="NWN 2025-2026 PGA Gas Cost Deve"/>
    </sheetNames>
    <sheetDataSet>
      <sheetData sheetId="0"/>
      <sheetData sheetId="1"/>
      <sheetData sheetId="2"/>
      <sheetData sheetId="3">
        <row r="14">
          <cell r="D14">
            <v>4018544.125</v>
          </cell>
          <cell r="E14">
            <v>4152495.9625000004</v>
          </cell>
          <cell r="F14">
            <v>4152495.9625000004</v>
          </cell>
          <cell r="G14">
            <v>3750641.45</v>
          </cell>
          <cell r="H14">
            <v>4152495.9625000004</v>
          </cell>
          <cell r="I14">
            <v>3927859</v>
          </cell>
          <cell r="J14">
            <v>4058788</v>
          </cell>
          <cell r="K14">
            <v>3927859</v>
          </cell>
          <cell r="L14">
            <v>4058788</v>
          </cell>
          <cell r="M14">
            <v>4058788</v>
          </cell>
          <cell r="N14">
            <v>3927859</v>
          </cell>
          <cell r="O14">
            <v>4058788</v>
          </cell>
        </row>
        <row r="16">
          <cell r="D16">
            <v>867774.20269877836</v>
          </cell>
          <cell r="E16">
            <v>867774.20269877836</v>
          </cell>
          <cell r="F16">
            <v>867774.20269877836</v>
          </cell>
          <cell r="G16">
            <v>867774.20269877836</v>
          </cell>
          <cell r="H16">
            <v>867774.20269877836</v>
          </cell>
          <cell r="I16">
            <v>867774.20269877836</v>
          </cell>
          <cell r="J16">
            <v>867774.20269877836</v>
          </cell>
          <cell r="K16">
            <v>867774.20269877836</v>
          </cell>
          <cell r="L16">
            <v>867774.20269877836</v>
          </cell>
          <cell r="M16">
            <v>867774.20269877836</v>
          </cell>
          <cell r="N16">
            <v>867774.20269877836</v>
          </cell>
          <cell r="O16">
            <v>867774.20269877836</v>
          </cell>
        </row>
        <row r="18">
          <cell r="D18">
            <v>504041.96560132736</v>
          </cell>
          <cell r="E18">
            <v>504041.96560132736</v>
          </cell>
          <cell r="F18">
            <v>504041.96560132736</v>
          </cell>
          <cell r="G18">
            <v>504041.96560132736</v>
          </cell>
          <cell r="H18">
            <v>504041.96560132736</v>
          </cell>
          <cell r="I18">
            <v>449898.96560132736</v>
          </cell>
          <cell r="J18">
            <v>449898.96560132736</v>
          </cell>
          <cell r="K18">
            <v>449898.96560132736</v>
          </cell>
          <cell r="L18">
            <v>449898.96560132736</v>
          </cell>
          <cell r="M18">
            <v>449898.96560132736</v>
          </cell>
          <cell r="N18">
            <v>449898.96560132736</v>
          </cell>
          <cell r="O18">
            <v>504041.96560132736</v>
          </cell>
        </row>
        <row r="20">
          <cell r="D20">
            <v>404282.20382340002</v>
          </cell>
          <cell r="E20">
            <v>417758.27728418005</v>
          </cell>
          <cell r="F20">
            <v>417758.27728418005</v>
          </cell>
          <cell r="G20">
            <v>377330.05690184003</v>
          </cell>
          <cell r="H20">
            <v>417758.27728418005</v>
          </cell>
          <cell r="I20">
            <v>340227.69407040003</v>
          </cell>
          <cell r="J20">
            <v>351568.61720608</v>
          </cell>
          <cell r="K20">
            <v>340227.69407040003</v>
          </cell>
          <cell r="L20">
            <v>351568.61720608</v>
          </cell>
          <cell r="M20">
            <v>351568.61720608</v>
          </cell>
          <cell r="N20">
            <v>340227.69407040003</v>
          </cell>
          <cell r="O20">
            <v>417758.27728418005</v>
          </cell>
        </row>
        <row r="24">
          <cell r="D24">
            <v>3191632</v>
          </cell>
          <cell r="E24">
            <v>702082</v>
          </cell>
          <cell r="F24">
            <v>702082</v>
          </cell>
          <cell r="G24">
            <v>670732</v>
          </cell>
          <cell r="H24">
            <v>702082</v>
          </cell>
          <cell r="I24">
            <v>1295877</v>
          </cell>
          <cell r="J24">
            <v>1314117</v>
          </cell>
          <cell r="K24">
            <v>1295877</v>
          </cell>
          <cell r="L24">
            <v>1314117</v>
          </cell>
          <cell r="M24">
            <v>1314117</v>
          </cell>
          <cell r="N24">
            <v>1295877</v>
          </cell>
          <cell r="O24">
            <v>1314117</v>
          </cell>
        </row>
        <row r="26">
          <cell r="D26">
            <v>18688.190000000002</v>
          </cell>
          <cell r="E26">
            <v>18688.190000000002</v>
          </cell>
          <cell r="F26">
            <v>18688.190000000002</v>
          </cell>
          <cell r="G26">
            <v>18688.190000000002</v>
          </cell>
          <cell r="H26">
            <v>18688.190000000002</v>
          </cell>
          <cell r="I26">
            <v>18688.190000000002</v>
          </cell>
          <cell r="J26">
            <v>18688.190000000002</v>
          </cell>
          <cell r="K26">
            <v>18688.190000000002</v>
          </cell>
          <cell r="L26">
            <v>18688.190000000002</v>
          </cell>
          <cell r="M26">
            <v>18688.190000000002</v>
          </cell>
          <cell r="N26">
            <v>18688.190000000002</v>
          </cell>
          <cell r="O26">
            <v>18688.190000000002</v>
          </cell>
        </row>
        <row r="28">
          <cell r="D28">
            <v>-424043.16830010578</v>
          </cell>
          <cell r="E28">
            <v>-424043.16830010578</v>
          </cell>
          <cell r="F28">
            <v>-424043.16830010578</v>
          </cell>
          <cell r="G28">
            <v>-424043.16830010578</v>
          </cell>
          <cell r="H28">
            <v>-424043.16830010578</v>
          </cell>
          <cell r="I28">
            <v>-424043.16830010578</v>
          </cell>
          <cell r="J28">
            <v>-424043.16830010578</v>
          </cell>
          <cell r="K28">
            <v>-424043.16830010578</v>
          </cell>
          <cell r="L28">
            <v>-424043.16830010578</v>
          </cell>
          <cell r="M28">
            <v>-424043.16830010578</v>
          </cell>
          <cell r="N28">
            <v>-424043.16830010578</v>
          </cell>
          <cell r="O28">
            <v>-424043.16830010578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Resources Summary"/>
      <sheetName val="External Resources"/>
      <sheetName val="Internal Resources"/>
      <sheetName val="Change Log"/>
      <sheetName val="Apr 2022"/>
      <sheetName val="Mar 2022"/>
      <sheetName val="Feb 2022"/>
      <sheetName val="Jan 2022"/>
      <sheetName val="Jan Actuals"/>
      <sheetName val="Licenses"/>
      <sheetName val="Vendors"/>
      <sheetName val="ACN Change Orders"/>
      <sheetName val="Change "/>
      <sheetName val="Field OT"/>
      <sheetName val="Hardware MISC"/>
      <sheetName val="IQGEO"/>
      <sheetName val="ACN - SLA"/>
      <sheetName val="SLA Calc"/>
      <sheetName val="SAP Download 01252022"/>
      <sheetName val="temp 1014"/>
      <sheetName val="InternalX"/>
      <sheetName val="Data Re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>
        <row r="3">
          <cell r="B3">
            <v>150</v>
          </cell>
        </row>
        <row r="4">
          <cell r="B4">
            <v>150</v>
          </cell>
        </row>
        <row r="5">
          <cell r="B5"/>
        </row>
        <row r="6">
          <cell r="B6">
            <v>145</v>
          </cell>
        </row>
        <row r="7">
          <cell r="B7">
            <v>145</v>
          </cell>
        </row>
        <row r="8">
          <cell r="B8">
            <v>135</v>
          </cell>
        </row>
        <row r="9">
          <cell r="B9">
            <v>125</v>
          </cell>
        </row>
        <row r="10">
          <cell r="B10">
            <v>120</v>
          </cell>
        </row>
        <row r="11">
          <cell r="B11">
            <v>140</v>
          </cell>
        </row>
        <row r="12">
          <cell r="B12">
            <v>140</v>
          </cell>
        </row>
        <row r="13">
          <cell r="B13">
            <v>140</v>
          </cell>
        </row>
        <row r="14">
          <cell r="B14">
            <v>140</v>
          </cell>
        </row>
        <row r="15">
          <cell r="B15">
            <v>140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5-02 ECRM"/>
      <sheetName val="25-04 R&amp;C Eng. Effic."/>
      <sheetName val="25-05 GREAT &amp; WA-LIEE"/>
      <sheetName val="20-8 Interim Tax Deferral"/>
      <sheetName val="25-06 Regulatory Fee"/>
      <sheetName val="25-06 Rate Mitigation"/>
      <sheetName val="25-06 Property Sales"/>
      <sheetName val="25-06 Industrial EE Audit"/>
      <sheetName val="25-06 Residual"/>
      <sheetName val="25-07 Mist Recall"/>
      <sheetName val="25-08 PGA"/>
      <sheetName val="25-08 Combined"/>
      <sheetName val="Revenue Senstive"/>
      <sheetName val="CCA Recovery"/>
      <sheetName val="Res. Bill Discount"/>
    </sheetNames>
    <sheetDataSet>
      <sheetData sheetId="0">
        <row r="3">
          <cell r="A3" t="str">
            <v xml:space="preserve">2025-26 Washington: September Filing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F10">
            <v>-2424539</v>
          </cell>
          <cell r="H10" t="str">
            <v>NWN 2025-26 PGA gas cost development file September filing_WA.xls</v>
          </cell>
        </row>
        <row r="12">
          <cell r="F12">
            <v>-243514</v>
          </cell>
        </row>
        <row r="18">
          <cell r="H18" t="str">
            <v>NWN 2025-26 PGA WA Rate Development September Filing.xlsx</v>
          </cell>
        </row>
        <row r="20">
          <cell r="H20" t="str">
            <v>NWN 2024-25 PGA WA Rate Development_September Filing.xlsx</v>
          </cell>
        </row>
        <row r="36">
          <cell r="B36" t="str">
            <v>2024 Washington CBR Normalized Total Revenues</v>
          </cell>
          <cell r="F36">
            <v>109949934.64991099</v>
          </cell>
        </row>
      </sheetData>
      <sheetData sheetId="12">
        <row r="10">
          <cell r="D10">
            <v>-15655266</v>
          </cell>
        </row>
      </sheetData>
      <sheetData sheetId="13"/>
      <sheetData sheetId="1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4-XX ECRM"/>
      <sheetName val="24-07 R&amp;C Eng. Effic."/>
      <sheetName val="24-08 GREAT &amp; WA-LIEE"/>
      <sheetName val="20-8 Interim Tax Deferral"/>
      <sheetName val="24-09 Regulatory Fee"/>
      <sheetName val="24-10 Rate Mitigation"/>
      <sheetName val="24-11 Property Sales"/>
      <sheetName val="24-12 Industrial EE Audit"/>
      <sheetName val="24-13 Mist Recall"/>
      <sheetName val="CCA Recovery"/>
      <sheetName val="23-05 Res. Bill Discount"/>
      <sheetName val="24-14 PGA"/>
      <sheetName val="Revenue Senstive"/>
      <sheetName val="24-14 Combin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F18">
            <v>-11563573</v>
          </cell>
        </row>
      </sheetData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rly Report Summary"/>
      <sheetName val="July Int Rate for Amort"/>
      <sheetName val="OR 0809 Matrix-estimate amort"/>
      <sheetName val="186291"/>
      <sheetName val="Amortization Rates"/>
      <sheetName val="186236 PUC Fee Refund"/>
      <sheetName val="OR Amort Rates1011"/>
      <sheetName val="186011 Earnings Sharing"/>
      <sheetName val="186237 PUC Fee Amort"/>
      <sheetName val="186370 Pension Expense Credit"/>
      <sheetName val="186232 Industrial DSM"/>
      <sheetName val="186292 Amort IMP Refund"/>
      <sheetName val="186229"/>
      <sheetName val="186259 Amort Tax Kicker"/>
      <sheetName val="186360 Amort Albany Refund"/>
      <sheetName val="186304 Defer Smart Energy"/>
      <sheetName val="186233 Industrial DSM AMORT"/>
      <sheetName val="186306 Amort Smart Energy"/>
      <sheetName val="186308 Defer AMR"/>
      <sheetName val="186307 AMR Amortization"/>
      <sheetName val="186275 Defer Res Decoup"/>
      <sheetName val="186277 Amort Res Decoup"/>
      <sheetName val="186270 Defer Comm Decoup"/>
      <sheetName val="186271 Amort Comm Decoup"/>
      <sheetName val="186284 Defer Issue Fund"/>
      <sheetName val="186276 Defer CUB fund"/>
      <sheetName val="186286 Amort CUB Fund"/>
      <sheetName val="186278 Defer NWIGU Fund"/>
      <sheetName val="186288 Amort NWIGU Fund"/>
      <sheetName val="186231 Amort DSM"/>
      <sheetName val="186267 Amort Coos Bay"/>
      <sheetName val="191401 Amort WACOG"/>
      <sheetName val="191411 Amort Demand"/>
      <sheetName val="191031 Amort Storage Adj"/>
      <sheetName val="191400 Defer WACOG"/>
      <sheetName val="191400 Defer WACOG books"/>
      <sheetName val="191410 Defer Demand"/>
      <sheetName val="191410 Defer Demand BOOKS"/>
      <sheetName val="191450 Defer Seasonal Demand"/>
      <sheetName val="191455"/>
      <sheetName val="191621"/>
      <sheetName val="191417 Defer Coos Demand"/>
      <sheetName val="for PGA"/>
    </sheetNames>
    <sheetDataSet>
      <sheetData sheetId="0">
        <row r="34">
          <cell r="I34">
            <v>263163.86</v>
          </cell>
        </row>
      </sheetData>
      <sheetData sheetId="1">
        <row r="17">
          <cell r="B17">
            <v>7.0800000000000002E-2</v>
          </cell>
        </row>
      </sheetData>
      <sheetData sheetId="2"/>
      <sheetData sheetId="3"/>
      <sheetData sheetId="4"/>
      <sheetData sheetId="5"/>
      <sheetData sheetId="6">
        <row r="24">
          <cell r="I24">
            <v>-206989.73999999996</v>
          </cell>
        </row>
      </sheetData>
      <sheetData sheetId="7">
        <row r="24">
          <cell r="I24">
            <v>-119490.93999999994</v>
          </cell>
        </row>
      </sheetData>
      <sheetData sheetId="8">
        <row r="24">
          <cell r="I24">
            <v>-119490.93999999994</v>
          </cell>
        </row>
      </sheetData>
      <sheetData sheetId="9">
        <row r="43">
          <cell r="O43">
            <v>564260.23999999976</v>
          </cell>
        </row>
      </sheetData>
      <sheetData sheetId="10">
        <row r="43">
          <cell r="O43">
            <v>564260.23999999976</v>
          </cell>
        </row>
      </sheetData>
      <sheetData sheetId="11"/>
      <sheetData sheetId="12"/>
      <sheetData sheetId="13"/>
      <sheetData sheetId="14"/>
      <sheetData sheetId="15">
        <row r="38">
          <cell r="J38">
            <v>201045.12000000005</v>
          </cell>
        </row>
      </sheetData>
      <sheetData sheetId="16">
        <row r="38">
          <cell r="J38">
            <v>201045.12000000005</v>
          </cell>
        </row>
      </sheetData>
      <sheetData sheetId="17">
        <row r="44">
          <cell r="E44">
            <v>-24540.430000000055</v>
          </cell>
        </row>
      </sheetData>
      <sheetData sheetId="18">
        <row r="38">
          <cell r="J38">
            <v>366524.7385253692</v>
          </cell>
        </row>
      </sheetData>
      <sheetData sheetId="19">
        <row r="38">
          <cell r="J38">
            <v>366524.7385253692</v>
          </cell>
        </row>
      </sheetData>
      <sheetData sheetId="20">
        <row r="73">
          <cell r="H73">
            <v>16992978.279999997</v>
          </cell>
        </row>
      </sheetData>
      <sheetData sheetId="21">
        <row r="73">
          <cell r="H73">
            <v>2129397.85</v>
          </cell>
        </row>
      </sheetData>
      <sheetData sheetId="22">
        <row r="73">
          <cell r="H73">
            <v>2129397.85</v>
          </cell>
        </row>
      </sheetData>
      <sheetData sheetId="23">
        <row r="73">
          <cell r="J73">
            <v>0</v>
          </cell>
        </row>
      </sheetData>
      <sheetData sheetId="24">
        <row r="62">
          <cell r="F62" t="str">
            <v>N/A</v>
          </cell>
        </row>
      </sheetData>
      <sheetData sheetId="25">
        <row r="62">
          <cell r="F62" t="str">
            <v>N/A</v>
          </cell>
        </row>
      </sheetData>
      <sheetData sheetId="26">
        <row r="73">
          <cell r="H73">
            <v>3112.06</v>
          </cell>
        </row>
      </sheetData>
      <sheetData sheetId="27">
        <row r="73">
          <cell r="H73">
            <v>3112.06</v>
          </cell>
        </row>
      </sheetData>
      <sheetData sheetId="28">
        <row r="76">
          <cell r="I76">
            <v>502.90000000000236</v>
          </cell>
        </row>
      </sheetData>
      <sheetData sheetId="29"/>
      <sheetData sheetId="30">
        <row r="76">
          <cell r="I76">
            <v>-4737440.5700000031</v>
          </cell>
        </row>
      </sheetData>
      <sheetData sheetId="31">
        <row r="76">
          <cell r="I76">
            <v>-4737440.5700000031</v>
          </cell>
        </row>
      </sheetData>
      <sheetData sheetId="32">
        <row r="76">
          <cell r="I76">
            <v>2242512.000958398</v>
          </cell>
        </row>
      </sheetData>
      <sheetData sheetId="33">
        <row r="42">
          <cell r="J42">
            <v>-12409909.449999997</v>
          </cell>
        </row>
      </sheetData>
      <sheetData sheetId="34">
        <row r="42">
          <cell r="J42">
            <v>-12409909.449999997</v>
          </cell>
        </row>
      </sheetData>
      <sheetData sheetId="35">
        <row r="42">
          <cell r="H42">
            <v>1785706.1000000006</v>
          </cell>
        </row>
      </sheetData>
      <sheetData sheetId="36">
        <row r="42">
          <cell r="H42">
            <v>1785706.1000000006</v>
          </cell>
        </row>
      </sheetData>
      <sheetData sheetId="37">
        <row r="42">
          <cell r="H42">
            <v>7780297</v>
          </cell>
        </row>
      </sheetData>
      <sheetData sheetId="38">
        <row r="42">
          <cell r="H42">
            <v>7780297</v>
          </cell>
        </row>
      </sheetData>
      <sheetData sheetId="39">
        <row r="33">
          <cell r="F33">
            <v>-1545358.5</v>
          </cell>
        </row>
      </sheetData>
      <sheetData sheetId="40">
        <row r="33">
          <cell r="F33">
            <v>-1545358.5</v>
          </cell>
        </row>
      </sheetData>
      <sheetData sheetId="41">
        <row r="42">
          <cell r="F42">
            <v>-321282.40000000002</v>
          </cell>
        </row>
      </sheetData>
      <sheetData sheetId="42">
        <row r="11">
          <cell r="I11">
            <v>2.01E-2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 Summary"/>
      <sheetName val="Base Services"/>
      <sheetName val="Transition"/>
      <sheetName val="Change Control"/>
      <sheetName val="ARC RRC"/>
      <sheetName val="Optional Services"/>
      <sheetName val="Service Credits"/>
      <sheetName val="Passthrough"/>
      <sheetName val="Tax Summary"/>
      <sheetName val="Miscellaneou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>
        <row r="7">
          <cell r="C7" t="b">
            <v>1</v>
          </cell>
        </row>
        <row r="8">
          <cell r="C8" t="b">
            <v>1</v>
          </cell>
        </row>
        <row r="9">
          <cell r="C9" t="b">
            <v>1</v>
          </cell>
        </row>
        <row r="10">
          <cell r="C10" t="b">
            <v>1</v>
          </cell>
        </row>
        <row r="11">
          <cell r="C11" t="b">
            <v>1</v>
          </cell>
        </row>
        <row r="12">
          <cell r="C12" t="b">
            <v>1</v>
          </cell>
        </row>
        <row r="13">
          <cell r="C13" t="b">
            <v>1</v>
          </cell>
        </row>
        <row r="14">
          <cell r="C14" t="b">
            <v>1</v>
          </cell>
        </row>
        <row r="15">
          <cell r="C15" t="b">
            <v>1</v>
          </cell>
        </row>
        <row r="16">
          <cell r="C16" t="b">
            <v>1</v>
          </cell>
        </row>
        <row r="17">
          <cell r="C17" t="b">
            <v>1</v>
          </cell>
        </row>
        <row r="18">
          <cell r="C18" t="b">
            <v>1</v>
          </cell>
        </row>
        <row r="19">
          <cell r="C19" t="b">
            <v>1</v>
          </cell>
        </row>
        <row r="20">
          <cell r="C20" t="b">
            <v>1</v>
          </cell>
        </row>
        <row r="21">
          <cell r="C21" t="b">
            <v>1</v>
          </cell>
        </row>
        <row r="22">
          <cell r="C22" t="b">
            <v>1</v>
          </cell>
        </row>
        <row r="23">
          <cell r="C23" t="b">
            <v>1</v>
          </cell>
        </row>
        <row r="24">
          <cell r="C24" t="b">
            <v>1</v>
          </cell>
        </row>
        <row r="25">
          <cell r="C25" t="b">
            <v>1</v>
          </cell>
        </row>
        <row r="26">
          <cell r="C26" t="b">
            <v>1</v>
          </cell>
        </row>
        <row r="27">
          <cell r="C27" t="b">
            <v>1</v>
          </cell>
        </row>
        <row r="28">
          <cell r="C28" t="b">
            <v>1</v>
          </cell>
        </row>
        <row r="29">
          <cell r="C29" t="b">
            <v>1</v>
          </cell>
        </row>
        <row r="30">
          <cell r="C30" t="b">
            <v>1</v>
          </cell>
        </row>
        <row r="31">
          <cell r="C31" t="b">
            <v>1</v>
          </cell>
        </row>
        <row r="32">
          <cell r="C32" t="b">
            <v>1</v>
          </cell>
        </row>
        <row r="33">
          <cell r="C33" t="b">
            <v>1</v>
          </cell>
        </row>
        <row r="34">
          <cell r="C34" t="b">
            <v>1</v>
          </cell>
        </row>
        <row r="35">
          <cell r="C35" t="b">
            <v>1</v>
          </cell>
        </row>
        <row r="36">
          <cell r="C36" t="b">
            <v>1</v>
          </cell>
        </row>
        <row r="37">
          <cell r="C37" t="b">
            <v>1</v>
          </cell>
        </row>
        <row r="38">
          <cell r="C38" t="b">
            <v>1</v>
          </cell>
        </row>
        <row r="39">
          <cell r="C39" t="b">
            <v>1</v>
          </cell>
        </row>
        <row r="40">
          <cell r="C40" t="b">
            <v>1</v>
          </cell>
        </row>
        <row r="41">
          <cell r="C41" t="b">
            <v>1</v>
          </cell>
        </row>
        <row r="42">
          <cell r="C42" t="b">
            <v>1</v>
          </cell>
        </row>
        <row r="43">
          <cell r="C43" t="b">
            <v>1</v>
          </cell>
        </row>
        <row r="44">
          <cell r="C44" t="b">
            <v>1</v>
          </cell>
        </row>
        <row r="45">
          <cell r="C45" t="b">
            <v>1</v>
          </cell>
        </row>
        <row r="46">
          <cell r="C46" t="b">
            <v>1</v>
          </cell>
        </row>
        <row r="47">
          <cell r="C47" t="b">
            <v>1</v>
          </cell>
        </row>
        <row r="48">
          <cell r="C48" t="b">
            <v>1</v>
          </cell>
        </row>
        <row r="49">
          <cell r="C49" t="b">
            <v>1</v>
          </cell>
        </row>
        <row r="50">
          <cell r="C50" t="b">
            <v>1</v>
          </cell>
        </row>
        <row r="51">
          <cell r="C51" t="b">
            <v>1</v>
          </cell>
        </row>
        <row r="52">
          <cell r="C52" t="b">
            <v>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ructions"/>
      <sheetName val="Input Sheet"/>
      <sheetName val="Invoice Summary"/>
      <sheetName val="Base Charges"/>
      <sheetName val="RICEFW Tracker"/>
      <sheetName val="HW &amp; SW Charges "/>
      <sheetName val="Pass-Through Charges"/>
      <sheetName val="Change Controls"/>
      <sheetName val="Service Level Credits"/>
    </sheetNames>
    <sheetDataSet>
      <sheetData sheetId="0"/>
      <sheetData sheetId="1"/>
      <sheetData sheetId="2">
        <row r="4">
          <cell r="B4" t="str">
            <v>NW Natural</v>
          </cell>
        </row>
        <row r="33">
          <cell r="B33" t="str">
            <v>System Integration Services</v>
          </cell>
        </row>
        <row r="34">
          <cell r="B34" t="str">
            <v>Projects</v>
          </cell>
        </row>
        <row r="63">
          <cell r="B63" t="str">
            <v>Site 1</v>
          </cell>
          <cell r="C63" t="str">
            <v>001</v>
          </cell>
        </row>
        <row r="64">
          <cell r="B64" t="str">
            <v>Site 2</v>
          </cell>
          <cell r="C64" t="str">
            <v>002</v>
          </cell>
        </row>
        <row r="65">
          <cell r="B65" t="str">
            <v>Site 3</v>
          </cell>
          <cell r="C65" t="str">
            <v>003</v>
          </cell>
        </row>
        <row r="66">
          <cell r="B66" t="str">
            <v>Site 4</v>
          </cell>
          <cell r="C66" t="str">
            <v>004</v>
          </cell>
        </row>
        <row r="67">
          <cell r="B67" t="str">
            <v>Site 5</v>
          </cell>
          <cell r="C67" t="str">
            <v>005</v>
          </cell>
        </row>
        <row r="68">
          <cell r="B68" t="str">
            <v>Site 6</v>
          </cell>
          <cell r="C68" t="str">
            <v>006</v>
          </cell>
        </row>
        <row r="69">
          <cell r="B69" t="str">
            <v>Site 7</v>
          </cell>
          <cell r="C69" t="str">
            <v>007</v>
          </cell>
        </row>
        <row r="70">
          <cell r="B70" t="str">
            <v>Site 8</v>
          </cell>
          <cell r="C70" t="str">
            <v>008</v>
          </cell>
        </row>
        <row r="71">
          <cell r="B71" t="str">
            <v>Site 9</v>
          </cell>
          <cell r="C71" t="str">
            <v>009</v>
          </cell>
        </row>
        <row r="72">
          <cell r="B72" t="str">
            <v>Site 10</v>
          </cell>
          <cell r="C72" t="str">
            <v>010</v>
          </cell>
        </row>
        <row r="76">
          <cell r="B76" t="str">
            <v>City 1</v>
          </cell>
        </row>
        <row r="77">
          <cell r="B77" t="str">
            <v>City 2</v>
          </cell>
        </row>
        <row r="78">
          <cell r="B78" t="str">
            <v>City 3</v>
          </cell>
        </row>
        <row r="79">
          <cell r="B79" t="str">
            <v>City 4</v>
          </cell>
        </row>
        <row r="80">
          <cell r="B80" t="str">
            <v>City 5</v>
          </cell>
        </row>
        <row r="81">
          <cell r="B81" t="str">
            <v>City 6</v>
          </cell>
        </row>
        <row r="82">
          <cell r="B82" t="str">
            <v>City 7</v>
          </cell>
        </row>
        <row r="83">
          <cell r="B83" t="str">
            <v>City 8</v>
          </cell>
        </row>
        <row r="84">
          <cell r="B84" t="str">
            <v>City 9</v>
          </cell>
        </row>
        <row r="85">
          <cell r="B85" t="str">
            <v>City 10</v>
          </cell>
        </row>
        <row r="89">
          <cell r="B89" t="str">
            <v>State 1</v>
          </cell>
        </row>
        <row r="90">
          <cell r="B90" t="str">
            <v>State 2</v>
          </cell>
        </row>
        <row r="91">
          <cell r="B91" t="str">
            <v>State 3</v>
          </cell>
        </row>
        <row r="92">
          <cell r="B92" t="str">
            <v>State 4</v>
          </cell>
        </row>
        <row r="93">
          <cell r="B93" t="str">
            <v>State 5</v>
          </cell>
        </row>
        <row r="94">
          <cell r="B94" t="str">
            <v>State 6</v>
          </cell>
        </row>
        <row r="95">
          <cell r="B95" t="str">
            <v>State 7</v>
          </cell>
        </row>
        <row r="96">
          <cell r="B96" t="str">
            <v>State 8</v>
          </cell>
        </row>
        <row r="97">
          <cell r="B97" t="str">
            <v>State 9</v>
          </cell>
        </row>
        <row r="98">
          <cell r="B98" t="str">
            <v>State 10</v>
          </cell>
        </row>
        <row r="111">
          <cell r="B111" t="str">
            <v>Country 1</v>
          </cell>
        </row>
        <row r="112">
          <cell r="B112" t="str">
            <v>Country 2</v>
          </cell>
        </row>
        <row r="113">
          <cell r="B113" t="str">
            <v>Country 3</v>
          </cell>
        </row>
        <row r="114">
          <cell r="B114" t="str">
            <v>Country 4</v>
          </cell>
        </row>
        <row r="115">
          <cell r="B115" t="str">
            <v>Country 5</v>
          </cell>
        </row>
        <row r="116">
          <cell r="B116" t="str">
            <v>Country 6</v>
          </cell>
        </row>
        <row r="117">
          <cell r="B117" t="str">
            <v>Country 7</v>
          </cell>
        </row>
        <row r="118">
          <cell r="B118" t="str">
            <v>Country 8</v>
          </cell>
        </row>
        <row r="119">
          <cell r="B119" t="str">
            <v>Country 9</v>
          </cell>
        </row>
        <row r="120">
          <cell r="B120" t="str">
            <v>Country 10</v>
          </cell>
        </row>
      </sheetData>
      <sheetData sheetId="3">
        <row r="37">
          <cell r="B37" t="str">
            <v>Invoice Period: 11/01/2021 to 12/31/2021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ISG Consultant Instructions"/>
      <sheetName val="Inputs Master"/>
      <sheetName val="Provider Instructions"/>
      <sheetName val="Provider Assumptions"/>
      <sheetName val="Summary_Service Category"/>
      <sheetName val="Summary_Tower"/>
      <sheetName val="Detailed Base Charges"/>
      <sheetName val="Resource Baselines"/>
      <sheetName val="Unit Rates (ARC &amp; RRC) Tier 1"/>
      <sheetName val="Analytics_Implied Unit Rates"/>
      <sheetName val="Analytics_Unit Rate Analysis"/>
      <sheetName val="Reim - Managed Third Party"/>
      <sheetName val="Reim - Pass-Throughs"/>
      <sheetName val="One-Time Transition"/>
      <sheetName val="One-Time Transformation"/>
      <sheetName val="Asset Purchase &amp; Value Add"/>
      <sheetName val="Inflation Sensitivity"/>
      <sheetName val="Termination Charges"/>
      <sheetName val="Rate Card"/>
    </sheetNames>
    <sheetDataSet>
      <sheetData sheetId="0" refreshError="1"/>
      <sheetData sheetId="1" refreshError="1"/>
      <sheetData sheetId="2">
        <row r="4">
          <cell r="E4" t="str">
            <v>Service Integration Services</v>
          </cell>
        </row>
        <row r="5">
          <cell r="E5" t="str">
            <v>Application Maintenance &amp; Support Services (AMS)</v>
          </cell>
        </row>
        <row r="6">
          <cell r="E6" t="str">
            <v>Application Development Services (ADS)</v>
          </cell>
        </row>
        <row r="7">
          <cell r="E7" t="str">
            <v>Major Development Projects (MDP)</v>
          </cell>
        </row>
        <row r="8">
          <cell r="E8" t="str">
            <v>Application Servers - UNIX</v>
          </cell>
        </row>
        <row r="9">
          <cell r="C9">
            <v>10</v>
          </cell>
          <cell r="E9" t="str">
            <v>Application Servers - Wintel</v>
          </cell>
        </row>
        <row r="10">
          <cell r="C10">
            <v>0</v>
          </cell>
          <cell r="E10" t="str">
            <v>Application Servers -  Linux</v>
          </cell>
        </row>
        <row r="11">
          <cell r="E11" t="str">
            <v>Application Servers - Other</v>
          </cell>
        </row>
        <row r="12">
          <cell r="C12">
            <v>40969</v>
          </cell>
          <cell r="E12" t="str">
            <v>Application Servers - Database Instance</v>
          </cell>
        </row>
        <row r="13">
          <cell r="E13" t="str">
            <v xml:space="preserve">Server Services: Alternative Pricing </v>
          </cell>
        </row>
        <row r="14">
          <cell r="E14" t="str">
            <v>Email and Collaboration Servers</v>
          </cell>
        </row>
        <row r="15">
          <cell r="E15" t="str">
            <v>Storage Services</v>
          </cell>
        </row>
        <row r="16">
          <cell r="E16" t="str">
            <v>Mainframe</v>
          </cell>
        </row>
        <row r="17">
          <cell r="E17" t="str">
            <v>Web Server Services</v>
          </cell>
        </row>
        <row r="18">
          <cell r="E18" t="str">
            <v>MNS - WAN</v>
          </cell>
        </row>
        <row r="19">
          <cell r="E19" t="str">
            <v>MNS - LAN</v>
          </cell>
        </row>
        <row r="20">
          <cell r="E20" t="str">
            <v>MNS - Voice</v>
          </cell>
        </row>
        <row r="21">
          <cell r="E21" t="str">
            <v xml:space="preserve">MNS - Conferencing </v>
          </cell>
        </row>
        <row r="22">
          <cell r="E22" t="str">
            <v>MNS - Trader Voice</v>
          </cell>
        </row>
        <row r="23">
          <cell r="E23" t="str">
            <v>MNS - Mobility</v>
          </cell>
        </row>
        <row r="24">
          <cell r="E24" t="str">
            <v>End-User Computing Services</v>
          </cell>
        </row>
        <row r="25">
          <cell r="E25" t="str">
            <v>Service Desk</v>
          </cell>
        </row>
        <row r="26">
          <cell r="E26" t="str">
            <v>Projects</v>
          </cell>
        </row>
        <row r="27">
          <cell r="E27" t="str">
            <v>Filler 1</v>
          </cell>
        </row>
        <row r="28">
          <cell r="E28" t="str">
            <v>Filler 2</v>
          </cell>
        </row>
        <row r="29">
          <cell r="E29" t="str">
            <v>Filler 3</v>
          </cell>
        </row>
        <row r="30">
          <cell r="E30" t="str">
            <v>Filler 4</v>
          </cell>
        </row>
        <row r="31">
          <cell r="E31" t="str">
            <v>Filler 5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&amp; Documentation"/>
      <sheetName val="Inputs"/>
      <sheetName val="Washington volumes"/>
      <sheetName val="Allocation = % of margin"/>
      <sheetName val="Allocation equal ¢ per therm"/>
      <sheetName val="Allocation = % of revenue"/>
      <sheetName val="Rates in detail"/>
      <sheetName val="Temporaries"/>
      <sheetName val="Avg Bill by RS"/>
      <sheetName val="Permanents"/>
      <sheetName val="Rates in summary"/>
      <sheetName val="Margin Model"/>
      <sheetName val="Amortization"/>
      <sheetName val="F Goldenrod"/>
      <sheetName val="F Goldenrod+Rate Case"/>
      <sheetName val="Cover"/>
      <sheetName val="WA Index"/>
      <sheetName val="Statement of Rat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Annual WACOG History"/>
      <sheetName val="Winter WACOG History"/>
      <sheetName val="RS 1 BR History"/>
      <sheetName val="RS 2 BR History"/>
      <sheetName val="RS 3 BR History"/>
      <sheetName val="RS 19 BR History"/>
      <sheetName val="RS 27 BR History"/>
      <sheetName val="RS 41 Firm BR History"/>
      <sheetName val="RS 41 Intp BR History"/>
      <sheetName val="RS 42 FS BR History"/>
      <sheetName val="RS42 IS BR History"/>
      <sheetName val="RS 41T BR History"/>
      <sheetName val="RS 42T BR History"/>
      <sheetName val="RS 43 FT BR History"/>
      <sheetName val="RS 43 IT BR History "/>
      <sheetName val="RS 1 PR History"/>
      <sheetName val="RS 2 PR History"/>
      <sheetName val="RS 3 PR History"/>
      <sheetName val="RS 21 BR History"/>
      <sheetName val="RS 54 BR History"/>
      <sheetName val="wacog purch history 1988-2007"/>
      <sheetName val="Chgs in Rates by RS 1995-2004"/>
      <sheetName val="RS 3T BR History"/>
    </sheetNames>
    <sheetDataSet>
      <sheetData sheetId="0"/>
      <sheetData sheetId="1">
        <row r="30">
          <cell r="B30">
            <v>4.3568999999999997E-2</v>
          </cell>
        </row>
        <row r="36">
          <cell r="B36">
            <v>-12589508</v>
          </cell>
          <cell r="C36" t="str">
            <v>WACOG Deferral</v>
          </cell>
          <cell r="F36" t="str">
            <v>All sales</v>
          </cell>
          <cell r="G36" t="str">
            <v>Yes</v>
          </cell>
        </row>
        <row r="38">
          <cell r="B38">
            <v>-2349123</v>
          </cell>
          <cell r="C38" t="str">
            <v>Demand Deferral - FIRM</v>
          </cell>
          <cell r="F38" t="str">
            <v>All firm sales</v>
          </cell>
          <cell r="G38" t="str">
            <v>Yes</v>
          </cell>
        </row>
        <row r="40">
          <cell r="B40">
            <v>-34550</v>
          </cell>
          <cell r="C40" t="str">
            <v>Demand Deferral - INTERRUPTIBLE</v>
          </cell>
          <cell r="F40" t="str">
            <v>All interruptible sales</v>
          </cell>
          <cell r="G40" t="str">
            <v>Yes</v>
          </cell>
        </row>
        <row r="42">
          <cell r="C42" t="str">
            <v>R&amp;C Energy Efficiency Programs - Forecast</v>
          </cell>
        </row>
        <row r="48">
          <cell r="B48">
            <v>18554</v>
          </cell>
          <cell r="C48" t="str">
            <v xml:space="preserve">Residential Rate Mitigation </v>
          </cell>
          <cell r="F48" t="str">
            <v xml:space="preserve">Residential Only </v>
          </cell>
          <cell r="G48" t="str">
            <v>Yes</v>
          </cell>
        </row>
        <row r="50">
          <cell r="C50" t="str">
            <v>R&amp;C Energy Efficiency Programs - Historical</v>
          </cell>
        </row>
        <row r="54">
          <cell r="B54">
            <v>7272</v>
          </cell>
          <cell r="F54" t="str">
            <v>All Industrial and Transport Customers</v>
          </cell>
          <cell r="G54" t="str">
            <v>Yes</v>
          </cell>
        </row>
        <row r="56">
          <cell r="C56" t="str">
            <v>R&amp;C Energy Efficiency Programs - Deferral</v>
          </cell>
        </row>
        <row r="60">
          <cell r="C60" t="str">
            <v>Lincoln City Sale</v>
          </cell>
        </row>
        <row r="64">
          <cell r="F64" t="str">
            <v>All Customers</v>
          </cell>
        </row>
        <row r="71">
          <cell r="B71">
            <v>45658</v>
          </cell>
        </row>
      </sheetData>
      <sheetData sheetId="2">
        <row r="1">
          <cell r="A1" t="str">
            <v>NW Natural</v>
          </cell>
        </row>
        <row r="2">
          <cell r="A2" t="str">
            <v>Rates &amp; Regulatory Affairs</v>
          </cell>
        </row>
        <row r="3">
          <cell r="A3" t="str">
            <v>2025-2026 PGA Filing - Washington: September Filing</v>
          </cell>
        </row>
        <row r="13">
          <cell r="J13">
            <v>179824.1</v>
          </cell>
        </row>
        <row r="14">
          <cell r="J14">
            <v>18807.400000000001</v>
          </cell>
        </row>
        <row r="15">
          <cell r="J15">
            <v>59991191.600000001</v>
          </cell>
        </row>
        <row r="16">
          <cell r="J16">
            <v>21359578.800000001</v>
          </cell>
        </row>
        <row r="17">
          <cell r="J17">
            <v>192102.2</v>
          </cell>
        </row>
        <row r="18">
          <cell r="J18">
            <v>34823.1</v>
          </cell>
        </row>
        <row r="19">
          <cell r="J19">
            <v>1665389.3</v>
          </cell>
        </row>
        <row r="20">
          <cell r="J20">
            <v>2698480.8</v>
          </cell>
        </row>
        <row r="21">
          <cell r="J21">
            <v>331379.44452066539</v>
          </cell>
        </row>
        <row r="22">
          <cell r="J22">
            <v>593486.75547933462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123242.73967014518</v>
          </cell>
        </row>
        <row r="28">
          <cell r="J28">
            <v>284875.42061605473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820212.7</v>
          </cell>
        </row>
        <row r="32">
          <cell r="J32">
            <v>926222.5</v>
          </cell>
        </row>
        <row r="33">
          <cell r="J33">
            <v>323675.40000000002</v>
          </cell>
        </row>
        <row r="34">
          <cell r="J34">
            <v>84982.8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887029.75709862076</v>
          </cell>
        </row>
        <row r="38">
          <cell r="J38">
            <v>668287.37243846827</v>
          </cell>
        </row>
        <row r="39">
          <cell r="J39">
            <v>109047.67533172015</v>
          </cell>
        </row>
        <row r="40">
          <cell r="J40">
            <v>24232.772003191028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122543.87639893022</v>
          </cell>
        </row>
        <row r="44">
          <cell r="J44">
            <v>245087.75279786045</v>
          </cell>
        </row>
        <row r="45">
          <cell r="J45">
            <v>245087.75279786045</v>
          </cell>
        </row>
        <row r="46">
          <cell r="J46">
            <v>403343.97837634891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933451.95163091726</v>
          </cell>
        </row>
        <row r="50">
          <cell r="J50">
            <v>1354331.8549391942</v>
          </cell>
        </row>
        <row r="51">
          <cell r="J51">
            <v>1182764.9803330612</v>
          </cell>
        </row>
        <row r="52">
          <cell r="J52">
            <v>2743941.1371104051</v>
          </cell>
        </row>
        <row r="53">
          <cell r="J53">
            <v>1030133.9063092957</v>
          </cell>
        </row>
        <row r="54">
          <cell r="J54">
            <v>0</v>
          </cell>
        </row>
        <row r="55">
          <cell r="J55">
            <v>237823.79371068976</v>
          </cell>
        </row>
        <row r="56">
          <cell r="J56">
            <v>449890.27963003801</v>
          </cell>
        </row>
        <row r="57">
          <cell r="J57">
            <v>201896.54594079489</v>
          </cell>
        </row>
        <row r="58">
          <cell r="J58">
            <v>59595.669906477466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171532.62817612645</v>
          </cell>
        </row>
        <row r="62">
          <cell r="J62">
            <v>27036.058789873507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952237.06746634038</v>
          </cell>
        </row>
        <row r="74">
          <cell r="J74">
            <v>1827774.6796347289</v>
          </cell>
        </row>
        <row r="75">
          <cell r="J75">
            <v>1364375.8495009863</v>
          </cell>
        </row>
        <row r="76">
          <cell r="J76">
            <v>4116253.0789308902</v>
          </cell>
        </row>
        <row r="77">
          <cell r="J77">
            <v>1831129.0067156893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</sheetData>
      <sheetData sheetId="3">
        <row r="7">
          <cell r="W7" t="str">
            <v>Low Income Bill Pay Assistance (GREAT)</v>
          </cell>
          <cell r="Z7" t="str">
            <v>WA-LIEE</v>
          </cell>
          <cell r="AJ7" t="str">
            <v xml:space="preserve">Residental Bill Discount Program </v>
          </cell>
        </row>
        <row r="13">
          <cell r="P13">
            <v>0.14388999999999999</v>
          </cell>
          <cell r="S13">
            <v>-1.7799999999999999E-3</v>
          </cell>
          <cell r="V13">
            <v>0</v>
          </cell>
          <cell r="Y13">
            <v>2.0049999999999998E-2</v>
          </cell>
          <cell r="AB13">
            <v>3.2299999999999998E-3</v>
          </cell>
          <cell r="AE13">
            <v>-2.3000000000000001E-4</v>
          </cell>
          <cell r="AH13">
            <v>1.8579999999999999E-2</v>
          </cell>
          <cell r="AK13">
            <v>3.7949999999999998E-2</v>
          </cell>
          <cell r="AN13">
            <v>2.4000000000000001E-4</v>
          </cell>
        </row>
        <row r="14">
          <cell r="P14">
            <v>9.6509999999999999E-2</v>
          </cell>
          <cell r="S14">
            <v>-1.17E-3</v>
          </cell>
          <cell r="V14">
            <v>0</v>
          </cell>
          <cell r="Y14">
            <v>1.345E-2</v>
          </cell>
          <cell r="AB14">
            <v>2.1800000000000001E-3</v>
          </cell>
          <cell r="AE14">
            <v>-1.6000000000000001E-4</v>
          </cell>
          <cell r="AH14">
            <v>1.244E-2</v>
          </cell>
          <cell r="AK14">
            <v>3.2939999999999997E-2</v>
          </cell>
          <cell r="AN14">
            <v>1.6000000000000001E-4</v>
          </cell>
        </row>
        <row r="15">
          <cell r="P15">
            <v>6.6089999999999996E-2</v>
          </cell>
          <cell r="S15">
            <v>-8.1999999999999998E-4</v>
          </cell>
          <cell r="V15">
            <v>0</v>
          </cell>
          <cell r="Y15">
            <v>9.2099999999999994E-3</v>
          </cell>
          <cell r="AB15">
            <v>1.48E-3</v>
          </cell>
          <cell r="AE15">
            <v>-1.1E-4</v>
          </cell>
          <cell r="AH15">
            <v>8.5299999999999994E-3</v>
          </cell>
          <cell r="AK15">
            <v>2.188E-2</v>
          </cell>
          <cell r="AN15">
            <v>1.1E-4</v>
          </cell>
        </row>
        <row r="16">
          <cell r="P16">
            <v>5.8250000000000003E-2</v>
          </cell>
          <cell r="S16">
            <v>-7.2000000000000005E-4</v>
          </cell>
          <cell r="V16">
            <v>0</v>
          </cell>
          <cell r="Y16">
            <v>8.1200000000000005E-3</v>
          </cell>
          <cell r="AB16">
            <v>1.31E-3</v>
          </cell>
          <cell r="AE16">
            <v>-1E-4</v>
          </cell>
          <cell r="AH16">
            <v>7.5199999999999998E-3</v>
          </cell>
          <cell r="AK16">
            <v>1.9439999999999999E-2</v>
          </cell>
          <cell r="AN16">
            <v>1E-4</v>
          </cell>
        </row>
        <row r="17">
          <cell r="P17">
            <v>0</v>
          </cell>
          <cell r="S17">
            <v>0</v>
          </cell>
          <cell r="V17">
            <v>0</v>
          </cell>
          <cell r="Y17">
            <v>7.5100000000000002E-3</v>
          </cell>
          <cell r="AB17">
            <v>1.2099999999999999E-3</v>
          </cell>
          <cell r="AE17">
            <v>-9.0000000000000006E-5</v>
          </cell>
          <cell r="AH17">
            <v>6.9499999999999996E-3</v>
          </cell>
          <cell r="AK17">
            <v>1.7850000000000001E-2</v>
          </cell>
          <cell r="AN17">
            <v>9.0000000000000006E-5</v>
          </cell>
        </row>
        <row r="18">
          <cell r="P18">
            <v>0.14729</v>
          </cell>
          <cell r="S18">
            <v>-1.8400000000000001E-3</v>
          </cell>
          <cell r="V18">
            <v>0</v>
          </cell>
          <cell r="Y18">
            <v>2.053E-2</v>
          </cell>
          <cell r="AB18">
            <v>3.3E-3</v>
          </cell>
          <cell r="AE18">
            <v>-2.3000000000000001E-4</v>
          </cell>
          <cell r="AH18">
            <v>1.9009999999999999E-2</v>
          </cell>
          <cell r="AK18">
            <v>3.1620000000000002E-2</v>
          </cell>
          <cell r="AN18">
            <v>2.5999999999999998E-4</v>
          </cell>
        </row>
        <row r="19">
          <cell r="P19">
            <v>4.6289999999999998E-2</v>
          </cell>
          <cell r="S19">
            <v>-5.6999999999999998E-4</v>
          </cell>
          <cell r="V19">
            <v>0</v>
          </cell>
          <cell r="Y19">
            <v>6.45E-3</v>
          </cell>
          <cell r="AB19">
            <v>1.0399999999999999E-3</v>
          </cell>
          <cell r="AE19">
            <v>-8.0000000000000007E-5</v>
          </cell>
          <cell r="AH19">
            <v>5.9800000000000001E-3</v>
          </cell>
          <cell r="AK19">
            <v>1.5630000000000002E-2</v>
          </cell>
          <cell r="AN19">
            <v>8.0000000000000007E-5</v>
          </cell>
        </row>
        <row r="20">
          <cell r="P20">
            <v>4.079E-2</v>
          </cell>
          <cell r="S20">
            <v>-5.1000000000000004E-4</v>
          </cell>
          <cell r="V20">
            <v>0</v>
          </cell>
          <cell r="Y20">
            <v>5.6800000000000002E-3</v>
          </cell>
          <cell r="AB20">
            <v>9.2000000000000003E-4</v>
          </cell>
          <cell r="AE20">
            <v>-6.9999999999999994E-5</v>
          </cell>
          <cell r="AH20">
            <v>5.2700000000000004E-3</v>
          </cell>
          <cell r="AK20">
            <v>1.3769999999999999E-2</v>
          </cell>
          <cell r="AN20">
            <v>6.9999999999999994E-5</v>
          </cell>
        </row>
        <row r="21">
          <cell r="P21">
            <v>0</v>
          </cell>
          <cell r="S21">
            <v>0</v>
          </cell>
          <cell r="V21">
            <v>0</v>
          </cell>
          <cell r="Y21">
            <v>5.8500000000000002E-3</v>
          </cell>
          <cell r="AB21">
            <v>9.3999999999999997E-4</v>
          </cell>
          <cell r="AE21">
            <v>-6.9999999999999994E-5</v>
          </cell>
          <cell r="AH21">
            <v>5.4200000000000003E-3</v>
          </cell>
          <cell r="AK21">
            <v>1.34E-2</v>
          </cell>
          <cell r="AN21">
            <v>6.9999999999999994E-5</v>
          </cell>
        </row>
        <row r="22">
          <cell r="P22">
            <v>0</v>
          </cell>
          <cell r="S22">
            <v>0</v>
          </cell>
          <cell r="V22">
            <v>0</v>
          </cell>
          <cell r="Y22">
            <v>5.1500000000000001E-3</v>
          </cell>
          <cell r="AB22">
            <v>8.3000000000000001E-4</v>
          </cell>
          <cell r="AE22">
            <v>-6.0000000000000002E-5</v>
          </cell>
          <cell r="AH22">
            <v>4.7800000000000004E-3</v>
          </cell>
          <cell r="AK22">
            <v>1.1809999999999999E-2</v>
          </cell>
          <cell r="AN22">
            <v>6.0000000000000002E-5</v>
          </cell>
        </row>
        <row r="23">
          <cell r="P23">
            <v>4.233E-2</v>
          </cell>
          <cell r="S23">
            <v>-5.1999999999999995E-4</v>
          </cell>
          <cell r="V23">
            <v>0</v>
          </cell>
          <cell r="Y23">
            <v>6.0000000000000001E-3</v>
          </cell>
          <cell r="AB23">
            <v>9.7000000000000005E-4</v>
          </cell>
          <cell r="AE23">
            <v>-6.9999999999999994E-5</v>
          </cell>
          <cell r="AH23">
            <v>5.7800000000000004E-3</v>
          </cell>
          <cell r="AK23">
            <v>1.4829999999999999E-2</v>
          </cell>
          <cell r="AN23">
            <v>6.9999999999999994E-5</v>
          </cell>
        </row>
        <row r="24">
          <cell r="P24">
            <v>3.7289999999999997E-2</v>
          </cell>
          <cell r="S24">
            <v>-4.6000000000000001E-4</v>
          </cell>
          <cell r="V24">
            <v>0</v>
          </cell>
          <cell r="Y24">
            <v>5.28E-3</v>
          </cell>
          <cell r="AB24">
            <v>8.4999999999999995E-4</v>
          </cell>
          <cell r="AE24">
            <v>-6.0000000000000002E-5</v>
          </cell>
          <cell r="AH24">
            <v>5.0899999999999999E-3</v>
          </cell>
          <cell r="AK24">
            <v>1.307E-2</v>
          </cell>
          <cell r="AN24">
            <v>6.0000000000000002E-5</v>
          </cell>
        </row>
        <row r="25">
          <cell r="P25">
            <v>0</v>
          </cell>
          <cell r="S25">
            <v>0</v>
          </cell>
          <cell r="V25">
            <v>0</v>
          </cell>
          <cell r="Y25">
            <v>5.6699999999999997E-3</v>
          </cell>
          <cell r="AB25">
            <v>9.1E-4</v>
          </cell>
          <cell r="AE25">
            <v>-6.9999999999999994E-5</v>
          </cell>
          <cell r="AH25">
            <v>5.47E-3</v>
          </cell>
          <cell r="AK25">
            <v>1.4030000000000001E-2</v>
          </cell>
          <cell r="AN25">
            <v>6.9999999999999994E-5</v>
          </cell>
        </row>
        <row r="26">
          <cell r="P26">
            <v>0</v>
          </cell>
          <cell r="S26">
            <v>0</v>
          </cell>
          <cell r="V26">
            <v>0</v>
          </cell>
          <cell r="Y26">
            <v>5.0000000000000001E-3</v>
          </cell>
          <cell r="AB26">
            <v>8.0999999999999996E-4</v>
          </cell>
          <cell r="AE26">
            <v>-6.0000000000000002E-5</v>
          </cell>
          <cell r="AH26">
            <v>4.8199999999999996E-3</v>
          </cell>
          <cell r="AK26">
            <v>1.2359999999999999E-2</v>
          </cell>
          <cell r="AN26">
            <v>6.0000000000000002E-5</v>
          </cell>
        </row>
        <row r="27">
          <cell r="P27">
            <v>0</v>
          </cell>
          <cell r="S27">
            <v>0</v>
          </cell>
          <cell r="V27">
            <v>0</v>
          </cell>
          <cell r="Y27">
            <v>0</v>
          </cell>
          <cell r="AB27">
            <v>0</v>
          </cell>
          <cell r="AE27">
            <v>-8.0000000000000007E-5</v>
          </cell>
          <cell r="AH27">
            <v>6.1599999999999997E-3</v>
          </cell>
          <cell r="AK27">
            <v>1.5440000000000001E-2</v>
          </cell>
          <cell r="AN27">
            <v>0</v>
          </cell>
        </row>
        <row r="28">
          <cell r="P28">
            <v>0</v>
          </cell>
          <cell r="S28">
            <v>0</v>
          </cell>
          <cell r="V28">
            <v>0</v>
          </cell>
          <cell r="Y28">
            <v>0</v>
          </cell>
          <cell r="AB28">
            <v>0</v>
          </cell>
          <cell r="AE28">
            <v>-6.9999999999999994E-5</v>
          </cell>
          <cell r="AH28">
            <v>5.4299999999999999E-3</v>
          </cell>
          <cell r="AK28">
            <v>1.3599999999999999E-2</v>
          </cell>
          <cell r="AN28">
            <v>0</v>
          </cell>
        </row>
        <row r="29">
          <cell r="P29">
            <v>0</v>
          </cell>
          <cell r="S29">
            <v>0</v>
          </cell>
          <cell r="V29">
            <v>0</v>
          </cell>
          <cell r="Y29">
            <v>0</v>
          </cell>
          <cell r="AB29">
            <v>0</v>
          </cell>
          <cell r="AE29">
            <v>-6.9999999999999994E-5</v>
          </cell>
          <cell r="AH29">
            <v>5.5300000000000002E-3</v>
          </cell>
          <cell r="AK29">
            <v>1.418E-2</v>
          </cell>
          <cell r="AN29">
            <v>0</v>
          </cell>
        </row>
        <row r="30">
          <cell r="P30">
            <v>0</v>
          </cell>
          <cell r="S30">
            <v>0</v>
          </cell>
          <cell r="V30">
            <v>0</v>
          </cell>
          <cell r="Y30">
            <v>0</v>
          </cell>
          <cell r="AB30">
            <v>0</v>
          </cell>
          <cell r="AE30">
            <v>-6.0000000000000002E-5</v>
          </cell>
          <cell r="AH30">
            <v>4.8700000000000002E-3</v>
          </cell>
          <cell r="AK30">
            <v>1.2500000000000001E-2</v>
          </cell>
          <cell r="AN30">
            <v>0</v>
          </cell>
        </row>
        <row r="31">
          <cell r="P31">
            <v>2.5569999999999999E-2</v>
          </cell>
          <cell r="S31">
            <v>-3.2000000000000003E-4</v>
          </cell>
          <cell r="V31">
            <v>0</v>
          </cell>
          <cell r="Y31">
            <v>3.5599999999999998E-3</v>
          </cell>
          <cell r="AB31">
            <v>5.6999999999999998E-4</v>
          </cell>
          <cell r="AE31">
            <v>-4.0000000000000003E-5</v>
          </cell>
          <cell r="AH31">
            <v>3.3999999999999998E-3</v>
          </cell>
          <cell r="AK31">
            <v>8.6899999999999998E-3</v>
          </cell>
          <cell r="AN31">
            <v>4.0000000000000003E-5</v>
          </cell>
        </row>
        <row r="32">
          <cell r="P32">
            <v>2.2880000000000001E-2</v>
          </cell>
          <cell r="S32">
            <v>-2.7999999999999998E-4</v>
          </cell>
          <cell r="V32">
            <v>0</v>
          </cell>
          <cell r="Y32">
            <v>3.1900000000000001E-3</v>
          </cell>
          <cell r="AB32">
            <v>5.1000000000000004E-4</v>
          </cell>
          <cell r="AE32">
            <v>-4.0000000000000003E-5</v>
          </cell>
          <cell r="AH32">
            <v>3.0400000000000002E-3</v>
          </cell>
          <cell r="AK32">
            <v>7.7799999999999996E-3</v>
          </cell>
          <cell r="AN32">
            <v>4.0000000000000003E-5</v>
          </cell>
        </row>
        <row r="33">
          <cell r="P33">
            <v>1.755E-2</v>
          </cell>
          <cell r="S33">
            <v>-2.2000000000000001E-4</v>
          </cell>
          <cell r="V33">
            <v>0</v>
          </cell>
          <cell r="Y33">
            <v>2.4499999999999999E-3</v>
          </cell>
          <cell r="AB33">
            <v>3.8999999999999999E-4</v>
          </cell>
          <cell r="AE33">
            <v>-3.0000000000000001E-5</v>
          </cell>
          <cell r="AH33">
            <v>2.33E-3</v>
          </cell>
          <cell r="AK33">
            <v>5.9699999999999996E-3</v>
          </cell>
          <cell r="AN33">
            <v>3.0000000000000001E-5</v>
          </cell>
        </row>
        <row r="34">
          <cell r="P34">
            <v>1.404E-2</v>
          </cell>
          <cell r="S34">
            <v>-1.7000000000000001E-4</v>
          </cell>
          <cell r="V34">
            <v>0</v>
          </cell>
          <cell r="Y34">
            <v>1.9599999999999999E-3</v>
          </cell>
          <cell r="AB34">
            <v>3.2000000000000003E-4</v>
          </cell>
          <cell r="AE34">
            <v>-2.0000000000000002E-5</v>
          </cell>
          <cell r="AH34">
            <v>1.8699999999999999E-3</v>
          </cell>
          <cell r="AK34">
            <v>4.7699999999999999E-3</v>
          </cell>
          <cell r="AN34">
            <v>2.0000000000000002E-5</v>
          </cell>
        </row>
        <row r="35">
          <cell r="P35">
            <v>9.3600000000000003E-3</v>
          </cell>
          <cell r="S35">
            <v>-1.2E-4</v>
          </cell>
          <cell r="V35">
            <v>0</v>
          </cell>
          <cell r="Y35">
            <v>1.2999999999999999E-3</v>
          </cell>
          <cell r="AB35">
            <v>2.1000000000000001E-4</v>
          </cell>
          <cell r="AE35">
            <v>-2.0000000000000002E-5</v>
          </cell>
          <cell r="AH35">
            <v>1.24E-3</v>
          </cell>
          <cell r="AK35">
            <v>3.1800000000000001E-3</v>
          </cell>
          <cell r="AN35">
            <v>2.0000000000000002E-5</v>
          </cell>
        </row>
        <row r="36">
          <cell r="P36">
            <v>3.5100000000000001E-3</v>
          </cell>
          <cell r="S36">
            <v>-4.0000000000000003E-5</v>
          </cell>
          <cell r="V36">
            <v>0</v>
          </cell>
          <cell r="Y36">
            <v>4.8999999999999998E-4</v>
          </cell>
          <cell r="AB36">
            <v>8.0000000000000007E-5</v>
          </cell>
          <cell r="AE36">
            <v>-1.0000000000000001E-5</v>
          </cell>
          <cell r="AH36">
            <v>4.6999999999999999E-4</v>
          </cell>
          <cell r="AK36">
            <v>1.1900000000000001E-3</v>
          </cell>
          <cell r="AN36">
            <v>1.0000000000000001E-5</v>
          </cell>
        </row>
        <row r="37">
          <cell r="P37">
            <v>0</v>
          </cell>
          <cell r="S37">
            <v>0</v>
          </cell>
          <cell r="V37">
            <v>0</v>
          </cell>
          <cell r="Y37">
            <v>3.7499999999999999E-3</v>
          </cell>
          <cell r="AB37">
            <v>5.9999999999999995E-4</v>
          </cell>
          <cell r="AE37">
            <v>-4.0000000000000003E-5</v>
          </cell>
          <cell r="AH37">
            <v>3.47E-3</v>
          </cell>
          <cell r="AK37">
            <v>8.43E-3</v>
          </cell>
          <cell r="AN37">
            <v>5.0000000000000002E-5</v>
          </cell>
        </row>
        <row r="38">
          <cell r="P38">
            <v>0</v>
          </cell>
          <cell r="S38">
            <v>0</v>
          </cell>
          <cell r="V38">
            <v>0</v>
          </cell>
          <cell r="Y38">
            <v>3.3600000000000001E-3</v>
          </cell>
          <cell r="AB38">
            <v>5.4000000000000001E-4</v>
          </cell>
          <cell r="AE38">
            <v>-4.0000000000000003E-5</v>
          </cell>
          <cell r="AH38">
            <v>3.1099999999999999E-3</v>
          </cell>
          <cell r="AK38">
            <v>7.5399999999999998E-3</v>
          </cell>
          <cell r="AN38">
            <v>4.0000000000000003E-5</v>
          </cell>
        </row>
        <row r="39">
          <cell r="P39">
            <v>0</v>
          </cell>
          <cell r="S39">
            <v>0</v>
          </cell>
          <cell r="V39">
            <v>0</v>
          </cell>
          <cell r="Y39">
            <v>2.5699999999999998E-3</v>
          </cell>
          <cell r="AB39">
            <v>4.0999999999999999E-4</v>
          </cell>
          <cell r="AE39">
            <v>-3.0000000000000001E-5</v>
          </cell>
          <cell r="AH39">
            <v>2.3800000000000002E-3</v>
          </cell>
          <cell r="AK39">
            <v>5.7800000000000004E-3</v>
          </cell>
          <cell r="AN39">
            <v>3.0000000000000001E-5</v>
          </cell>
        </row>
        <row r="40">
          <cell r="P40">
            <v>0</v>
          </cell>
          <cell r="S40">
            <v>0</v>
          </cell>
          <cell r="V40">
            <v>0</v>
          </cell>
          <cell r="Y40">
            <v>2.0600000000000002E-3</v>
          </cell>
          <cell r="AB40">
            <v>3.3E-4</v>
          </cell>
          <cell r="AE40">
            <v>-2.0000000000000002E-5</v>
          </cell>
          <cell r="AH40">
            <v>1.91E-3</v>
          </cell>
          <cell r="AK40">
            <v>4.6299999999999996E-3</v>
          </cell>
          <cell r="AN40">
            <v>2.0000000000000002E-5</v>
          </cell>
        </row>
        <row r="41">
          <cell r="P41">
            <v>0</v>
          </cell>
          <cell r="S41">
            <v>0</v>
          </cell>
          <cell r="V41">
            <v>0</v>
          </cell>
          <cell r="Y41">
            <v>1.3699999999999999E-3</v>
          </cell>
          <cell r="AB41">
            <v>2.2000000000000001E-4</v>
          </cell>
          <cell r="AE41">
            <v>-2.0000000000000002E-5</v>
          </cell>
          <cell r="AH41">
            <v>1.2700000000000001E-3</v>
          </cell>
          <cell r="AK41">
            <v>3.0899999999999999E-3</v>
          </cell>
          <cell r="AN41">
            <v>2.0000000000000002E-5</v>
          </cell>
        </row>
        <row r="42">
          <cell r="P42">
            <v>0</v>
          </cell>
          <cell r="S42">
            <v>0</v>
          </cell>
          <cell r="V42">
            <v>0</v>
          </cell>
          <cell r="Y42">
            <v>5.1000000000000004E-4</v>
          </cell>
          <cell r="AB42">
            <v>8.0000000000000007E-5</v>
          </cell>
          <cell r="AE42">
            <v>-1.0000000000000001E-5</v>
          </cell>
          <cell r="AH42">
            <v>4.8000000000000001E-4</v>
          </cell>
          <cell r="AK42">
            <v>1.16E-3</v>
          </cell>
          <cell r="AN42">
            <v>1.0000000000000001E-5</v>
          </cell>
        </row>
        <row r="43">
          <cell r="P43">
            <v>0</v>
          </cell>
          <cell r="S43">
            <v>0</v>
          </cell>
          <cell r="V43">
            <v>0</v>
          </cell>
          <cell r="Y43">
            <v>0</v>
          </cell>
          <cell r="AB43">
            <v>0</v>
          </cell>
          <cell r="AE43">
            <v>-3.0000000000000001E-5</v>
          </cell>
          <cell r="AH43">
            <v>2.1900000000000001E-3</v>
          </cell>
          <cell r="AK43">
            <v>5.2399999999999999E-3</v>
          </cell>
          <cell r="AN43">
            <v>0</v>
          </cell>
        </row>
        <row r="44">
          <cell r="P44">
            <v>0</v>
          </cell>
          <cell r="S44">
            <v>0</v>
          </cell>
          <cell r="V44">
            <v>0</v>
          </cell>
          <cell r="Y44">
            <v>0</v>
          </cell>
          <cell r="AB44">
            <v>0</v>
          </cell>
          <cell r="AE44">
            <v>-2.0000000000000002E-5</v>
          </cell>
          <cell r="AH44">
            <v>1.9599999999999999E-3</v>
          </cell>
          <cell r="AK44">
            <v>4.6899999999999997E-3</v>
          </cell>
          <cell r="AN44">
            <v>0</v>
          </cell>
        </row>
        <row r="45">
          <cell r="P45">
            <v>0</v>
          </cell>
          <cell r="S45">
            <v>0</v>
          </cell>
          <cell r="V45">
            <v>0</v>
          </cell>
          <cell r="Y45">
            <v>0</v>
          </cell>
          <cell r="AB45">
            <v>0</v>
          </cell>
          <cell r="AE45">
            <v>-2.0000000000000002E-5</v>
          </cell>
          <cell r="AH45">
            <v>1.5E-3</v>
          </cell>
          <cell r="AK45">
            <v>3.5999999999999999E-3</v>
          </cell>
          <cell r="AN45">
            <v>0</v>
          </cell>
        </row>
        <row r="46">
          <cell r="P46">
            <v>0</v>
          </cell>
          <cell r="S46">
            <v>0</v>
          </cell>
          <cell r="V46">
            <v>0</v>
          </cell>
          <cell r="Y46">
            <v>0</v>
          </cell>
          <cell r="AB46">
            <v>0</v>
          </cell>
          <cell r="AE46">
            <v>-2.0000000000000002E-5</v>
          </cell>
          <cell r="AH46">
            <v>1.1999999999999999E-3</v>
          </cell>
          <cell r="AK46">
            <v>2.8800000000000002E-3</v>
          </cell>
          <cell r="AN46">
            <v>0</v>
          </cell>
        </row>
        <row r="47">
          <cell r="P47">
            <v>0</v>
          </cell>
          <cell r="S47">
            <v>0</v>
          </cell>
          <cell r="V47">
            <v>0</v>
          </cell>
          <cell r="Y47">
            <v>0</v>
          </cell>
          <cell r="AB47">
            <v>0</v>
          </cell>
          <cell r="AE47">
            <v>-1.0000000000000001E-5</v>
          </cell>
          <cell r="AH47">
            <v>8.0000000000000004E-4</v>
          </cell>
          <cell r="AK47">
            <v>1.92E-3</v>
          </cell>
          <cell r="AN47">
            <v>0</v>
          </cell>
        </row>
        <row r="48">
          <cell r="P48">
            <v>0</v>
          </cell>
          <cell r="S48">
            <v>0</v>
          </cell>
          <cell r="V48">
            <v>0</v>
          </cell>
          <cell r="Y48">
            <v>0</v>
          </cell>
          <cell r="AB48">
            <v>0</v>
          </cell>
          <cell r="AE48">
            <v>0</v>
          </cell>
          <cell r="AH48">
            <v>2.9999999999999997E-4</v>
          </cell>
          <cell r="AK48">
            <v>7.2000000000000005E-4</v>
          </cell>
          <cell r="AN48">
            <v>0</v>
          </cell>
        </row>
        <row r="49">
          <cell r="P49">
            <v>0</v>
          </cell>
          <cell r="S49">
            <v>0</v>
          </cell>
          <cell r="V49">
            <v>0</v>
          </cell>
          <cell r="Y49">
            <v>0</v>
          </cell>
          <cell r="AB49">
            <v>0</v>
          </cell>
          <cell r="AE49">
            <v>-3.0000000000000001E-5</v>
          </cell>
          <cell r="AH49">
            <v>2.31E-3</v>
          </cell>
          <cell r="AK49">
            <v>5.5900000000000004E-3</v>
          </cell>
          <cell r="AN49">
            <v>0</v>
          </cell>
        </row>
        <row r="50">
          <cell r="P50">
            <v>0</v>
          </cell>
          <cell r="S50">
            <v>0</v>
          </cell>
          <cell r="V50">
            <v>0</v>
          </cell>
          <cell r="Y50">
            <v>0</v>
          </cell>
          <cell r="AB50">
            <v>0</v>
          </cell>
          <cell r="AE50">
            <v>-3.0000000000000001E-5</v>
          </cell>
          <cell r="AH50">
            <v>2.0699999999999998E-3</v>
          </cell>
          <cell r="AK50">
            <v>5.0099999999999997E-3</v>
          </cell>
          <cell r="AN50">
            <v>0</v>
          </cell>
        </row>
        <row r="51">
          <cell r="P51">
            <v>0</v>
          </cell>
          <cell r="S51">
            <v>0</v>
          </cell>
          <cell r="V51">
            <v>0</v>
          </cell>
          <cell r="Y51">
            <v>0</v>
          </cell>
          <cell r="AB51">
            <v>0</v>
          </cell>
          <cell r="AE51">
            <v>-2.0000000000000002E-5</v>
          </cell>
          <cell r="AH51">
            <v>1.5900000000000001E-3</v>
          </cell>
          <cell r="AK51">
            <v>3.8400000000000001E-3</v>
          </cell>
          <cell r="AN51">
            <v>0</v>
          </cell>
        </row>
        <row r="52">
          <cell r="P52">
            <v>0</v>
          </cell>
          <cell r="S52">
            <v>0</v>
          </cell>
          <cell r="V52">
            <v>0</v>
          </cell>
          <cell r="Y52">
            <v>0</v>
          </cell>
          <cell r="AB52">
            <v>0</v>
          </cell>
          <cell r="AE52">
            <v>-2.0000000000000002E-5</v>
          </cell>
          <cell r="AH52">
            <v>1.2700000000000001E-3</v>
          </cell>
          <cell r="AK52">
            <v>3.0699999999999998E-3</v>
          </cell>
          <cell r="AN52">
            <v>0</v>
          </cell>
        </row>
        <row r="53">
          <cell r="P53">
            <v>0</v>
          </cell>
          <cell r="S53">
            <v>0</v>
          </cell>
          <cell r="V53">
            <v>0</v>
          </cell>
          <cell r="Y53">
            <v>0</v>
          </cell>
          <cell r="AB53">
            <v>0</v>
          </cell>
          <cell r="AE53">
            <v>-1.0000000000000001E-5</v>
          </cell>
          <cell r="AH53">
            <v>8.4999999999999995E-4</v>
          </cell>
          <cell r="AK53">
            <v>2.0500000000000002E-3</v>
          </cell>
          <cell r="AN53">
            <v>0</v>
          </cell>
        </row>
        <row r="54">
          <cell r="P54">
            <v>0</v>
          </cell>
          <cell r="S54">
            <v>0</v>
          </cell>
          <cell r="V54">
            <v>0</v>
          </cell>
          <cell r="Y54">
            <v>0</v>
          </cell>
          <cell r="AB54">
            <v>0</v>
          </cell>
          <cell r="AE54">
            <v>0</v>
          </cell>
          <cell r="AH54">
            <v>3.2000000000000003E-4</v>
          </cell>
          <cell r="AK54">
            <v>7.6999999999999996E-4</v>
          </cell>
          <cell r="AN54">
            <v>0</v>
          </cell>
        </row>
        <row r="55">
          <cell r="P55">
            <v>1.9529999999999999E-2</v>
          </cell>
          <cell r="S55">
            <v>-2.4000000000000001E-4</v>
          </cell>
          <cell r="V55">
            <v>0</v>
          </cell>
          <cell r="Y55">
            <v>2.7200000000000002E-3</v>
          </cell>
          <cell r="AB55">
            <v>4.4000000000000002E-4</v>
          </cell>
          <cell r="AE55">
            <v>-3.0000000000000001E-5</v>
          </cell>
          <cell r="AH55">
            <v>2.5200000000000001E-3</v>
          </cell>
          <cell r="AK55">
            <v>6.4200000000000004E-3</v>
          </cell>
          <cell r="AN55">
            <v>3.0000000000000001E-5</v>
          </cell>
        </row>
        <row r="56">
          <cell r="P56">
            <v>1.7479999999999999E-2</v>
          </cell>
          <cell r="S56">
            <v>-2.2000000000000001E-4</v>
          </cell>
          <cell r="V56">
            <v>0</v>
          </cell>
          <cell r="Y56">
            <v>2.4399999999999999E-3</v>
          </cell>
          <cell r="AB56">
            <v>3.8999999999999999E-4</v>
          </cell>
          <cell r="AE56">
            <v>-3.0000000000000001E-5</v>
          </cell>
          <cell r="AH56">
            <v>2.2599999999999999E-3</v>
          </cell>
          <cell r="AK56">
            <v>5.7499999999999999E-3</v>
          </cell>
          <cell r="AN56">
            <v>3.0000000000000001E-5</v>
          </cell>
        </row>
        <row r="57">
          <cell r="P57">
            <v>1.34E-2</v>
          </cell>
          <cell r="S57">
            <v>-1.7000000000000001E-4</v>
          </cell>
          <cell r="V57">
            <v>0</v>
          </cell>
          <cell r="Y57">
            <v>1.8699999999999999E-3</v>
          </cell>
          <cell r="AB57">
            <v>2.9999999999999997E-4</v>
          </cell>
          <cell r="AE57">
            <v>-2.0000000000000002E-5</v>
          </cell>
          <cell r="AH57">
            <v>1.73E-3</v>
          </cell>
          <cell r="AK57">
            <v>4.4099999999999999E-3</v>
          </cell>
          <cell r="AN57">
            <v>2.0000000000000002E-5</v>
          </cell>
        </row>
        <row r="58">
          <cell r="P58">
            <v>1.072E-2</v>
          </cell>
          <cell r="S58">
            <v>-1.2999999999999999E-4</v>
          </cell>
          <cell r="V58">
            <v>0</v>
          </cell>
          <cell r="Y58">
            <v>1.49E-3</v>
          </cell>
          <cell r="AB58">
            <v>2.4000000000000001E-4</v>
          </cell>
          <cell r="AE58">
            <v>-2.0000000000000002E-5</v>
          </cell>
          <cell r="AH58">
            <v>1.3799999999999999E-3</v>
          </cell>
          <cell r="AK58">
            <v>3.5300000000000002E-3</v>
          </cell>
          <cell r="AN58">
            <v>2.0000000000000002E-5</v>
          </cell>
        </row>
        <row r="59">
          <cell r="P59">
            <v>7.1500000000000001E-3</v>
          </cell>
          <cell r="S59">
            <v>-9.0000000000000006E-5</v>
          </cell>
          <cell r="V59">
            <v>0</v>
          </cell>
          <cell r="Y59">
            <v>1E-3</v>
          </cell>
          <cell r="AB59">
            <v>1.6000000000000001E-4</v>
          </cell>
          <cell r="AE59">
            <v>-1.0000000000000001E-5</v>
          </cell>
          <cell r="AH59">
            <v>9.2000000000000003E-4</v>
          </cell>
          <cell r="AK59">
            <v>2.3500000000000001E-3</v>
          </cell>
          <cell r="AN59">
            <v>1.0000000000000001E-5</v>
          </cell>
        </row>
        <row r="60">
          <cell r="P60">
            <v>2.6800000000000001E-3</v>
          </cell>
          <cell r="S60">
            <v>-3.0000000000000001E-5</v>
          </cell>
          <cell r="V60">
            <v>0</v>
          </cell>
          <cell r="Y60">
            <v>3.6999999999999999E-4</v>
          </cell>
          <cell r="AB60">
            <v>6.0000000000000002E-5</v>
          </cell>
          <cell r="AE60">
            <v>0</v>
          </cell>
          <cell r="AH60">
            <v>3.5E-4</v>
          </cell>
          <cell r="AK60">
            <v>8.8000000000000003E-4</v>
          </cell>
          <cell r="AN60">
            <v>0</v>
          </cell>
        </row>
        <row r="61">
          <cell r="P61">
            <v>0</v>
          </cell>
          <cell r="S61">
            <v>0</v>
          </cell>
          <cell r="V61">
            <v>0</v>
          </cell>
          <cell r="Y61">
            <v>3.1900000000000001E-3</v>
          </cell>
          <cell r="AB61">
            <v>5.1999999999999995E-4</v>
          </cell>
          <cell r="AE61">
            <v>-4.0000000000000003E-5</v>
          </cell>
          <cell r="AH61">
            <v>2.96E-3</v>
          </cell>
          <cell r="AK61">
            <v>7.6400000000000001E-3</v>
          </cell>
          <cell r="AN61">
            <v>4.0000000000000003E-5</v>
          </cell>
        </row>
        <row r="62">
          <cell r="P62">
            <v>0</v>
          </cell>
          <cell r="S62">
            <v>0</v>
          </cell>
          <cell r="V62">
            <v>0</v>
          </cell>
          <cell r="Y62">
            <v>2.8600000000000001E-3</v>
          </cell>
          <cell r="AB62">
            <v>4.6000000000000001E-4</v>
          </cell>
          <cell r="AE62">
            <v>-3.0000000000000001E-5</v>
          </cell>
          <cell r="AH62">
            <v>2.65E-3</v>
          </cell>
          <cell r="AK62">
            <v>6.8300000000000001E-3</v>
          </cell>
          <cell r="AN62">
            <v>4.0000000000000003E-5</v>
          </cell>
        </row>
        <row r="63">
          <cell r="P63">
            <v>0</v>
          </cell>
          <cell r="S63">
            <v>0</v>
          </cell>
          <cell r="V63">
            <v>0</v>
          </cell>
          <cell r="Y63">
            <v>2.1900000000000001E-3</v>
          </cell>
          <cell r="AB63">
            <v>3.5E-4</v>
          </cell>
          <cell r="AE63">
            <v>-2.0000000000000002E-5</v>
          </cell>
          <cell r="AH63">
            <v>2.0300000000000001E-3</v>
          </cell>
          <cell r="AK63">
            <v>5.2399999999999999E-3</v>
          </cell>
          <cell r="AN63">
            <v>3.0000000000000001E-5</v>
          </cell>
        </row>
        <row r="64">
          <cell r="P64">
            <v>0</v>
          </cell>
          <cell r="S64">
            <v>0</v>
          </cell>
          <cell r="V64">
            <v>0</v>
          </cell>
          <cell r="Y64">
            <v>1.75E-3</v>
          </cell>
          <cell r="AB64">
            <v>2.7999999999999998E-4</v>
          </cell>
          <cell r="AE64">
            <v>-2.0000000000000002E-5</v>
          </cell>
          <cell r="AH64">
            <v>1.6299999999999999E-3</v>
          </cell>
          <cell r="AK64">
            <v>4.1900000000000001E-3</v>
          </cell>
          <cell r="AN64">
            <v>2.0000000000000002E-5</v>
          </cell>
        </row>
        <row r="65">
          <cell r="P65">
            <v>0</v>
          </cell>
          <cell r="S65">
            <v>0</v>
          </cell>
          <cell r="V65">
            <v>0</v>
          </cell>
          <cell r="Y65">
            <v>1.17E-3</v>
          </cell>
          <cell r="AB65">
            <v>1.9000000000000001E-4</v>
          </cell>
          <cell r="AE65">
            <v>-1.0000000000000001E-5</v>
          </cell>
          <cell r="AH65">
            <v>1.08E-3</v>
          </cell>
          <cell r="AK65">
            <v>2.7899999999999999E-3</v>
          </cell>
          <cell r="AN65">
            <v>1.0000000000000001E-5</v>
          </cell>
        </row>
        <row r="66">
          <cell r="P66">
            <v>0</v>
          </cell>
          <cell r="S66">
            <v>0</v>
          </cell>
          <cell r="V66">
            <v>0</v>
          </cell>
          <cell r="Y66">
            <v>4.4000000000000002E-4</v>
          </cell>
          <cell r="AB66">
            <v>6.9999999999999994E-5</v>
          </cell>
          <cell r="AE66">
            <v>0</v>
          </cell>
          <cell r="AH66">
            <v>4.0999999999999999E-4</v>
          </cell>
          <cell r="AK66">
            <v>1.0499999999999999E-3</v>
          </cell>
          <cell r="AN66">
            <v>1.0000000000000001E-5</v>
          </cell>
        </row>
        <row r="67">
          <cell r="P67">
            <v>0</v>
          </cell>
          <cell r="S67">
            <v>0</v>
          </cell>
          <cell r="V67">
            <v>0</v>
          </cell>
          <cell r="Y67">
            <v>0</v>
          </cell>
          <cell r="AB67">
            <v>0</v>
          </cell>
          <cell r="AE67">
            <v>-3.0000000000000001E-5</v>
          </cell>
          <cell r="AH67">
            <v>2.1299999999999999E-3</v>
          </cell>
          <cell r="AK67">
            <v>5.4599999999999996E-3</v>
          </cell>
          <cell r="AN67">
            <v>0</v>
          </cell>
        </row>
        <row r="68">
          <cell r="P68">
            <v>0</v>
          </cell>
          <cell r="S68">
            <v>0</v>
          </cell>
          <cell r="V68">
            <v>0</v>
          </cell>
          <cell r="Y68">
            <v>0</v>
          </cell>
          <cell r="AB68">
            <v>0</v>
          </cell>
          <cell r="AE68">
            <v>-2.0000000000000002E-5</v>
          </cell>
          <cell r="AH68">
            <v>1.91E-3</v>
          </cell>
          <cell r="AK68">
            <v>4.8900000000000002E-3</v>
          </cell>
          <cell r="AN68">
            <v>0</v>
          </cell>
        </row>
        <row r="69">
          <cell r="P69">
            <v>0</v>
          </cell>
          <cell r="S69">
            <v>0</v>
          </cell>
          <cell r="V69">
            <v>0</v>
          </cell>
          <cell r="Y69">
            <v>0</v>
          </cell>
          <cell r="AB69">
            <v>0</v>
          </cell>
          <cell r="AE69">
            <v>-2.0000000000000002E-5</v>
          </cell>
          <cell r="AH69">
            <v>1.4599999999999999E-3</v>
          </cell>
          <cell r="AK69">
            <v>3.7499999999999999E-3</v>
          </cell>
          <cell r="AN69">
            <v>0</v>
          </cell>
        </row>
        <row r="70">
          <cell r="P70">
            <v>0</v>
          </cell>
          <cell r="S70">
            <v>0</v>
          </cell>
          <cell r="V70">
            <v>0</v>
          </cell>
          <cell r="Y70">
            <v>0</v>
          </cell>
          <cell r="AB70">
            <v>0</v>
          </cell>
          <cell r="AE70">
            <v>-1.0000000000000001E-5</v>
          </cell>
          <cell r="AH70">
            <v>1.17E-3</v>
          </cell>
          <cell r="AK70">
            <v>3.0000000000000001E-3</v>
          </cell>
          <cell r="AN70">
            <v>0</v>
          </cell>
        </row>
        <row r="71">
          <cell r="P71">
            <v>0</v>
          </cell>
          <cell r="S71">
            <v>0</v>
          </cell>
          <cell r="V71">
            <v>0</v>
          </cell>
          <cell r="Y71">
            <v>0</v>
          </cell>
          <cell r="AB71">
            <v>0</v>
          </cell>
          <cell r="AE71">
            <v>-1.0000000000000001E-5</v>
          </cell>
          <cell r="AH71">
            <v>7.7999999999999999E-4</v>
          </cell>
          <cell r="AK71">
            <v>2E-3</v>
          </cell>
          <cell r="AN71">
            <v>0</v>
          </cell>
        </row>
        <row r="72">
          <cell r="P72">
            <v>0</v>
          </cell>
          <cell r="S72">
            <v>0</v>
          </cell>
          <cell r="V72">
            <v>0</v>
          </cell>
          <cell r="Y72">
            <v>0</v>
          </cell>
          <cell r="AB72">
            <v>0</v>
          </cell>
          <cell r="AE72">
            <v>0</v>
          </cell>
          <cell r="AH72">
            <v>2.9E-4</v>
          </cell>
          <cell r="AK72">
            <v>7.5000000000000002E-4</v>
          </cell>
          <cell r="AN72">
            <v>0</v>
          </cell>
        </row>
        <row r="73"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V73">
            <v>0</v>
          </cell>
          <cell r="Y73">
            <v>0</v>
          </cell>
          <cell r="AB73">
            <v>0</v>
          </cell>
          <cell r="AE73">
            <v>-3.0000000000000001E-5</v>
          </cell>
          <cell r="AH73">
            <v>2.1099999999999999E-3</v>
          </cell>
          <cell r="AK73">
            <v>5.4599999999999996E-3</v>
          </cell>
          <cell r="AN73">
            <v>0</v>
          </cell>
        </row>
        <row r="74">
          <cell r="P74">
            <v>0</v>
          </cell>
          <cell r="Q74">
            <v>0</v>
          </cell>
          <cell r="R74"/>
          <cell r="S74">
            <v>0</v>
          </cell>
          <cell r="T74">
            <v>0</v>
          </cell>
          <cell r="V74">
            <v>0</v>
          </cell>
          <cell r="Y74">
            <v>0</v>
          </cell>
          <cell r="AB74">
            <v>0</v>
          </cell>
          <cell r="AE74">
            <v>-2.0000000000000002E-5</v>
          </cell>
          <cell r="AH74">
            <v>1.89E-3</v>
          </cell>
          <cell r="AK74">
            <v>4.8900000000000002E-3</v>
          </cell>
          <cell r="AN74">
            <v>0</v>
          </cell>
        </row>
        <row r="75">
          <cell r="P75">
            <v>0</v>
          </cell>
          <cell r="Q75">
            <v>0</v>
          </cell>
          <cell r="R75"/>
          <cell r="S75">
            <v>0</v>
          </cell>
          <cell r="T75">
            <v>0</v>
          </cell>
          <cell r="V75">
            <v>0</v>
          </cell>
          <cell r="Y75">
            <v>0</v>
          </cell>
          <cell r="AB75">
            <v>0</v>
          </cell>
          <cell r="AE75">
            <v>-2.0000000000000002E-5</v>
          </cell>
          <cell r="AH75">
            <v>1.4499999999999999E-3</v>
          </cell>
          <cell r="AK75">
            <v>3.7499999999999999E-3</v>
          </cell>
          <cell r="AN75">
            <v>0</v>
          </cell>
        </row>
        <row r="76">
          <cell r="P76">
            <v>0</v>
          </cell>
          <cell r="Q76">
            <v>0</v>
          </cell>
          <cell r="R76"/>
          <cell r="S76">
            <v>0</v>
          </cell>
          <cell r="T76">
            <v>0</v>
          </cell>
          <cell r="V76">
            <v>0</v>
          </cell>
          <cell r="Y76">
            <v>0</v>
          </cell>
          <cell r="AB76">
            <v>0</v>
          </cell>
          <cell r="AE76">
            <v>-1.0000000000000001E-5</v>
          </cell>
          <cell r="AH76">
            <v>1.16E-3</v>
          </cell>
          <cell r="AK76">
            <v>3.0000000000000001E-3</v>
          </cell>
          <cell r="AN76">
            <v>0</v>
          </cell>
        </row>
        <row r="77">
          <cell r="P77">
            <v>0</v>
          </cell>
          <cell r="Q77">
            <v>0</v>
          </cell>
          <cell r="R77"/>
          <cell r="S77">
            <v>0</v>
          </cell>
          <cell r="T77">
            <v>0</v>
          </cell>
          <cell r="V77">
            <v>0</v>
          </cell>
          <cell r="Y77">
            <v>0</v>
          </cell>
          <cell r="AB77">
            <v>0</v>
          </cell>
          <cell r="AE77">
            <v>-1.0000000000000001E-5</v>
          </cell>
          <cell r="AH77">
            <v>7.6999999999999996E-4</v>
          </cell>
          <cell r="AK77">
            <v>2E-3</v>
          </cell>
          <cell r="AN77">
            <v>0</v>
          </cell>
        </row>
        <row r="78">
          <cell r="P78">
            <v>0</v>
          </cell>
          <cell r="Q78">
            <v>0</v>
          </cell>
          <cell r="R78"/>
          <cell r="S78">
            <v>0</v>
          </cell>
          <cell r="T78">
            <v>0</v>
          </cell>
          <cell r="V78">
            <v>0</v>
          </cell>
          <cell r="Y78">
            <v>0</v>
          </cell>
          <cell r="AB78">
            <v>0</v>
          </cell>
          <cell r="AE78">
            <v>0</v>
          </cell>
          <cell r="AH78">
            <v>2.9E-4</v>
          </cell>
          <cell r="AK78">
            <v>7.5000000000000002E-4</v>
          </cell>
          <cell r="AN78">
            <v>0</v>
          </cell>
        </row>
        <row r="79"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V79">
            <v>0</v>
          </cell>
          <cell r="Y79">
            <v>0</v>
          </cell>
          <cell r="AB79">
            <v>0</v>
          </cell>
          <cell r="AE79">
            <v>0</v>
          </cell>
          <cell r="AH79">
            <v>0</v>
          </cell>
          <cell r="AK79">
            <v>1.9000000000000001E-4</v>
          </cell>
          <cell r="AN79">
            <v>0</v>
          </cell>
        </row>
        <row r="80">
          <cell r="P80">
            <v>0</v>
          </cell>
          <cell r="S80">
            <v>0</v>
          </cell>
          <cell r="V80">
            <v>0</v>
          </cell>
          <cell r="Y80">
            <v>0</v>
          </cell>
          <cell r="AB80">
            <v>0</v>
          </cell>
          <cell r="AE80">
            <v>0</v>
          </cell>
          <cell r="AH80">
            <v>0</v>
          </cell>
          <cell r="AK80">
            <v>1.9000000000000001E-4</v>
          </cell>
          <cell r="AN80">
            <v>0</v>
          </cell>
        </row>
        <row r="88">
          <cell r="N88" t="str">
            <v>Sched 215</v>
          </cell>
          <cell r="W88" t="str">
            <v>Sched 230, Prg J</v>
          </cell>
          <cell r="Z88" t="str">
            <v>Sched 230, Prg I</v>
          </cell>
          <cell r="AC88" t="str">
            <v>Sched 209</v>
          </cell>
        </row>
      </sheetData>
      <sheetData sheetId="4"/>
      <sheetData sheetId="5">
        <row r="13">
          <cell r="M13">
            <v>3.0000000000000001E-5</v>
          </cell>
        </row>
        <row r="14">
          <cell r="M14">
            <v>0</v>
          </cell>
        </row>
        <row r="15">
          <cell r="M15">
            <v>2.0000000000000002E-5</v>
          </cell>
        </row>
        <row r="16">
          <cell r="M16">
            <v>2.0000000000000002E-5</v>
          </cell>
        </row>
        <row r="17">
          <cell r="M17">
            <v>2.0000000000000002E-5</v>
          </cell>
        </row>
        <row r="18">
          <cell r="M18">
            <v>3.0000000000000001E-5</v>
          </cell>
        </row>
        <row r="19">
          <cell r="M19">
            <v>1.0000000000000001E-5</v>
          </cell>
        </row>
        <row r="20">
          <cell r="M20">
            <v>1.0000000000000001E-5</v>
          </cell>
        </row>
        <row r="21">
          <cell r="M21">
            <v>1.0000000000000001E-5</v>
          </cell>
        </row>
        <row r="22">
          <cell r="M22">
            <v>1.0000000000000001E-5</v>
          </cell>
        </row>
        <row r="23">
          <cell r="M23">
            <v>0</v>
          </cell>
        </row>
        <row r="24">
          <cell r="M24">
            <v>0</v>
          </cell>
        </row>
        <row r="25">
          <cell r="M25">
            <v>0</v>
          </cell>
        </row>
        <row r="26">
          <cell r="M26">
            <v>0</v>
          </cell>
        </row>
        <row r="27">
          <cell r="M27">
            <v>1.0000000000000001E-5</v>
          </cell>
        </row>
        <row r="28">
          <cell r="M28">
            <v>1.0000000000000001E-5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1.0000000000000001E-5</v>
          </cell>
        </row>
        <row r="32">
          <cell r="M32">
            <v>1.0000000000000001E-5</v>
          </cell>
        </row>
        <row r="33">
          <cell r="M33">
            <v>1.0000000000000001E-5</v>
          </cell>
        </row>
        <row r="34">
          <cell r="M34">
            <v>1.0000000000000001E-5</v>
          </cell>
        </row>
        <row r="35">
          <cell r="M35">
            <v>1.0000000000000001E-5</v>
          </cell>
        </row>
        <row r="36">
          <cell r="M36">
            <v>1.0000000000000001E-5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2.0000000000000002E-5</v>
          </cell>
        </row>
        <row r="44">
          <cell r="M44">
            <v>2.0000000000000002E-5</v>
          </cell>
        </row>
        <row r="45">
          <cell r="M45">
            <v>2.0000000000000002E-5</v>
          </cell>
        </row>
        <row r="46">
          <cell r="M46">
            <v>1.0000000000000001E-5</v>
          </cell>
        </row>
        <row r="47">
          <cell r="M47">
            <v>1.0000000000000001E-5</v>
          </cell>
        </row>
        <row r="48">
          <cell r="M48">
            <v>1.0000000000000001E-5</v>
          </cell>
        </row>
        <row r="49">
          <cell r="M49">
            <v>1.0000000000000001E-5</v>
          </cell>
        </row>
        <row r="50">
          <cell r="M50">
            <v>1.0000000000000001E-5</v>
          </cell>
        </row>
        <row r="51">
          <cell r="M51">
            <v>1.0000000000000001E-5</v>
          </cell>
        </row>
        <row r="52">
          <cell r="M52">
            <v>1.0000000000000001E-5</v>
          </cell>
        </row>
        <row r="53">
          <cell r="M53">
            <v>1.0000000000000001E-5</v>
          </cell>
        </row>
        <row r="54">
          <cell r="M54">
            <v>1.0000000000000001E-5</v>
          </cell>
        </row>
        <row r="55">
          <cell r="M55">
            <v>1.0000000000000001E-5</v>
          </cell>
        </row>
        <row r="56">
          <cell r="M56">
            <v>1.0000000000000001E-5</v>
          </cell>
        </row>
        <row r="57">
          <cell r="M57">
            <v>1.0000000000000001E-5</v>
          </cell>
        </row>
        <row r="58">
          <cell r="M58">
            <v>1.0000000000000001E-5</v>
          </cell>
        </row>
        <row r="59">
          <cell r="M59">
            <v>1.0000000000000001E-5</v>
          </cell>
        </row>
        <row r="60">
          <cell r="M60">
            <v>1.0000000000000001E-5</v>
          </cell>
        </row>
        <row r="61">
          <cell r="M61">
            <v>1.0000000000000001E-5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M73">
            <v>1.0000000000000001E-5</v>
          </cell>
        </row>
        <row r="74">
          <cell r="M74">
            <v>1.0000000000000001E-5</v>
          </cell>
        </row>
        <row r="75">
          <cell r="M75">
            <v>1.0000000000000001E-5</v>
          </cell>
        </row>
        <row r="76">
          <cell r="M76">
            <v>1.0000000000000001E-5</v>
          </cell>
        </row>
        <row r="77">
          <cell r="M77">
            <v>1.0000000000000001E-5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</sheetData>
      <sheetData sheetId="6"/>
      <sheetData sheetId="7"/>
      <sheetData sheetId="8"/>
      <sheetData sheetId="9">
        <row r="10">
          <cell r="F10" t="str">
            <v>Mist Recall</v>
          </cell>
        </row>
        <row r="13">
          <cell r="F13">
            <v>2.4000000000000001E-4</v>
          </cell>
          <cell r="G13">
            <v>0.83493000000000039</v>
          </cell>
        </row>
        <row r="14">
          <cell r="F14">
            <v>1.6000000000000001E-4</v>
          </cell>
          <cell r="G14">
            <v>0.86323999999999967</v>
          </cell>
        </row>
        <row r="15">
          <cell r="F15">
            <v>1.1E-4</v>
          </cell>
          <cell r="G15">
            <v>0.55830999999999997</v>
          </cell>
        </row>
        <row r="16">
          <cell r="F16">
            <v>1E-4</v>
          </cell>
          <cell r="G16">
            <v>0.53360000000000007</v>
          </cell>
        </row>
        <row r="17">
          <cell r="F17">
            <v>9.0000000000000006E-5</v>
          </cell>
          <cell r="G17">
            <v>0.54393999999999976</v>
          </cell>
        </row>
        <row r="18">
          <cell r="F18">
            <v>2.5999999999999998E-4</v>
          </cell>
          <cell r="G18">
            <v>0.31279000000000001</v>
          </cell>
        </row>
        <row r="19">
          <cell r="F19">
            <v>8.0000000000000007E-5</v>
          </cell>
          <cell r="G19">
            <v>0.4161600000000002</v>
          </cell>
        </row>
        <row r="20">
          <cell r="F20">
            <v>6.9999999999999994E-5</v>
          </cell>
          <cell r="G20">
            <v>0.36669999999999997</v>
          </cell>
        </row>
        <row r="21">
          <cell r="F21">
            <v>6.9999999999999994E-5</v>
          </cell>
          <cell r="G21">
            <v>0.37154000000000031</v>
          </cell>
        </row>
        <row r="22">
          <cell r="F22">
            <v>6.0000000000000002E-5</v>
          </cell>
          <cell r="G22">
            <v>0.32736999999999988</v>
          </cell>
        </row>
        <row r="23">
          <cell r="F23">
            <v>6.9999999999999994E-5</v>
          </cell>
          <cell r="G23">
            <v>0.38460000000000016</v>
          </cell>
        </row>
        <row r="24">
          <cell r="F24">
            <v>6.0000000000000002E-5</v>
          </cell>
          <cell r="G24">
            <v>0.33885999999999994</v>
          </cell>
        </row>
        <row r="25">
          <cell r="F25">
            <v>6.9999999999999994E-5</v>
          </cell>
          <cell r="G25">
            <v>0.36384999999999995</v>
          </cell>
        </row>
        <row r="26">
          <cell r="F26">
            <v>6.0000000000000002E-5</v>
          </cell>
          <cell r="G26">
            <v>0.32056000000000001</v>
          </cell>
        </row>
        <row r="27">
          <cell r="F27">
            <v>0</v>
          </cell>
          <cell r="G27">
            <v>0.37784999999999996</v>
          </cell>
        </row>
        <row r="28">
          <cell r="F28">
            <v>0</v>
          </cell>
          <cell r="G28">
            <v>0.33291000000000004</v>
          </cell>
        </row>
        <row r="29">
          <cell r="F29">
            <v>0</v>
          </cell>
          <cell r="G29">
            <v>0.36781000000000003</v>
          </cell>
        </row>
        <row r="30">
          <cell r="F30">
            <v>0</v>
          </cell>
          <cell r="G30">
            <v>0.32406000000000013</v>
          </cell>
        </row>
        <row r="31">
          <cell r="F31">
            <v>4.0000000000000003E-5</v>
          </cell>
          <cell r="G31">
            <v>0.20613999999999982</v>
          </cell>
        </row>
        <row r="32">
          <cell r="F32">
            <v>4.0000000000000003E-5</v>
          </cell>
          <cell r="G32">
            <v>0.18451999999999966</v>
          </cell>
        </row>
        <row r="33">
          <cell r="F33">
            <v>3.0000000000000001E-5</v>
          </cell>
          <cell r="G33">
            <v>0.14152999999999993</v>
          </cell>
        </row>
        <row r="34">
          <cell r="F34">
            <v>2.0000000000000002E-5</v>
          </cell>
          <cell r="G34">
            <v>0.11320000000000026</v>
          </cell>
        </row>
        <row r="35">
          <cell r="F35">
            <v>2.0000000000000002E-5</v>
          </cell>
          <cell r="G35">
            <v>7.5470000000000009E-2</v>
          </cell>
        </row>
        <row r="36">
          <cell r="F36">
            <v>1.0000000000000001E-5</v>
          </cell>
          <cell r="G36">
            <v>2.8290000000000103E-2</v>
          </cell>
        </row>
        <row r="37">
          <cell r="F37">
            <v>5.0000000000000002E-5</v>
          </cell>
          <cell r="G37">
            <v>0.16645999999999997</v>
          </cell>
        </row>
        <row r="38">
          <cell r="F38">
            <v>4.0000000000000003E-5</v>
          </cell>
          <cell r="G38">
            <v>0.14899000000000007</v>
          </cell>
        </row>
        <row r="39">
          <cell r="F39">
            <v>3.0000000000000001E-5</v>
          </cell>
          <cell r="G39">
            <v>0.11424999999999978</v>
          </cell>
        </row>
        <row r="40">
          <cell r="F40">
            <v>2.0000000000000002E-5</v>
          </cell>
          <cell r="G40">
            <v>9.1400000000000065E-2</v>
          </cell>
        </row>
        <row r="41">
          <cell r="F41">
            <v>2.0000000000000002E-5</v>
          </cell>
          <cell r="G41">
            <v>6.0960000000000181E-2</v>
          </cell>
        </row>
        <row r="42">
          <cell r="F42">
            <v>1.0000000000000001E-5</v>
          </cell>
          <cell r="G42">
            <v>2.283999999999986E-2</v>
          </cell>
        </row>
        <row r="43">
          <cell r="F43">
            <v>0</v>
          </cell>
          <cell r="G43">
            <v>0.15441999999999997</v>
          </cell>
        </row>
        <row r="44">
          <cell r="F44">
            <v>0</v>
          </cell>
          <cell r="G44">
            <v>0.13824</v>
          </cell>
        </row>
        <row r="45">
          <cell r="F45">
            <v>0</v>
          </cell>
          <cell r="G45">
            <v>0.106</v>
          </cell>
        </row>
        <row r="46">
          <cell r="F46">
            <v>0</v>
          </cell>
          <cell r="G46">
            <v>8.481000000000001E-2</v>
          </cell>
        </row>
        <row r="47">
          <cell r="F47">
            <v>0</v>
          </cell>
          <cell r="G47">
            <v>5.654E-2</v>
          </cell>
        </row>
        <row r="48">
          <cell r="F48">
            <v>0</v>
          </cell>
          <cell r="G48">
            <v>2.12E-2</v>
          </cell>
        </row>
        <row r="49">
          <cell r="F49">
            <v>0</v>
          </cell>
          <cell r="G49">
            <v>0.15161000000000002</v>
          </cell>
        </row>
        <row r="50">
          <cell r="F50">
            <v>0</v>
          </cell>
          <cell r="G50">
            <v>0.13570999999999994</v>
          </cell>
        </row>
        <row r="51">
          <cell r="F51">
            <v>0</v>
          </cell>
          <cell r="G51">
            <v>0.10406000000000001</v>
          </cell>
        </row>
        <row r="52">
          <cell r="F52">
            <v>0</v>
          </cell>
          <cell r="G52">
            <v>8.3260000000000015E-2</v>
          </cell>
        </row>
        <row r="53">
          <cell r="F53">
            <v>0</v>
          </cell>
          <cell r="G53">
            <v>5.5500000000000001E-2</v>
          </cell>
        </row>
        <row r="54">
          <cell r="F54">
            <v>0</v>
          </cell>
          <cell r="G54">
            <v>2.0820000000000002E-2</v>
          </cell>
        </row>
        <row r="55">
          <cell r="F55">
            <v>3.0000000000000001E-5</v>
          </cell>
          <cell r="G55">
            <v>0.16875000000000009</v>
          </cell>
        </row>
        <row r="56">
          <cell r="F56">
            <v>3.0000000000000001E-5</v>
          </cell>
          <cell r="G56">
            <v>0.15105999999999983</v>
          </cell>
        </row>
        <row r="57">
          <cell r="F57">
            <v>2.0000000000000002E-5</v>
          </cell>
          <cell r="G57">
            <v>0.11582000000000012</v>
          </cell>
        </row>
        <row r="58">
          <cell r="F58">
            <v>2.0000000000000002E-5</v>
          </cell>
          <cell r="G58">
            <v>9.2659999999999937E-2</v>
          </cell>
        </row>
        <row r="59">
          <cell r="F59">
            <v>1.0000000000000001E-5</v>
          </cell>
          <cell r="G59">
            <v>6.1790000000000067E-2</v>
          </cell>
        </row>
        <row r="60">
          <cell r="F60">
            <v>0</v>
          </cell>
          <cell r="G60">
            <v>2.316999999999993E-2</v>
          </cell>
        </row>
        <row r="61">
          <cell r="F61">
            <v>4.0000000000000003E-5</v>
          </cell>
          <cell r="G61">
            <v>0.16356999999999991</v>
          </cell>
        </row>
        <row r="62">
          <cell r="F62">
            <v>4.0000000000000003E-5</v>
          </cell>
          <cell r="G62">
            <v>0.14641999999999997</v>
          </cell>
        </row>
        <row r="63">
          <cell r="F63">
            <v>3.0000000000000001E-5</v>
          </cell>
          <cell r="G63">
            <v>0.11228000000000012</v>
          </cell>
        </row>
        <row r="64">
          <cell r="F64">
            <v>2.0000000000000002E-5</v>
          </cell>
          <cell r="G64">
            <v>8.9829999999999688E-2</v>
          </cell>
        </row>
        <row r="65">
          <cell r="F65">
            <v>1.0000000000000001E-5</v>
          </cell>
          <cell r="G65">
            <v>5.9870000000000007E-2</v>
          </cell>
        </row>
        <row r="66">
          <cell r="F66">
            <v>1.0000000000000001E-5</v>
          </cell>
          <cell r="G66">
            <v>2.2449999999999973E-2</v>
          </cell>
        </row>
        <row r="67">
          <cell r="F67">
            <v>0</v>
          </cell>
          <cell r="G67">
            <v>0.14168999999999998</v>
          </cell>
        </row>
        <row r="68">
          <cell r="F68">
            <v>0</v>
          </cell>
          <cell r="G68">
            <v>0.12684999999999999</v>
          </cell>
        </row>
        <row r="69">
          <cell r="F69">
            <v>0</v>
          </cell>
          <cell r="G69">
            <v>9.7269999999999995E-2</v>
          </cell>
        </row>
        <row r="70">
          <cell r="F70">
            <v>0</v>
          </cell>
          <cell r="G70">
            <v>7.782E-2</v>
          </cell>
        </row>
        <row r="71">
          <cell r="F71">
            <v>0</v>
          </cell>
          <cell r="G71">
            <v>5.1889999999999999E-2</v>
          </cell>
        </row>
        <row r="72">
          <cell r="F72">
            <v>0</v>
          </cell>
          <cell r="G72">
            <v>1.9439999999999999E-2</v>
          </cell>
        </row>
        <row r="73">
          <cell r="F73">
            <v>0</v>
          </cell>
          <cell r="G73">
            <v>0.14429999999999998</v>
          </cell>
        </row>
        <row r="74">
          <cell r="F74">
            <v>0</v>
          </cell>
          <cell r="G74">
            <v>0.12916999999999998</v>
          </cell>
        </row>
        <row r="75">
          <cell r="F75">
            <v>0</v>
          </cell>
          <cell r="G75">
            <v>9.9049999999999985E-2</v>
          </cell>
        </row>
        <row r="76">
          <cell r="F76">
            <v>0</v>
          </cell>
          <cell r="G76">
            <v>7.9250000000000001E-2</v>
          </cell>
        </row>
        <row r="77">
          <cell r="F77">
            <v>0</v>
          </cell>
          <cell r="G77">
            <v>5.2839999999999998E-2</v>
          </cell>
        </row>
        <row r="78">
          <cell r="F78">
            <v>0</v>
          </cell>
          <cell r="G78">
            <v>1.9810000000000001E-2</v>
          </cell>
        </row>
        <row r="79">
          <cell r="F79">
            <v>0</v>
          </cell>
          <cell r="G79">
            <v>4.9099999999999994E-3</v>
          </cell>
        </row>
        <row r="80">
          <cell r="F80">
            <v>0</v>
          </cell>
          <cell r="G80">
            <v>4.9099999999999994E-3</v>
          </cell>
        </row>
        <row r="81">
          <cell r="F81"/>
          <cell r="G81"/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DFE0-22B2-4807-A0AE-6489282E8C7F}">
  <sheetPr>
    <tabColor theme="0" tint="-0.14999847407452621"/>
    <pageSetUpPr fitToPage="1"/>
  </sheetPr>
  <dimension ref="A1:BJ96"/>
  <sheetViews>
    <sheetView tabSelected="1" view="pageLayout" zoomScaleNormal="100" workbookViewId="0">
      <selection activeCell="I13" sqref="I13:I80"/>
    </sheetView>
  </sheetViews>
  <sheetFormatPr defaultColWidth="9.296875" defaultRowHeight="14.5" outlineLevelCol="1" x14ac:dyDescent="0.35"/>
  <cols>
    <col min="1" max="1" width="4.796875" style="224" customWidth="1"/>
    <col min="2" max="2" width="17.296875" style="224" customWidth="1"/>
    <col min="3" max="3" width="9.296875" style="224" customWidth="1"/>
    <col min="4" max="5" width="14.796875" style="225" customWidth="1"/>
    <col min="6" max="10" width="14.796875" style="224" customWidth="1"/>
    <col min="11" max="13" width="13.796875" style="224" hidden="1" customWidth="1"/>
    <col min="14" max="14" width="17.796875" style="224" hidden="1" customWidth="1"/>
    <col min="15" max="16" width="16.796875" style="224" hidden="1" customWidth="1"/>
    <col min="17" max="17" width="16.69921875" style="224" hidden="1" customWidth="1" outlineLevel="1"/>
    <col min="18" max="18" width="19" style="224" hidden="1" customWidth="1" collapsed="1"/>
    <col min="19" max="20" width="14.796875" style="224" hidden="1" customWidth="1" outlineLevel="1"/>
    <col min="21" max="21" width="13.796875" style="224" hidden="1" customWidth="1" outlineLevel="1"/>
    <col min="22" max="22" width="12.796875" style="224" hidden="1" customWidth="1" outlineLevel="1"/>
    <col min="23" max="23" width="17.796875" style="224" hidden="1" customWidth="1" collapsed="1"/>
    <col min="24" max="32" width="15.796875" style="224" hidden="1" customWidth="1"/>
    <col min="33" max="33" width="12.69921875" style="224" hidden="1" customWidth="1"/>
    <col min="34" max="34" width="15.19921875" style="224" hidden="1" customWidth="1"/>
    <col min="35" max="36" width="15.796875" style="224" hidden="1" customWidth="1"/>
    <col min="37" max="37" width="11" style="224" hidden="1" customWidth="1"/>
    <col min="38" max="39" width="15.796875" style="224" hidden="1" customWidth="1"/>
    <col min="40" max="40" width="14.19921875" style="224" hidden="1" customWidth="1"/>
    <col min="41" max="43" width="15.796875" style="224" hidden="1" customWidth="1"/>
    <col min="44" max="44" width="5.796875" style="224" hidden="1" customWidth="1"/>
    <col min="45" max="51" width="17.796875" style="224" hidden="1" customWidth="1"/>
    <col min="52" max="52" width="16.796875" style="224" hidden="1" customWidth="1"/>
    <col min="53" max="53" width="24.296875" style="224" hidden="1" customWidth="1"/>
    <col min="54" max="54" width="23.19921875" style="224" hidden="1" customWidth="1"/>
    <col min="55" max="55" width="16.796875" style="224" hidden="1" customWidth="1"/>
    <col min="56" max="56" width="17.796875" style="224" hidden="1" customWidth="1"/>
    <col min="57" max="62" width="16.796875" style="224" hidden="1" customWidth="1"/>
    <col min="63" max="63" width="16.796875" style="224" customWidth="1"/>
    <col min="64" max="76" width="15.796875" style="224" customWidth="1"/>
    <col min="77" max="16384" width="9.296875" style="224"/>
  </cols>
  <sheetData>
    <row r="1" spans="1:62" x14ac:dyDescent="0.35">
      <c r="A1" s="315" t="str">
        <f>+'[9]Washington volumes'!A1</f>
        <v>NW Natural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62" x14ac:dyDescent="0.35">
      <c r="A2" s="315" t="str">
        <f>+'[9]Washington volumes'!A2</f>
        <v>Rates &amp; Regulatory Affairs</v>
      </c>
      <c r="B2" s="235"/>
      <c r="C2" s="235"/>
      <c r="D2" s="235"/>
      <c r="E2" s="235"/>
      <c r="F2" s="235"/>
      <c r="G2" s="235"/>
      <c r="H2" s="235"/>
      <c r="I2" s="235"/>
      <c r="J2" s="235"/>
    </row>
    <row r="3" spans="1:62" x14ac:dyDescent="0.35">
      <c r="A3" s="315" t="str">
        <f>+'[9]Washington volumes'!A3</f>
        <v>2025-2026 PGA Filing - Washington: September Filing</v>
      </c>
      <c r="B3" s="235"/>
      <c r="C3" s="235"/>
      <c r="D3" s="235"/>
      <c r="E3" s="235"/>
      <c r="F3" s="235"/>
      <c r="G3" s="235"/>
      <c r="H3" s="235"/>
      <c r="I3" s="235"/>
      <c r="J3" s="235"/>
      <c r="V3" s="243"/>
    </row>
    <row r="4" spans="1:62" x14ac:dyDescent="0.35">
      <c r="A4" s="315" t="s">
        <v>96</v>
      </c>
      <c r="B4" s="235"/>
      <c r="C4" s="235"/>
      <c r="D4" s="235"/>
      <c r="E4" s="235"/>
      <c r="F4" s="235"/>
      <c r="G4" s="235"/>
      <c r="H4" s="235"/>
      <c r="I4" s="235"/>
      <c r="J4" s="235"/>
    </row>
    <row r="5" spans="1:62" x14ac:dyDescent="0.35">
      <c r="A5" s="235"/>
      <c r="B5" s="235"/>
      <c r="C5" s="235"/>
      <c r="D5" s="235"/>
      <c r="E5" s="235"/>
      <c r="F5" s="235"/>
      <c r="G5" s="235"/>
      <c r="H5" s="235"/>
      <c r="I5" s="235"/>
      <c r="J5" s="235"/>
      <c r="O5" s="243"/>
      <c r="P5" s="243"/>
      <c r="V5" s="244"/>
    </row>
    <row r="6" spans="1:62" x14ac:dyDescent="0.35">
      <c r="A6" s="315"/>
      <c r="B6" s="315"/>
      <c r="C6" s="315"/>
      <c r="D6" s="315"/>
      <c r="E6" s="315"/>
      <c r="F6" s="259"/>
      <c r="G6" s="235"/>
      <c r="H6" s="259"/>
      <c r="I6" s="235"/>
      <c r="J6" s="235"/>
      <c r="V6" s="244"/>
      <c r="Z6" s="314"/>
    </row>
    <row r="7" spans="1:62" x14ac:dyDescent="0.35">
      <c r="A7" s="233">
        <v>1</v>
      </c>
      <c r="B7" s="235"/>
      <c r="C7" s="235"/>
      <c r="D7" s="235"/>
      <c r="E7" s="235"/>
      <c r="F7" s="259"/>
      <c r="G7" s="259"/>
      <c r="H7" s="235"/>
      <c r="I7" s="235"/>
      <c r="J7" s="235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313"/>
      <c r="W7" s="243"/>
      <c r="Z7" s="302" t="s">
        <v>97</v>
      </c>
      <c r="AA7" s="301" t="s">
        <v>98</v>
      </c>
      <c r="AB7" s="299" t="s">
        <v>99</v>
      </c>
      <c r="AC7" s="299"/>
      <c r="AD7" s="299"/>
      <c r="AE7" s="299"/>
      <c r="AF7" s="299"/>
      <c r="AG7" s="299"/>
      <c r="AH7" s="642" t="s">
        <v>100</v>
      </c>
      <c r="AI7" s="299"/>
      <c r="AJ7" s="299"/>
      <c r="AK7" s="299"/>
      <c r="AL7" s="299"/>
      <c r="AM7" s="299"/>
      <c r="AN7" s="299"/>
      <c r="AO7" s="305" t="s">
        <v>101</v>
      </c>
      <c r="AP7" s="305"/>
      <c r="AQ7" s="305"/>
      <c r="AR7" s="299"/>
      <c r="AS7" s="299"/>
      <c r="AT7" s="299"/>
      <c r="AU7" s="299"/>
      <c r="AV7" s="299"/>
      <c r="AW7" s="291" t="s">
        <v>102</v>
      </c>
      <c r="AX7" s="291" t="s">
        <v>102</v>
      </c>
      <c r="AY7" s="291" t="s">
        <v>102</v>
      </c>
      <c r="AZ7" s="291" t="s">
        <v>102</v>
      </c>
      <c r="BA7" s="291" t="s">
        <v>102</v>
      </c>
      <c r="BB7" s="291" t="s">
        <v>102</v>
      </c>
      <c r="BC7" s="291" t="s">
        <v>102</v>
      </c>
      <c r="BD7" s="291" t="s">
        <v>102</v>
      </c>
      <c r="BE7" s="312">
        <v>45292</v>
      </c>
      <c r="BF7" s="312">
        <v>45292</v>
      </c>
      <c r="BG7" s="291"/>
      <c r="BI7" s="304"/>
      <c r="BJ7" s="304"/>
    </row>
    <row r="8" spans="1:62" ht="29.15" customHeight="1" x14ac:dyDescent="0.35">
      <c r="A8" s="233">
        <f t="shared" ref="A8:A39" si="0">+A7+1</f>
        <v>2</v>
      </c>
      <c r="B8" s="235"/>
      <c r="C8" s="235"/>
      <c r="D8" s="311" t="s">
        <v>103</v>
      </c>
      <c r="E8" s="311" t="s">
        <v>102</v>
      </c>
      <c r="F8" s="259"/>
      <c r="G8" s="235"/>
      <c r="H8" s="235"/>
      <c r="I8" s="235"/>
      <c r="J8" s="235"/>
      <c r="K8" s="310"/>
      <c r="L8" s="310"/>
      <c r="M8" s="310"/>
      <c r="N8" s="309"/>
      <c r="O8" s="308"/>
      <c r="P8" s="308"/>
      <c r="Q8" s="308"/>
      <c r="R8" s="308"/>
      <c r="S8" s="308"/>
      <c r="T8" s="308"/>
      <c r="U8" s="269"/>
      <c r="V8" s="269"/>
      <c r="W8" s="307" t="s">
        <v>104</v>
      </c>
      <c r="X8" s="306"/>
      <c r="Z8" s="302" t="s">
        <v>105</v>
      </c>
      <c r="AA8" s="301" t="s">
        <v>106</v>
      </c>
      <c r="AB8" s="299"/>
      <c r="AC8" s="299"/>
      <c r="AD8" s="299"/>
      <c r="AE8" s="299"/>
      <c r="AF8" s="299"/>
      <c r="AG8" s="299"/>
      <c r="AH8" s="642"/>
      <c r="AI8" s="299"/>
      <c r="AJ8" s="299"/>
      <c r="AK8" s="299"/>
      <c r="AL8" s="299"/>
      <c r="AM8" s="299"/>
      <c r="AN8" s="299"/>
      <c r="AO8" s="305" t="s">
        <v>107</v>
      </c>
      <c r="AP8" s="305"/>
      <c r="AQ8" s="305"/>
      <c r="AR8" s="299"/>
      <c r="AS8" s="299"/>
      <c r="AT8" s="299"/>
      <c r="AU8" s="299"/>
      <c r="AV8" s="299"/>
      <c r="AW8" s="266"/>
      <c r="AX8" s="266"/>
      <c r="AY8" s="266"/>
      <c r="AZ8" s="266" t="s">
        <v>108</v>
      </c>
      <c r="BA8" s="266" t="s">
        <v>109</v>
      </c>
      <c r="BB8" s="266"/>
      <c r="BC8" s="266"/>
      <c r="BD8" s="266"/>
      <c r="BE8" s="266"/>
      <c r="BF8" s="266"/>
      <c r="BG8" s="266"/>
      <c r="BI8" s="304"/>
      <c r="BJ8" s="304"/>
    </row>
    <row r="9" spans="1:62" ht="15" customHeight="1" x14ac:dyDescent="0.35">
      <c r="A9" s="233">
        <f t="shared" si="0"/>
        <v>3</v>
      </c>
      <c r="B9" s="235"/>
      <c r="C9" s="235"/>
      <c r="D9" s="275" t="s">
        <v>110</v>
      </c>
      <c r="E9" s="275" t="s">
        <v>110</v>
      </c>
      <c r="F9" s="275" t="s">
        <v>111</v>
      </c>
      <c r="G9" s="275" t="s">
        <v>111</v>
      </c>
      <c r="H9" s="275" t="s">
        <v>111</v>
      </c>
      <c r="I9" s="275"/>
      <c r="J9" s="275"/>
      <c r="K9" s="269"/>
      <c r="L9" s="269"/>
      <c r="M9" s="269"/>
      <c r="N9" s="269"/>
      <c r="O9" s="269"/>
      <c r="P9" s="269"/>
      <c r="Q9" s="269"/>
      <c r="R9" s="269"/>
      <c r="S9" s="303"/>
      <c r="T9" s="303"/>
      <c r="U9" s="303"/>
      <c r="V9" s="303"/>
      <c r="W9" s="243">
        <f>' Increments  equal ¢ per therm'!H15+' Increments  equal ¢ per therm'!K15+' Increments  equal ¢ per therm'!N15+' Increments  equal ¢ per therm'!Q15+' Increments  equal ¢ per therm'!T15+' Increments  equal ¢ per therm'!W15+'[9]Allocation = % of revenue'!M15+'[9]Allocation = % of margin'!P15+'[9]Allocation = % of margin'!S15+'[9]Allocation = % of margin'!V15+'[9]Allocation = % of margin'!Y15+'[9]Allocation = % of margin'!AB15+'[9]Allocation = % of margin'!AE15+'[9]Allocation = % of margin'!AH15+'[9]Allocation = % of margin'!AK15-W15</f>
        <v>0</v>
      </c>
      <c r="Z9" s="302" t="s">
        <v>112</v>
      </c>
      <c r="AA9" s="301" t="s">
        <v>112</v>
      </c>
      <c r="AB9" s="294" t="s">
        <v>113</v>
      </c>
      <c r="AC9" s="294"/>
      <c r="AD9" s="294"/>
      <c r="AE9" s="294"/>
      <c r="AF9" s="300"/>
      <c r="AG9" s="299"/>
      <c r="AH9" s="642"/>
      <c r="AI9" s="298" t="s">
        <v>114</v>
      </c>
      <c r="AJ9" s="298" t="s">
        <v>108</v>
      </c>
      <c r="AK9" s="298" t="s">
        <v>115</v>
      </c>
      <c r="AL9" s="298" t="s">
        <v>116</v>
      </c>
      <c r="AM9" s="298"/>
      <c r="AN9" s="298" t="s">
        <v>115</v>
      </c>
      <c r="AO9" s="297" t="s">
        <v>115</v>
      </c>
      <c r="AP9" s="296"/>
      <c r="AQ9" s="296"/>
      <c r="AR9" s="295"/>
      <c r="AS9" s="294" t="s">
        <v>117</v>
      </c>
      <c r="AT9" s="294"/>
      <c r="AU9" s="293"/>
      <c r="AV9" s="293"/>
      <c r="AW9" s="292"/>
      <c r="AX9" s="292"/>
      <c r="AY9" s="292"/>
      <c r="AZ9" s="291"/>
      <c r="BA9" s="291"/>
      <c r="BB9" s="291"/>
      <c r="BC9" s="291"/>
      <c r="BD9" s="291"/>
      <c r="BE9" s="291"/>
      <c r="BF9" s="291"/>
      <c r="BG9" s="291"/>
      <c r="BI9" s="290" t="s">
        <v>118</v>
      </c>
      <c r="BJ9" s="289"/>
    </row>
    <row r="10" spans="1:62" s="265" customFormat="1" ht="63.75" customHeight="1" thickBot="1" x14ac:dyDescent="0.4">
      <c r="A10" s="233">
        <f t="shared" si="0"/>
        <v>4</v>
      </c>
      <c r="B10" s="235"/>
      <c r="C10" s="235"/>
      <c r="D10" s="288" t="s">
        <v>119</v>
      </c>
      <c r="E10" s="288" t="s">
        <v>120</v>
      </c>
      <c r="F10" s="288" t="s">
        <v>121</v>
      </c>
      <c r="G10" s="288" t="s">
        <v>122</v>
      </c>
      <c r="H10" s="288" t="s">
        <v>123</v>
      </c>
      <c r="I10" s="288" t="s">
        <v>124</v>
      </c>
      <c r="J10" s="288" t="s">
        <v>125</v>
      </c>
      <c r="K10" s="284" t="str">
        <f>+[9]Inputs!C42</f>
        <v>R&amp;C Energy Efficiency Programs - Forecast</v>
      </c>
      <c r="L10" s="284" t="str">
        <f>[9]Inputs!C56</f>
        <v>R&amp;C Energy Efficiency Programs - Deferral</v>
      </c>
      <c r="M10" s="284" t="str">
        <f>[9]Inputs!C50</f>
        <v>R&amp;C Energy Efficiency Programs - Historical</v>
      </c>
      <c r="N10" s="284" t="str">
        <f>+'[9]Allocation = % of margin'!W7</f>
        <v>Low Income Bill Pay Assistance (GREAT)</v>
      </c>
      <c r="O10" s="284" t="str">
        <f>+'[9]Allocation = % of margin'!Z7</f>
        <v>WA-LIEE</v>
      </c>
      <c r="P10" s="287" t="str">
        <f>[9]Inputs!C60</f>
        <v>Lincoln City Sale</v>
      </c>
      <c r="Q10" s="286" t="s">
        <v>126</v>
      </c>
      <c r="R10" s="284" t="s">
        <v>127</v>
      </c>
      <c r="S10" s="286" t="s">
        <v>128</v>
      </c>
      <c r="T10" s="286" t="s">
        <v>129</v>
      </c>
      <c r="U10" s="285" t="str">
        <f>'[9]Allocation = % of margin'!AJ7</f>
        <v xml:space="preserve">Residental Bill Discount Program </v>
      </c>
      <c r="V10" s="285" t="s">
        <v>130</v>
      </c>
      <c r="W10" s="284" t="s">
        <v>131</v>
      </c>
      <c r="X10" s="284" t="s">
        <v>132</v>
      </c>
      <c r="Z10" s="281" t="s">
        <v>133</v>
      </c>
      <c r="AA10" s="281" t="s">
        <v>134</v>
      </c>
      <c r="AB10" s="281" t="s">
        <v>135</v>
      </c>
      <c r="AC10" s="281" t="s">
        <v>136</v>
      </c>
      <c r="AD10" s="281" t="s">
        <v>137</v>
      </c>
      <c r="AE10" s="281" t="s">
        <v>138</v>
      </c>
      <c r="AF10" s="281" t="s">
        <v>139</v>
      </c>
      <c r="AI10" s="281" t="s">
        <v>140</v>
      </c>
      <c r="AJ10" s="281" t="str">
        <f>R10</f>
        <v>Environmental  Cost Recovery Mechanism (ECRM)</v>
      </c>
      <c r="AK10" s="282" t="str">
        <f>S10</f>
        <v>Industrial EE Audit</v>
      </c>
      <c r="AL10" s="281" t="s">
        <v>141</v>
      </c>
      <c r="AM10" s="283" t="str">
        <f>P10</f>
        <v>Lincoln City Sale</v>
      </c>
      <c r="AN10" s="282" t="str">
        <f>T10</f>
        <v>WA Regulatory Fee</v>
      </c>
      <c r="AO10" s="281" t="str">
        <f>[9]Permanents!F10</f>
        <v>Mist Recall</v>
      </c>
      <c r="AP10" s="280" t="str">
        <f>U10</f>
        <v xml:space="preserve">Residental Bill Discount Program </v>
      </c>
      <c r="AQ10" s="280" t="str">
        <f>V10</f>
        <v xml:space="preserve">CCA Recovery </v>
      </c>
      <c r="AR10" s="234"/>
      <c r="AS10" s="234" t="s">
        <v>142</v>
      </c>
      <c r="AT10" s="234" t="s">
        <v>143</v>
      </c>
      <c r="AU10" s="279" t="s">
        <v>144</v>
      </c>
      <c r="AV10" s="234" t="s">
        <v>145</v>
      </c>
      <c r="AW10" s="277"/>
      <c r="AX10" s="277"/>
      <c r="AY10" s="277"/>
      <c r="AZ10" s="278"/>
      <c r="BA10" s="277"/>
      <c r="BB10" s="277"/>
      <c r="BC10" s="277"/>
      <c r="BD10" s="277"/>
      <c r="BE10" s="277"/>
      <c r="BF10" s="277"/>
      <c r="BG10" s="277"/>
      <c r="BI10" s="274" t="s">
        <v>146</v>
      </c>
      <c r="BJ10" s="274" t="s">
        <v>147</v>
      </c>
    </row>
    <row r="11" spans="1:62" s="265" customFormat="1" x14ac:dyDescent="0.35">
      <c r="A11" s="233">
        <f t="shared" si="0"/>
        <v>5</v>
      </c>
      <c r="B11" s="235"/>
      <c r="C11" s="235"/>
      <c r="D11" s="276"/>
      <c r="E11" s="276"/>
      <c r="F11" s="276"/>
      <c r="G11" s="276"/>
      <c r="H11" s="275"/>
      <c r="I11" s="275" t="s">
        <v>148</v>
      </c>
      <c r="J11" s="275" t="s">
        <v>149</v>
      </c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 t="s">
        <v>150</v>
      </c>
      <c r="X11" s="269" t="s">
        <v>151</v>
      </c>
      <c r="Z11" s="274"/>
      <c r="AG11" s="270" t="s">
        <v>152</v>
      </c>
      <c r="AH11" s="234"/>
      <c r="AI11" s="269"/>
      <c r="AJ11" s="269"/>
      <c r="AO11" s="269"/>
      <c r="AP11" s="269"/>
      <c r="AQ11" s="269"/>
      <c r="AS11" s="265" t="s">
        <v>153</v>
      </c>
      <c r="AW11" s="640" t="s">
        <v>24</v>
      </c>
      <c r="AX11" s="640" t="s">
        <v>154</v>
      </c>
      <c r="AY11" s="640" t="s">
        <v>155</v>
      </c>
      <c r="AZ11" s="640" t="s">
        <v>156</v>
      </c>
      <c r="BA11" s="640" t="s">
        <v>157</v>
      </c>
      <c r="BB11" s="640" t="s">
        <v>158</v>
      </c>
      <c r="BC11" s="273"/>
      <c r="BD11" s="273"/>
      <c r="BE11" s="266"/>
      <c r="BF11" s="266"/>
      <c r="BG11" s="266"/>
    </row>
    <row r="12" spans="1:62" s="265" customFormat="1" ht="15" customHeight="1" thickBot="1" x14ac:dyDescent="0.4">
      <c r="A12" s="233">
        <f t="shared" si="0"/>
        <v>6</v>
      </c>
      <c r="B12" s="263" t="s">
        <v>29</v>
      </c>
      <c r="C12" s="263" t="s">
        <v>30</v>
      </c>
      <c r="D12" s="272" t="s">
        <v>31</v>
      </c>
      <c r="E12" s="272" t="s">
        <v>32</v>
      </c>
      <c r="F12" s="272" t="s">
        <v>33</v>
      </c>
      <c r="G12" s="272" t="s">
        <v>34</v>
      </c>
      <c r="H12" s="272" t="s">
        <v>35</v>
      </c>
      <c r="I12" s="272" t="s">
        <v>36</v>
      </c>
      <c r="J12" s="272" t="s">
        <v>37</v>
      </c>
      <c r="K12" s="271" t="s">
        <v>38</v>
      </c>
      <c r="L12" s="271" t="s">
        <v>38</v>
      </c>
      <c r="M12" s="271" t="s">
        <v>39</v>
      </c>
      <c r="N12" s="271" t="s">
        <v>40</v>
      </c>
      <c r="O12" s="271" t="s">
        <v>41</v>
      </c>
      <c r="P12" s="271" t="s">
        <v>42</v>
      </c>
      <c r="Q12" s="271" t="s">
        <v>43</v>
      </c>
      <c r="R12" s="271" t="s">
        <v>44</v>
      </c>
      <c r="S12" s="271" t="s">
        <v>45</v>
      </c>
      <c r="T12" s="271" t="s">
        <v>46</v>
      </c>
      <c r="U12" s="271" t="s">
        <v>47</v>
      </c>
      <c r="V12" s="271"/>
      <c r="W12" s="271" t="s">
        <v>48</v>
      </c>
      <c r="X12" s="271" t="s">
        <v>49</v>
      </c>
      <c r="AG12" s="270" t="s">
        <v>159</v>
      </c>
      <c r="AH12" s="234"/>
      <c r="AI12" s="269"/>
      <c r="AJ12" s="269"/>
      <c r="AO12" s="269"/>
      <c r="AP12" s="269"/>
      <c r="AQ12" s="269"/>
      <c r="AW12" s="641"/>
      <c r="AX12" s="641"/>
      <c r="AY12" s="641"/>
      <c r="AZ12" s="641" t="s">
        <v>160</v>
      </c>
      <c r="BA12" s="641"/>
      <c r="BB12" s="641"/>
      <c r="BC12" s="268" t="s">
        <v>128</v>
      </c>
      <c r="BD12" s="268" t="s">
        <v>129</v>
      </c>
      <c r="BE12" s="267" t="s">
        <v>161</v>
      </c>
      <c r="BF12" s="267" t="s">
        <v>130</v>
      </c>
      <c r="BG12" s="266"/>
      <c r="BH12" s="265" t="s">
        <v>162</v>
      </c>
    </row>
    <row r="13" spans="1:62" x14ac:dyDescent="0.35">
      <c r="A13" s="233">
        <f t="shared" si="0"/>
        <v>7</v>
      </c>
      <c r="B13" s="254" t="s">
        <v>55</v>
      </c>
      <c r="C13" s="254"/>
      <c r="D13" s="251">
        <v>0.29749999999999999</v>
      </c>
      <c r="E13" s="251">
        <v>-0.12498000000000001</v>
      </c>
      <c r="F13" s="251">
        <f>+' Increments  equal ¢ per therm'!H13</f>
        <v>-0.14299000000000001</v>
      </c>
      <c r="G13" s="251">
        <f>+' Increments  equal ¢ per therm'!K13</f>
        <v>-2.7019999999999999E-2</v>
      </c>
      <c r="H13" s="251">
        <f>+' Increments  equal ¢ per therm'!N13</f>
        <v>0</v>
      </c>
      <c r="I13" s="251">
        <f t="shared" ref="I13:I44" si="1">SUM(F13:H13)</f>
        <v>-0.17000999999999999</v>
      </c>
      <c r="J13" s="251">
        <f t="shared" ref="J13:J44" si="2">I13-E13</f>
        <v>-4.5029999999999987E-2</v>
      </c>
      <c r="K13" s="249">
        <f>+'[9]Allocation = % of margin'!P13</f>
        <v>0.14388999999999999</v>
      </c>
      <c r="L13" s="249">
        <f>+'[9]Allocation = % of margin'!S13</f>
        <v>-1.7799999999999999E-3</v>
      </c>
      <c r="M13" s="249">
        <f>+'[9]Allocation = % of margin'!V13</f>
        <v>0</v>
      </c>
      <c r="N13" s="249">
        <f>+'[9]Allocation = % of margin'!Y13</f>
        <v>2.0049999999999998E-2</v>
      </c>
      <c r="O13" s="249">
        <f>+'[9]Allocation = % of margin'!AB13</f>
        <v>3.2299999999999998E-3</v>
      </c>
      <c r="P13" s="249">
        <f>'[9]Allocation = % of margin'!AE13</f>
        <v>-2.3000000000000001E-4</v>
      </c>
      <c r="Q13" s="249">
        <f>' Increments  equal ¢ per therm'!Q13</f>
        <v>0</v>
      </c>
      <c r="R13" s="249">
        <f>'[9]Allocation = % of margin'!AH13</f>
        <v>1.8579999999999999E-2</v>
      </c>
      <c r="S13" s="249">
        <f>' Increments  equal ¢ per therm'!T13</f>
        <v>0</v>
      </c>
      <c r="T13" s="249">
        <f>'[9]Allocation = % of revenue'!M13</f>
        <v>3.0000000000000001E-5</v>
      </c>
      <c r="U13" s="249">
        <f>'[9]Allocation = % of margin'!AK13</f>
        <v>3.7949999999999998E-2</v>
      </c>
      <c r="V13" s="249">
        <f>' Increments  equal ¢ per therm'!W13</f>
        <v>0.24073</v>
      </c>
      <c r="W13" s="249">
        <f t="shared" ref="W13:W44" si="3">I13+SUM(K13:V13)</f>
        <v>0.29243999999999998</v>
      </c>
      <c r="X13" s="249">
        <f t="shared" ref="X13:X44" si="4">+W13-D13</f>
        <v>-5.0600000000000089E-3</v>
      </c>
      <c r="Y13" s="243"/>
      <c r="Z13" s="248">
        <f t="shared" ref="Z13:Z44" si="5">+W13-K13-M13-L13</f>
        <v>0.15032999999999999</v>
      </c>
      <c r="AA13" s="248">
        <f t="shared" ref="AA13:AA44" si="6">+Q13+O13+N13+R13+S13+T13+U13</f>
        <v>7.9839999999999994E-2</v>
      </c>
      <c r="AB13" s="248">
        <f t="shared" ref="AB13:AB44" si="7">+F13</f>
        <v>-0.14299000000000001</v>
      </c>
      <c r="AC13" s="248">
        <f t="shared" ref="AC13:AC44" si="8">+G13+H13</f>
        <v>-2.7019999999999999E-2</v>
      </c>
      <c r="AD13" s="248">
        <f t="shared" ref="AD13:AD44" si="9">SUM(K13:V13)</f>
        <v>0.46244999999999997</v>
      </c>
      <c r="AE13" s="248">
        <f t="shared" ref="AE13:AE44" si="10">SUM(AB13:AD13)</f>
        <v>0.29243999999999998</v>
      </c>
      <c r="AF13" s="248">
        <f>[9]Permanents!G13</f>
        <v>0.83493000000000039</v>
      </c>
      <c r="AG13" s="247">
        <f t="shared" ref="AG13:AG44" si="11">+AD13-AI13-AL13-AV13-AJ13-AK13-AN13-AM13-AP13-AQ13</f>
        <v>0</v>
      </c>
      <c r="AH13" s="243">
        <f t="shared" ref="AH13:AH44" si="12">+AB13+AC13</f>
        <v>-0.17000999999999999</v>
      </c>
      <c r="AI13" s="243">
        <f t="shared" ref="AI13:AI44" si="13">+Q13</f>
        <v>0</v>
      </c>
      <c r="AJ13" s="243">
        <f t="shared" ref="AJ13:AJ44" si="14">R13</f>
        <v>1.8579999999999999E-2</v>
      </c>
      <c r="AK13" s="243">
        <f t="shared" ref="AK13:AK44" si="15">S13</f>
        <v>0</v>
      </c>
      <c r="AL13" s="243">
        <f t="shared" ref="AL13:AL44" si="16">+K13+M13+L13</f>
        <v>0.14210999999999999</v>
      </c>
      <c r="AM13" s="243">
        <f t="shared" ref="AM13:AM44" si="17">P13</f>
        <v>-2.3000000000000001E-4</v>
      </c>
      <c r="AN13" s="243">
        <f t="shared" ref="AN13:AN44" si="18">T13</f>
        <v>3.0000000000000001E-5</v>
      </c>
      <c r="AO13" s="243">
        <f>[9]Permanents!F13</f>
        <v>2.4000000000000001E-4</v>
      </c>
      <c r="AP13" s="243">
        <f t="shared" ref="AP13:AP44" si="19">U13</f>
        <v>3.7949999999999998E-2</v>
      </c>
      <c r="AQ13" s="243">
        <f t="shared" ref="AQ13:AQ44" si="20">V13</f>
        <v>0.24073</v>
      </c>
      <c r="AR13" s="243"/>
      <c r="AS13" s="243"/>
      <c r="AT13" s="243">
        <f t="shared" ref="AT13:AT44" si="21">+N13</f>
        <v>2.0049999999999998E-2</v>
      </c>
      <c r="AU13" s="243">
        <f t="shared" ref="AU13:AU44" si="22">+O13</f>
        <v>3.2299999999999998E-3</v>
      </c>
      <c r="AV13" s="243">
        <f t="shared" ref="AV13:AV44" si="23">SUM(AS13:AU13)</f>
        <v>2.3279999999999999E-2</v>
      </c>
      <c r="AW13" s="246">
        <f>[32]Temporaries!Q13</f>
        <v>0</v>
      </c>
      <c r="AX13" s="246">
        <f>SUM([32]Temporaries!K13:M13)</f>
        <v>0.11046</v>
      </c>
      <c r="AY13" s="246">
        <f>SUM([32]Temporaries!N13:O13)</f>
        <v>2.0070000000000001E-2</v>
      </c>
      <c r="AZ13" s="245">
        <f>[32]Temporaries!R13</f>
        <v>1.396E-2</v>
      </c>
      <c r="BA13" s="264">
        <f t="shared" ref="BA13:BA44" si="24">E13</f>
        <v>-0.12498000000000001</v>
      </c>
      <c r="BB13" s="255">
        <f>[32]Temporaries!P13</f>
        <v>-1.1100000000000001E-3</v>
      </c>
      <c r="BC13" s="245">
        <f>[32]Temporaries!S13</f>
        <v>0</v>
      </c>
      <c r="BD13" s="245">
        <f>[32]Temporaries!T13</f>
        <v>4.2000000000000002E-4</v>
      </c>
      <c r="BE13" s="245">
        <f>[32]Temporaries!U13</f>
        <v>3.7949999999999998E-2</v>
      </c>
      <c r="BF13" s="245">
        <v>0.24073</v>
      </c>
      <c r="BG13" s="245"/>
      <c r="BH13" s="244">
        <f t="shared" ref="BH13:BH44" si="25">SUM(AW13:BG13)-D13</f>
        <v>0</v>
      </c>
      <c r="BI13" s="243">
        <f t="shared" ref="BI13:BI44" si="26">+AD13-K13-M13-L13</f>
        <v>0.32033999999999996</v>
      </c>
      <c r="BJ13" s="243">
        <f t="shared" ref="BJ13:BJ44" si="27">+AE13-K13-M13-L13</f>
        <v>0.15032999999999999</v>
      </c>
    </row>
    <row r="14" spans="1:62" x14ac:dyDescent="0.35">
      <c r="A14" s="233">
        <f t="shared" si="0"/>
        <v>8</v>
      </c>
      <c r="B14" s="254" t="s">
        <v>56</v>
      </c>
      <c r="C14" s="254"/>
      <c r="D14" s="251">
        <v>0.27344999999999997</v>
      </c>
      <c r="E14" s="251">
        <v>-0.12498000000000001</v>
      </c>
      <c r="F14" s="251">
        <f>+' Increments  equal ¢ per therm'!H14</f>
        <v>-0.14299000000000001</v>
      </c>
      <c r="G14" s="251">
        <f>+' Increments  equal ¢ per therm'!K14</f>
        <v>-2.7019999999999999E-2</v>
      </c>
      <c r="H14" s="251">
        <f>+' Increments  equal ¢ per therm'!N14</f>
        <v>0</v>
      </c>
      <c r="I14" s="251">
        <f t="shared" si="1"/>
        <v>-0.17000999999999999</v>
      </c>
      <c r="J14" s="251">
        <f t="shared" si="2"/>
        <v>-4.5029999999999987E-2</v>
      </c>
      <c r="K14" s="249">
        <f>+'[9]Allocation = % of margin'!P14</f>
        <v>9.6509999999999999E-2</v>
      </c>
      <c r="L14" s="249">
        <f>+'[9]Allocation = % of margin'!S14</f>
        <v>-1.17E-3</v>
      </c>
      <c r="M14" s="249">
        <f>+'[9]Allocation = % of margin'!V14</f>
        <v>0</v>
      </c>
      <c r="N14" s="249">
        <f>+'[9]Allocation = % of margin'!Y14</f>
        <v>1.345E-2</v>
      </c>
      <c r="O14" s="249">
        <f>+'[9]Allocation = % of margin'!AB14</f>
        <v>2.1800000000000001E-3</v>
      </c>
      <c r="P14" s="249">
        <f>'[9]Allocation = % of margin'!AE14</f>
        <v>-1.6000000000000001E-4</v>
      </c>
      <c r="Q14" s="249">
        <f>' Increments  equal ¢ per therm'!Q14</f>
        <v>0</v>
      </c>
      <c r="R14" s="249">
        <f>'[9]Allocation = % of margin'!AH14</f>
        <v>1.244E-2</v>
      </c>
      <c r="S14" s="249">
        <f>' Increments  equal ¢ per therm'!T14</f>
        <v>0</v>
      </c>
      <c r="T14" s="249">
        <f>'[9]Allocation = % of revenue'!M14</f>
        <v>0</v>
      </c>
      <c r="U14" s="249">
        <f>'[9]Allocation = % of margin'!AK14</f>
        <v>3.2939999999999997E-2</v>
      </c>
      <c r="V14" s="249">
        <f>' Increments  equal ¢ per therm'!W14</f>
        <v>0.24073</v>
      </c>
      <c r="W14" s="249">
        <f t="shared" si="3"/>
        <v>0.22691</v>
      </c>
      <c r="X14" s="249">
        <f t="shared" si="4"/>
        <v>-4.653999999999997E-2</v>
      </c>
      <c r="Y14" s="243"/>
      <c r="Z14" s="248">
        <f t="shared" si="5"/>
        <v>0.13157000000000002</v>
      </c>
      <c r="AA14" s="248">
        <f t="shared" si="6"/>
        <v>6.1009999999999995E-2</v>
      </c>
      <c r="AB14" s="248">
        <f t="shared" si="7"/>
        <v>-0.14299000000000001</v>
      </c>
      <c r="AC14" s="248">
        <f t="shared" si="8"/>
        <v>-2.7019999999999999E-2</v>
      </c>
      <c r="AD14" s="248">
        <f t="shared" si="9"/>
        <v>0.39692</v>
      </c>
      <c r="AE14" s="248">
        <f t="shared" si="10"/>
        <v>0.22691</v>
      </c>
      <c r="AF14" s="248">
        <f>[9]Permanents!G14</f>
        <v>0.86323999999999967</v>
      </c>
      <c r="AG14" s="247">
        <f t="shared" si="11"/>
        <v>0</v>
      </c>
      <c r="AH14" s="243">
        <f t="shared" si="12"/>
        <v>-0.17000999999999999</v>
      </c>
      <c r="AI14" s="243">
        <f t="shared" si="13"/>
        <v>0</v>
      </c>
      <c r="AJ14" s="243">
        <f t="shared" si="14"/>
        <v>1.244E-2</v>
      </c>
      <c r="AK14" s="243">
        <f t="shared" si="15"/>
        <v>0</v>
      </c>
      <c r="AL14" s="243">
        <f t="shared" si="16"/>
        <v>9.5339999999999994E-2</v>
      </c>
      <c r="AM14" s="243">
        <f t="shared" si="17"/>
        <v>-1.6000000000000001E-4</v>
      </c>
      <c r="AN14" s="243">
        <f t="shared" si="18"/>
        <v>0</v>
      </c>
      <c r="AO14" s="243">
        <f>[9]Permanents!F14</f>
        <v>1.6000000000000001E-4</v>
      </c>
      <c r="AP14" s="243">
        <f t="shared" si="19"/>
        <v>3.2939999999999997E-2</v>
      </c>
      <c r="AQ14" s="243">
        <f t="shared" si="20"/>
        <v>0.24073</v>
      </c>
      <c r="AR14" s="243"/>
      <c r="AS14" s="243"/>
      <c r="AT14" s="243">
        <f t="shared" si="21"/>
        <v>1.345E-2</v>
      </c>
      <c r="AU14" s="243">
        <f t="shared" si="22"/>
        <v>2.1800000000000001E-3</v>
      </c>
      <c r="AV14" s="243">
        <f t="shared" si="23"/>
        <v>1.5630000000000002E-2</v>
      </c>
      <c r="AW14" s="246">
        <f>[32]Temporaries!Q14</f>
        <v>0</v>
      </c>
      <c r="AX14" s="246">
        <f>SUM([32]Temporaries!K14:M14)</f>
        <v>9.5829999999999999E-2</v>
      </c>
      <c r="AY14" s="246">
        <f>SUM([32]Temporaries!N14:O14)</f>
        <v>1.7399999999999999E-2</v>
      </c>
      <c r="AZ14" s="245">
        <f>[32]Temporaries!R14</f>
        <v>1.2109999999999999E-2</v>
      </c>
      <c r="BA14" s="245">
        <f t="shared" si="24"/>
        <v>-0.12498000000000001</v>
      </c>
      <c r="BB14" s="255">
        <f>[32]Temporaries!P14</f>
        <v>-9.6000000000000002E-4</v>
      </c>
      <c r="BC14" s="245">
        <f>[32]Temporaries!S14</f>
        <v>0</v>
      </c>
      <c r="BD14" s="245">
        <f>[32]Temporaries!T14</f>
        <v>3.8000000000000002E-4</v>
      </c>
      <c r="BE14" s="245">
        <f>[32]Temporaries!U14</f>
        <v>3.2939999999999997E-2</v>
      </c>
      <c r="BF14" s="245">
        <v>0.24073</v>
      </c>
      <c r="BG14" s="245"/>
      <c r="BH14" s="244">
        <f t="shared" si="25"/>
        <v>0</v>
      </c>
      <c r="BI14" s="243">
        <f t="shared" si="26"/>
        <v>0.30158000000000001</v>
      </c>
      <c r="BJ14" s="243">
        <f t="shared" si="27"/>
        <v>0.13157000000000002</v>
      </c>
    </row>
    <row r="15" spans="1:62" x14ac:dyDescent="0.35">
      <c r="A15" s="233">
        <f t="shared" si="0"/>
        <v>9</v>
      </c>
      <c r="B15" s="254" t="s">
        <v>57</v>
      </c>
      <c r="C15" s="254"/>
      <c r="D15" s="251">
        <v>0.22096000000000002</v>
      </c>
      <c r="E15" s="251">
        <v>-0.12498000000000001</v>
      </c>
      <c r="F15" s="251">
        <f>+' Increments  equal ¢ per therm'!H15</f>
        <v>-0.14299000000000001</v>
      </c>
      <c r="G15" s="251">
        <f>+' Increments  equal ¢ per therm'!K15</f>
        <v>-2.7019999999999999E-2</v>
      </c>
      <c r="H15" s="251">
        <f>+' Increments  equal ¢ per therm'!N15</f>
        <v>0</v>
      </c>
      <c r="I15" s="251">
        <f t="shared" si="1"/>
        <v>-0.17000999999999999</v>
      </c>
      <c r="J15" s="251">
        <f t="shared" si="2"/>
        <v>-4.5029999999999987E-2</v>
      </c>
      <c r="K15" s="249">
        <f>+'[9]Allocation = % of margin'!P15</f>
        <v>6.6089999999999996E-2</v>
      </c>
      <c r="L15" s="249">
        <f>+'[9]Allocation = % of margin'!S15</f>
        <v>-8.1999999999999998E-4</v>
      </c>
      <c r="M15" s="249">
        <f>+'[9]Allocation = % of margin'!V15</f>
        <v>0</v>
      </c>
      <c r="N15" s="249">
        <f>+'[9]Allocation = % of margin'!Y15</f>
        <v>9.2099999999999994E-3</v>
      </c>
      <c r="O15" s="249">
        <f>+'[9]Allocation = % of margin'!AB15</f>
        <v>1.48E-3</v>
      </c>
      <c r="P15" s="249">
        <f>'[9]Allocation = % of margin'!AE15</f>
        <v>-1.1E-4</v>
      </c>
      <c r="Q15" s="249">
        <f>' Increments  equal ¢ per therm'!Q15</f>
        <v>3.2000000000000003E-4</v>
      </c>
      <c r="R15" s="249">
        <f>'[9]Allocation = % of margin'!AH15</f>
        <v>8.5299999999999994E-3</v>
      </c>
      <c r="S15" s="249">
        <f>' Increments  equal ¢ per therm'!T15</f>
        <v>0</v>
      </c>
      <c r="T15" s="249">
        <f>'[9]Allocation = % of revenue'!M15</f>
        <v>2.0000000000000002E-5</v>
      </c>
      <c r="U15" s="249">
        <f>'[9]Allocation = % of margin'!AK15</f>
        <v>2.188E-2</v>
      </c>
      <c r="V15" s="249">
        <f>' Increments  equal ¢ per therm'!W15</f>
        <v>0.24073</v>
      </c>
      <c r="W15" s="249">
        <f t="shared" si="3"/>
        <v>0.17731999999999998</v>
      </c>
      <c r="X15" s="249">
        <f t="shared" si="4"/>
        <v>-4.364000000000004E-2</v>
      </c>
      <c r="Y15" s="243"/>
      <c r="Z15" s="248">
        <f t="shared" si="5"/>
        <v>0.11204999999999998</v>
      </c>
      <c r="AA15" s="248">
        <f t="shared" si="6"/>
        <v>4.1439999999999998E-2</v>
      </c>
      <c r="AB15" s="248">
        <f t="shared" si="7"/>
        <v>-0.14299000000000001</v>
      </c>
      <c r="AC15" s="248">
        <f t="shared" si="8"/>
        <v>-2.7019999999999999E-2</v>
      </c>
      <c r="AD15" s="248">
        <f t="shared" si="9"/>
        <v>0.34732999999999997</v>
      </c>
      <c r="AE15" s="248">
        <f t="shared" si="10"/>
        <v>0.17731999999999998</v>
      </c>
      <c r="AF15" s="248">
        <f>[9]Permanents!G15</f>
        <v>0.55830999999999997</v>
      </c>
      <c r="AG15" s="247">
        <f t="shared" si="11"/>
        <v>0</v>
      </c>
      <c r="AH15" s="243">
        <f t="shared" si="12"/>
        <v>-0.17000999999999999</v>
      </c>
      <c r="AI15" s="243">
        <f t="shared" si="13"/>
        <v>3.2000000000000003E-4</v>
      </c>
      <c r="AJ15" s="243">
        <f t="shared" si="14"/>
        <v>8.5299999999999994E-3</v>
      </c>
      <c r="AK15" s="243">
        <f t="shared" si="15"/>
        <v>0</v>
      </c>
      <c r="AL15" s="243">
        <f t="shared" si="16"/>
        <v>6.5269999999999995E-2</v>
      </c>
      <c r="AM15" s="243">
        <f t="shared" si="17"/>
        <v>-1.1E-4</v>
      </c>
      <c r="AN15" s="243">
        <f t="shared" si="18"/>
        <v>2.0000000000000002E-5</v>
      </c>
      <c r="AO15" s="243">
        <f>[9]Permanents!F15</f>
        <v>1.1E-4</v>
      </c>
      <c r="AP15" s="243">
        <f t="shared" si="19"/>
        <v>2.188E-2</v>
      </c>
      <c r="AQ15" s="243">
        <f t="shared" si="20"/>
        <v>0.24073</v>
      </c>
      <c r="AR15" s="243"/>
      <c r="AS15" s="243"/>
      <c r="AT15" s="243">
        <f t="shared" si="21"/>
        <v>9.2099999999999994E-3</v>
      </c>
      <c r="AU15" s="243">
        <f t="shared" si="22"/>
        <v>1.48E-3</v>
      </c>
      <c r="AV15" s="243">
        <f t="shared" si="23"/>
        <v>1.069E-2</v>
      </c>
      <c r="AW15" s="246">
        <f>[32]Temporaries!Q15</f>
        <v>3.6000000000000002E-4</v>
      </c>
      <c r="AX15" s="246">
        <f>SUM([32]Temporaries!K15:M15)</f>
        <v>6.368E-2</v>
      </c>
      <c r="AY15" s="246">
        <f>SUM([32]Temporaries!N15:O15)</f>
        <v>1.157E-2</v>
      </c>
      <c r="AZ15" s="245">
        <f>[32]Temporaries!R15</f>
        <v>8.0499999999999999E-3</v>
      </c>
      <c r="BA15" s="245">
        <f t="shared" si="24"/>
        <v>-0.12498000000000001</v>
      </c>
      <c r="BB15" s="255">
        <f>[32]Temporaries!P15</f>
        <v>-6.4000000000000005E-4</v>
      </c>
      <c r="BC15" s="245">
        <f>[32]Temporaries!S15</f>
        <v>0</v>
      </c>
      <c r="BD15" s="245">
        <f>[32]Temporaries!T15</f>
        <v>3.1E-4</v>
      </c>
      <c r="BE15" s="245">
        <f>[32]Temporaries!U15</f>
        <v>2.188E-2</v>
      </c>
      <c r="BF15" s="245">
        <v>0.24073</v>
      </c>
      <c r="BG15" s="245"/>
      <c r="BH15" s="244">
        <f t="shared" si="25"/>
        <v>0</v>
      </c>
      <c r="BI15" s="243">
        <f t="shared" si="26"/>
        <v>0.28205999999999998</v>
      </c>
      <c r="BJ15" s="243">
        <f t="shared" si="27"/>
        <v>0.11204999999999998</v>
      </c>
    </row>
    <row r="16" spans="1:62" x14ac:dyDescent="0.35">
      <c r="A16" s="233">
        <f t="shared" si="0"/>
        <v>10</v>
      </c>
      <c r="B16" s="254" t="s">
        <v>58</v>
      </c>
      <c r="C16" s="254"/>
      <c r="D16" s="251">
        <v>0.20892999999999998</v>
      </c>
      <c r="E16" s="251">
        <v>-0.12498000000000001</v>
      </c>
      <c r="F16" s="251">
        <f>+' Increments  equal ¢ per therm'!H16</f>
        <v>-0.14299000000000001</v>
      </c>
      <c r="G16" s="251">
        <f>+' Increments  equal ¢ per therm'!K16</f>
        <v>-2.7019999999999999E-2</v>
      </c>
      <c r="H16" s="251">
        <f>+' Increments  equal ¢ per therm'!N16</f>
        <v>0</v>
      </c>
      <c r="I16" s="251">
        <f t="shared" si="1"/>
        <v>-0.17000999999999999</v>
      </c>
      <c r="J16" s="251">
        <f t="shared" si="2"/>
        <v>-4.5029999999999987E-2</v>
      </c>
      <c r="K16" s="249">
        <f>+'[9]Allocation = % of margin'!P16</f>
        <v>5.8250000000000003E-2</v>
      </c>
      <c r="L16" s="249">
        <f>+'[9]Allocation = % of margin'!S16</f>
        <v>-7.2000000000000005E-4</v>
      </c>
      <c r="M16" s="249">
        <f>+'[9]Allocation = % of margin'!V16</f>
        <v>0</v>
      </c>
      <c r="N16" s="249">
        <f>+'[9]Allocation = % of margin'!Y16</f>
        <v>8.1200000000000005E-3</v>
      </c>
      <c r="O16" s="249">
        <f>+'[9]Allocation = % of margin'!AB16</f>
        <v>1.31E-3</v>
      </c>
      <c r="P16" s="249">
        <f>'[9]Allocation = % of margin'!AE16</f>
        <v>-1E-4</v>
      </c>
      <c r="Q16" s="249">
        <f>' Increments  equal ¢ per therm'!Q16</f>
        <v>0</v>
      </c>
      <c r="R16" s="249">
        <f>'[9]Allocation = % of margin'!AH16</f>
        <v>7.5199999999999998E-3</v>
      </c>
      <c r="S16" s="249">
        <f>' Increments  equal ¢ per therm'!T16</f>
        <v>0</v>
      </c>
      <c r="T16" s="249">
        <f>'[9]Allocation = % of revenue'!M16</f>
        <v>2.0000000000000002E-5</v>
      </c>
      <c r="U16" s="249">
        <f>'[9]Allocation = % of margin'!AK16</f>
        <v>1.9439999999999999E-2</v>
      </c>
      <c r="V16" s="249">
        <f>' Increments  equal ¢ per therm'!W16</f>
        <v>0.24073</v>
      </c>
      <c r="W16" s="249">
        <f t="shared" si="3"/>
        <v>0.16456000000000004</v>
      </c>
      <c r="X16" s="249">
        <f t="shared" si="4"/>
        <v>-4.4369999999999937E-2</v>
      </c>
      <c r="Y16" s="243"/>
      <c r="Z16" s="248">
        <f t="shared" si="5"/>
        <v>0.10703000000000004</v>
      </c>
      <c r="AA16" s="248">
        <f t="shared" si="6"/>
        <v>3.6409999999999998E-2</v>
      </c>
      <c r="AB16" s="248">
        <f t="shared" si="7"/>
        <v>-0.14299000000000001</v>
      </c>
      <c r="AC16" s="248">
        <f t="shared" si="8"/>
        <v>-2.7019999999999999E-2</v>
      </c>
      <c r="AD16" s="248">
        <f t="shared" si="9"/>
        <v>0.33457000000000003</v>
      </c>
      <c r="AE16" s="248">
        <f t="shared" si="10"/>
        <v>0.16456000000000004</v>
      </c>
      <c r="AF16" s="248">
        <f>[9]Permanents!G16</f>
        <v>0.53360000000000007</v>
      </c>
      <c r="AG16" s="247">
        <f t="shared" si="11"/>
        <v>0</v>
      </c>
      <c r="AH16" s="243">
        <f t="shared" si="12"/>
        <v>-0.17000999999999999</v>
      </c>
      <c r="AI16" s="243">
        <f t="shared" si="13"/>
        <v>0</v>
      </c>
      <c r="AJ16" s="243">
        <f t="shared" si="14"/>
        <v>7.5199999999999998E-3</v>
      </c>
      <c r="AK16" s="243">
        <f t="shared" si="15"/>
        <v>0</v>
      </c>
      <c r="AL16" s="243">
        <f t="shared" si="16"/>
        <v>5.7530000000000005E-2</v>
      </c>
      <c r="AM16" s="243">
        <f t="shared" si="17"/>
        <v>-1E-4</v>
      </c>
      <c r="AN16" s="243">
        <f t="shared" si="18"/>
        <v>2.0000000000000002E-5</v>
      </c>
      <c r="AO16" s="243">
        <f>[9]Permanents!F16</f>
        <v>1E-4</v>
      </c>
      <c r="AP16" s="243">
        <f t="shared" si="19"/>
        <v>1.9439999999999999E-2</v>
      </c>
      <c r="AQ16" s="243">
        <f t="shared" si="20"/>
        <v>0.24073</v>
      </c>
      <c r="AR16" s="243"/>
      <c r="AS16" s="243"/>
      <c r="AT16" s="243">
        <f t="shared" si="21"/>
        <v>8.1200000000000005E-3</v>
      </c>
      <c r="AU16" s="243">
        <f t="shared" si="22"/>
        <v>1.31E-3</v>
      </c>
      <c r="AV16" s="243">
        <f t="shared" si="23"/>
        <v>9.4300000000000009E-3</v>
      </c>
      <c r="AW16" s="246">
        <f>[32]Temporaries!Q16</f>
        <v>0</v>
      </c>
      <c r="AX16" s="246">
        <f>SUM([32]Temporaries!K16:M16)</f>
        <v>5.6590000000000001E-2</v>
      </c>
      <c r="AY16" s="246">
        <f>SUM([32]Temporaries!N16:O16)</f>
        <v>1.0279999999999999E-2</v>
      </c>
      <c r="AZ16" s="245">
        <f>[32]Temporaries!R16</f>
        <v>7.1500000000000001E-3</v>
      </c>
      <c r="BA16" s="245">
        <f t="shared" si="24"/>
        <v>-0.12498000000000001</v>
      </c>
      <c r="BB16" s="255">
        <f>[32]Temporaries!P16</f>
        <v>-5.6999999999999998E-4</v>
      </c>
      <c r="BC16" s="245">
        <f>[32]Temporaries!S16</f>
        <v>0</v>
      </c>
      <c r="BD16" s="245">
        <f>[32]Temporaries!T16</f>
        <v>2.9E-4</v>
      </c>
      <c r="BE16" s="245">
        <f>[32]Temporaries!U16</f>
        <v>1.9439999999999999E-2</v>
      </c>
      <c r="BF16" s="245">
        <v>0.24073</v>
      </c>
      <c r="BG16" s="245"/>
      <c r="BH16" s="244">
        <f t="shared" si="25"/>
        <v>0</v>
      </c>
      <c r="BI16" s="243">
        <f t="shared" si="26"/>
        <v>0.27704000000000001</v>
      </c>
      <c r="BJ16" s="243">
        <f t="shared" si="27"/>
        <v>0.10703000000000004</v>
      </c>
    </row>
    <row r="17" spans="1:62" x14ac:dyDescent="0.35">
      <c r="A17" s="233">
        <f t="shared" si="0"/>
        <v>11</v>
      </c>
      <c r="B17" s="254" t="s">
        <v>59</v>
      </c>
      <c r="C17" s="254"/>
      <c r="D17" s="251">
        <v>0.15035000000000001</v>
      </c>
      <c r="E17" s="251">
        <v>-0.12498000000000001</v>
      </c>
      <c r="F17" s="251">
        <f>+' Increments  equal ¢ per therm'!H17</f>
        <v>-0.14299000000000001</v>
      </c>
      <c r="G17" s="251">
        <f>+' Increments  equal ¢ per therm'!K17</f>
        <v>-2.7019999999999999E-2</v>
      </c>
      <c r="H17" s="251">
        <f>+' Increments  equal ¢ per therm'!N17</f>
        <v>0</v>
      </c>
      <c r="I17" s="251">
        <f t="shared" si="1"/>
        <v>-0.17000999999999999</v>
      </c>
      <c r="J17" s="251">
        <f t="shared" si="2"/>
        <v>-4.5029999999999987E-2</v>
      </c>
      <c r="K17" s="249">
        <f>+'[9]Allocation = % of margin'!P17</f>
        <v>0</v>
      </c>
      <c r="L17" s="249">
        <f>+'[9]Allocation = % of margin'!S17</f>
        <v>0</v>
      </c>
      <c r="M17" s="249">
        <f>+'[9]Allocation = % of margin'!V17</f>
        <v>0</v>
      </c>
      <c r="N17" s="249">
        <f>+'[9]Allocation = % of margin'!Y17</f>
        <v>7.5100000000000002E-3</v>
      </c>
      <c r="O17" s="249">
        <f>+'[9]Allocation = % of margin'!AB17</f>
        <v>1.2099999999999999E-3</v>
      </c>
      <c r="P17" s="249">
        <f>'[9]Allocation = % of margin'!AE17</f>
        <v>-9.0000000000000006E-5</v>
      </c>
      <c r="Q17" s="249">
        <f>' Increments  equal ¢ per therm'!Q17</f>
        <v>0</v>
      </c>
      <c r="R17" s="249">
        <f>'[9]Allocation = % of margin'!AH17</f>
        <v>6.9499999999999996E-3</v>
      </c>
      <c r="S17" s="249">
        <f>' Increments  equal ¢ per therm'!T17</f>
        <v>3.5E-4</v>
      </c>
      <c r="T17" s="249">
        <f>'[9]Allocation = % of revenue'!M17</f>
        <v>2.0000000000000002E-5</v>
      </c>
      <c r="U17" s="249">
        <f>'[9]Allocation = % of margin'!AK17</f>
        <v>1.7850000000000001E-2</v>
      </c>
      <c r="V17" s="249">
        <f>' Increments  equal ¢ per therm'!W17</f>
        <v>0.24073</v>
      </c>
      <c r="W17" s="249">
        <f t="shared" si="3"/>
        <v>0.10452</v>
      </c>
      <c r="X17" s="249">
        <f t="shared" si="4"/>
        <v>-4.583000000000001E-2</v>
      </c>
      <c r="Y17" s="243"/>
      <c r="Z17" s="248">
        <f t="shared" si="5"/>
        <v>0.10452</v>
      </c>
      <c r="AA17" s="248">
        <f t="shared" si="6"/>
        <v>3.3890000000000003E-2</v>
      </c>
      <c r="AB17" s="248">
        <f t="shared" si="7"/>
        <v>-0.14299000000000001</v>
      </c>
      <c r="AC17" s="248">
        <f t="shared" si="8"/>
        <v>-2.7019999999999999E-2</v>
      </c>
      <c r="AD17" s="248">
        <f t="shared" si="9"/>
        <v>0.27453</v>
      </c>
      <c r="AE17" s="248">
        <f t="shared" si="10"/>
        <v>0.10452</v>
      </c>
      <c r="AF17" s="248">
        <f>[9]Permanents!G17</f>
        <v>0.54393999999999976</v>
      </c>
      <c r="AG17" s="247">
        <f t="shared" si="11"/>
        <v>0</v>
      </c>
      <c r="AH17" s="243">
        <f t="shared" si="12"/>
        <v>-0.17000999999999999</v>
      </c>
      <c r="AI17" s="243">
        <f t="shared" si="13"/>
        <v>0</v>
      </c>
      <c r="AJ17" s="243">
        <f t="shared" si="14"/>
        <v>6.9499999999999996E-3</v>
      </c>
      <c r="AK17" s="243">
        <f t="shared" si="15"/>
        <v>3.5E-4</v>
      </c>
      <c r="AL17" s="243">
        <f t="shared" si="16"/>
        <v>0</v>
      </c>
      <c r="AM17" s="243">
        <f t="shared" si="17"/>
        <v>-9.0000000000000006E-5</v>
      </c>
      <c r="AN17" s="243">
        <f t="shared" si="18"/>
        <v>2.0000000000000002E-5</v>
      </c>
      <c r="AO17" s="243">
        <f>[9]Permanents!F17</f>
        <v>9.0000000000000006E-5</v>
      </c>
      <c r="AP17" s="243">
        <f t="shared" si="19"/>
        <v>1.7850000000000001E-2</v>
      </c>
      <c r="AQ17" s="243">
        <f t="shared" si="20"/>
        <v>0.24073</v>
      </c>
      <c r="AR17" s="243"/>
      <c r="AS17" s="243"/>
      <c r="AT17" s="243">
        <f t="shared" si="21"/>
        <v>7.5100000000000002E-3</v>
      </c>
      <c r="AU17" s="243">
        <f t="shared" si="22"/>
        <v>1.2099999999999999E-3</v>
      </c>
      <c r="AV17" s="243">
        <f t="shared" si="23"/>
        <v>8.7200000000000003E-3</v>
      </c>
      <c r="AW17" s="246">
        <f>[32]Temporaries!Q17</f>
        <v>0</v>
      </c>
      <c r="AX17" s="246">
        <f>SUM([32]Temporaries!K17:M17)</f>
        <v>0</v>
      </c>
      <c r="AY17" s="246">
        <f>SUM([32]Temporaries!N17:O17)</f>
        <v>9.4400000000000005E-3</v>
      </c>
      <c r="AZ17" s="245">
        <f>[32]Temporaries!R17</f>
        <v>6.5599999999999999E-3</v>
      </c>
      <c r="BA17" s="245">
        <f t="shared" si="24"/>
        <v>-0.12498000000000001</v>
      </c>
      <c r="BB17" s="255">
        <f>[32]Temporaries!P17</f>
        <v>-5.1999999999999995E-4</v>
      </c>
      <c r="BC17" s="245">
        <f>[32]Temporaries!S17</f>
        <v>1.0300000000000001E-3</v>
      </c>
      <c r="BD17" s="245">
        <f>[32]Temporaries!T17</f>
        <v>2.4000000000000001E-4</v>
      </c>
      <c r="BE17" s="245">
        <f>[32]Temporaries!U17</f>
        <v>1.7850000000000001E-2</v>
      </c>
      <c r="BF17" s="245">
        <v>0.24073</v>
      </c>
      <c r="BG17" s="245"/>
      <c r="BH17" s="244">
        <f t="shared" si="25"/>
        <v>0</v>
      </c>
      <c r="BI17" s="243">
        <f t="shared" si="26"/>
        <v>0.27453</v>
      </c>
      <c r="BJ17" s="243">
        <f t="shared" si="27"/>
        <v>0.10452</v>
      </c>
    </row>
    <row r="18" spans="1:62" x14ac:dyDescent="0.35">
      <c r="A18" s="233">
        <f t="shared" si="0"/>
        <v>12</v>
      </c>
      <c r="B18" s="258">
        <v>27</v>
      </c>
      <c r="C18" s="258"/>
      <c r="D18" s="251">
        <v>0.26727000000000001</v>
      </c>
      <c r="E18" s="251">
        <v>-0.12498000000000001</v>
      </c>
      <c r="F18" s="251">
        <f>+' Increments  equal ¢ per therm'!H18</f>
        <v>-0.14299000000000001</v>
      </c>
      <c r="G18" s="251">
        <f>+' Increments  equal ¢ per therm'!K18</f>
        <v>-2.7019999999999999E-2</v>
      </c>
      <c r="H18" s="251">
        <f>+' Increments  equal ¢ per therm'!N18</f>
        <v>0</v>
      </c>
      <c r="I18" s="251">
        <f t="shared" si="1"/>
        <v>-0.17000999999999999</v>
      </c>
      <c r="J18" s="251">
        <f t="shared" si="2"/>
        <v>-4.5029999999999987E-2</v>
      </c>
      <c r="K18" s="249">
        <f>+'[9]Allocation = % of margin'!P18</f>
        <v>0.14729</v>
      </c>
      <c r="L18" s="249">
        <f>+'[9]Allocation = % of margin'!S18</f>
        <v>-1.8400000000000001E-3</v>
      </c>
      <c r="M18" s="249">
        <f>+'[9]Allocation = % of margin'!V18</f>
        <v>0</v>
      </c>
      <c r="N18" s="249">
        <f>+'[9]Allocation = % of margin'!Y18</f>
        <v>2.053E-2</v>
      </c>
      <c r="O18" s="249">
        <f>+'[9]Allocation = % of margin'!AB18</f>
        <v>3.3E-3</v>
      </c>
      <c r="P18" s="249">
        <f>'[9]Allocation = % of margin'!AE18</f>
        <v>-2.3000000000000001E-4</v>
      </c>
      <c r="Q18" s="249">
        <f>' Increments  equal ¢ per therm'!Q18</f>
        <v>0</v>
      </c>
      <c r="R18" s="249">
        <f>'[9]Allocation = % of margin'!AH18</f>
        <v>1.9009999999999999E-2</v>
      </c>
      <c r="S18" s="249">
        <f>' Increments  equal ¢ per therm'!T18</f>
        <v>0</v>
      </c>
      <c r="T18" s="249">
        <f>'[9]Allocation = % of revenue'!M18</f>
        <v>3.0000000000000001E-5</v>
      </c>
      <c r="U18" s="249">
        <f>'[9]Allocation = % of margin'!AK18</f>
        <v>3.1620000000000002E-2</v>
      </c>
      <c r="V18" s="249">
        <f>' Increments  equal ¢ per therm'!W18</f>
        <v>0.24073</v>
      </c>
      <c r="W18" s="249">
        <f t="shared" si="3"/>
        <v>0.29042999999999997</v>
      </c>
      <c r="X18" s="249">
        <f t="shared" si="4"/>
        <v>2.3159999999999958E-2</v>
      </c>
      <c r="Y18" s="243"/>
      <c r="Z18" s="248">
        <f t="shared" si="5"/>
        <v>0.14497999999999997</v>
      </c>
      <c r="AA18" s="248">
        <f t="shared" si="6"/>
        <v>7.4490000000000001E-2</v>
      </c>
      <c r="AB18" s="248">
        <f t="shared" si="7"/>
        <v>-0.14299000000000001</v>
      </c>
      <c r="AC18" s="248">
        <f t="shared" si="8"/>
        <v>-2.7019999999999999E-2</v>
      </c>
      <c r="AD18" s="248">
        <f t="shared" si="9"/>
        <v>0.46043999999999996</v>
      </c>
      <c r="AE18" s="248">
        <f t="shared" si="10"/>
        <v>0.29042999999999997</v>
      </c>
      <c r="AF18" s="248">
        <f>[9]Permanents!G18</f>
        <v>0.31279000000000001</v>
      </c>
      <c r="AG18" s="247">
        <f t="shared" si="11"/>
        <v>0</v>
      </c>
      <c r="AH18" s="243">
        <f t="shared" si="12"/>
        <v>-0.17000999999999999</v>
      </c>
      <c r="AI18" s="243">
        <f t="shared" si="13"/>
        <v>0</v>
      </c>
      <c r="AJ18" s="243">
        <f t="shared" si="14"/>
        <v>1.9009999999999999E-2</v>
      </c>
      <c r="AK18" s="243">
        <f t="shared" si="15"/>
        <v>0</v>
      </c>
      <c r="AL18" s="243">
        <f t="shared" si="16"/>
        <v>0.14545</v>
      </c>
      <c r="AM18" s="243">
        <f t="shared" si="17"/>
        <v>-2.3000000000000001E-4</v>
      </c>
      <c r="AN18" s="243">
        <f t="shared" si="18"/>
        <v>3.0000000000000001E-5</v>
      </c>
      <c r="AO18" s="243">
        <f>[9]Permanents!F18</f>
        <v>2.5999999999999998E-4</v>
      </c>
      <c r="AP18" s="243">
        <f t="shared" si="19"/>
        <v>3.1620000000000002E-2</v>
      </c>
      <c r="AQ18" s="243">
        <f t="shared" si="20"/>
        <v>0.24073</v>
      </c>
      <c r="AR18" s="243"/>
      <c r="AS18" s="243"/>
      <c r="AT18" s="243">
        <f t="shared" si="21"/>
        <v>2.053E-2</v>
      </c>
      <c r="AU18" s="243">
        <f t="shared" si="22"/>
        <v>3.3E-3</v>
      </c>
      <c r="AV18" s="243">
        <f t="shared" si="23"/>
        <v>2.383E-2</v>
      </c>
      <c r="AW18" s="246">
        <f>[32]Temporaries!Q18</f>
        <v>0</v>
      </c>
      <c r="AX18" s="246">
        <f>SUM([32]Temporaries!K18:M18)</f>
        <v>9.2050000000000007E-2</v>
      </c>
      <c r="AY18" s="246">
        <f>SUM([32]Temporaries!N18:O18)</f>
        <v>1.6719999999999999E-2</v>
      </c>
      <c r="AZ18" s="245">
        <f>[32]Temporaries!R18</f>
        <v>1.163E-2</v>
      </c>
      <c r="BA18" s="245">
        <f t="shared" si="24"/>
        <v>-0.12498000000000001</v>
      </c>
      <c r="BB18" s="255">
        <f>[32]Temporaries!P18</f>
        <v>-9.3000000000000005E-4</v>
      </c>
      <c r="BC18" s="245">
        <f>[32]Temporaries!S18</f>
        <v>0</v>
      </c>
      <c r="BD18" s="245">
        <f>[32]Temporaries!T18</f>
        <v>4.2999999999999999E-4</v>
      </c>
      <c r="BE18" s="245">
        <f>[32]Temporaries!U18</f>
        <v>3.1620000000000002E-2</v>
      </c>
      <c r="BF18" s="245">
        <v>0.24073</v>
      </c>
      <c r="BG18" s="245"/>
      <c r="BH18" s="244">
        <f t="shared" si="25"/>
        <v>0</v>
      </c>
      <c r="BI18" s="243">
        <f t="shared" si="26"/>
        <v>0.31498999999999994</v>
      </c>
      <c r="BJ18" s="243">
        <f t="shared" si="27"/>
        <v>0.14497999999999997</v>
      </c>
    </row>
    <row r="19" spans="1:62" x14ac:dyDescent="0.35">
      <c r="A19" s="233">
        <f t="shared" si="0"/>
        <v>13</v>
      </c>
      <c r="B19" s="233" t="s">
        <v>60</v>
      </c>
      <c r="C19" s="261" t="s">
        <v>61</v>
      </c>
      <c r="D19" s="259">
        <v>0.19066999999999998</v>
      </c>
      <c r="E19" s="259">
        <v>-0.12498000000000001</v>
      </c>
      <c r="F19" s="259">
        <f>+' Increments  equal ¢ per therm'!H19</f>
        <v>-0.14299000000000001</v>
      </c>
      <c r="G19" s="259">
        <f>+' Increments  equal ¢ per therm'!K19</f>
        <v>-2.7019999999999999E-2</v>
      </c>
      <c r="H19" s="259">
        <f>+' Increments  equal ¢ per therm'!N19</f>
        <v>0</v>
      </c>
      <c r="I19" s="259">
        <f t="shared" si="1"/>
        <v>-0.17000999999999999</v>
      </c>
      <c r="J19" s="259">
        <f t="shared" si="2"/>
        <v>-4.5029999999999987E-2</v>
      </c>
      <c r="K19" s="243">
        <f>+'[9]Allocation = % of margin'!P19</f>
        <v>4.6289999999999998E-2</v>
      </c>
      <c r="L19" s="243">
        <f>+'[9]Allocation = % of margin'!S19</f>
        <v>-5.6999999999999998E-4</v>
      </c>
      <c r="M19" s="243">
        <f>+'[9]Allocation = % of margin'!V19</f>
        <v>0</v>
      </c>
      <c r="N19" s="243">
        <f>+'[9]Allocation = % of margin'!Y19</f>
        <v>6.45E-3</v>
      </c>
      <c r="O19" s="243">
        <f>+'[9]Allocation = % of margin'!AB19</f>
        <v>1.0399999999999999E-3</v>
      </c>
      <c r="P19" s="243">
        <f>'[9]Allocation = % of margin'!AE19</f>
        <v>-8.0000000000000007E-5</v>
      </c>
      <c r="Q19" s="243">
        <f>' Increments  equal ¢ per therm'!Q19</f>
        <v>0</v>
      </c>
      <c r="R19" s="243">
        <f>'[9]Allocation = % of margin'!AH19</f>
        <v>5.9800000000000001E-3</v>
      </c>
      <c r="S19" s="243">
        <f>' Increments  equal ¢ per therm'!T19</f>
        <v>0</v>
      </c>
      <c r="T19" s="243">
        <f>'[9]Allocation = % of revenue'!M19</f>
        <v>1.0000000000000001E-5</v>
      </c>
      <c r="U19" s="243">
        <f>'[9]Allocation = % of margin'!AK19</f>
        <v>1.5630000000000002E-2</v>
      </c>
      <c r="V19" s="243">
        <f>' Increments  equal ¢ per therm'!W19</f>
        <v>0.24073</v>
      </c>
      <c r="W19" s="243">
        <f t="shared" si="3"/>
        <v>0.14546999999999999</v>
      </c>
      <c r="X19" s="243">
        <f t="shared" si="4"/>
        <v>-4.519999999999999E-2</v>
      </c>
      <c r="Y19" s="243"/>
      <c r="Z19" s="248">
        <f t="shared" si="5"/>
        <v>9.9749999999999991E-2</v>
      </c>
      <c r="AA19" s="248">
        <f t="shared" si="6"/>
        <v>2.911E-2</v>
      </c>
      <c r="AB19" s="248">
        <f t="shared" si="7"/>
        <v>-0.14299000000000001</v>
      </c>
      <c r="AC19" s="248">
        <f t="shared" si="8"/>
        <v>-2.7019999999999999E-2</v>
      </c>
      <c r="AD19" s="248">
        <f t="shared" si="9"/>
        <v>0.31547999999999998</v>
      </c>
      <c r="AE19" s="248">
        <f t="shared" si="10"/>
        <v>0.14546999999999999</v>
      </c>
      <c r="AF19" s="248">
        <f>[9]Permanents!G19</f>
        <v>0.4161600000000002</v>
      </c>
      <c r="AG19" s="247">
        <f t="shared" si="11"/>
        <v>0</v>
      </c>
      <c r="AH19" s="243">
        <f t="shared" si="12"/>
        <v>-0.17000999999999999</v>
      </c>
      <c r="AI19" s="243">
        <f t="shared" si="13"/>
        <v>0</v>
      </c>
      <c r="AJ19" s="243">
        <f t="shared" si="14"/>
        <v>5.9800000000000001E-3</v>
      </c>
      <c r="AK19" s="243">
        <f t="shared" si="15"/>
        <v>0</v>
      </c>
      <c r="AL19" s="243">
        <f t="shared" si="16"/>
        <v>4.5719999999999997E-2</v>
      </c>
      <c r="AM19" s="243">
        <f t="shared" si="17"/>
        <v>-8.0000000000000007E-5</v>
      </c>
      <c r="AN19" s="243">
        <f t="shared" si="18"/>
        <v>1.0000000000000001E-5</v>
      </c>
      <c r="AO19" s="243">
        <f>[9]Permanents!F19</f>
        <v>8.0000000000000007E-5</v>
      </c>
      <c r="AP19" s="243">
        <f t="shared" si="19"/>
        <v>1.5630000000000002E-2</v>
      </c>
      <c r="AQ19" s="243">
        <f t="shared" si="20"/>
        <v>0.24073</v>
      </c>
      <c r="AR19" s="243"/>
      <c r="AS19" s="243"/>
      <c r="AT19" s="243">
        <f t="shared" si="21"/>
        <v>6.45E-3</v>
      </c>
      <c r="AU19" s="243">
        <f t="shared" si="22"/>
        <v>1.0399999999999999E-3</v>
      </c>
      <c r="AV19" s="243">
        <f t="shared" si="23"/>
        <v>7.4900000000000001E-3</v>
      </c>
      <c r="AW19" s="246">
        <f>[32]Temporaries!Q19</f>
        <v>0</v>
      </c>
      <c r="AX19" s="246">
        <f>SUM([32]Temporaries!K19:M19)</f>
        <v>4.5500000000000006E-2</v>
      </c>
      <c r="AY19" s="246">
        <f>SUM([32]Temporaries!N19:O19)</f>
        <v>8.2699999999999996E-3</v>
      </c>
      <c r="AZ19" s="245">
        <f>[32]Temporaries!R19</f>
        <v>5.7499999999999999E-3</v>
      </c>
      <c r="BA19" s="245">
        <f t="shared" si="24"/>
        <v>-0.12498000000000001</v>
      </c>
      <c r="BB19" s="255">
        <f>[32]Temporaries!P19</f>
        <v>-4.6000000000000001E-4</v>
      </c>
      <c r="BC19" s="245">
        <f>[32]Temporaries!S19</f>
        <v>0</v>
      </c>
      <c r="BD19" s="245">
        <f>[32]Temporaries!T19</f>
        <v>2.3000000000000001E-4</v>
      </c>
      <c r="BE19" s="245">
        <f>[32]Temporaries!U19</f>
        <v>1.5630000000000002E-2</v>
      </c>
      <c r="BF19" s="245">
        <v>0.24073</v>
      </c>
      <c r="BG19" s="245"/>
      <c r="BH19" s="244">
        <f t="shared" si="25"/>
        <v>0</v>
      </c>
      <c r="BI19" s="243">
        <f t="shared" si="26"/>
        <v>0.26976</v>
      </c>
      <c r="BJ19" s="243">
        <f t="shared" si="27"/>
        <v>9.9749999999999991E-2</v>
      </c>
    </row>
    <row r="20" spans="1:62" x14ac:dyDescent="0.35">
      <c r="A20" s="233">
        <f t="shared" si="0"/>
        <v>14</v>
      </c>
      <c r="B20" s="258"/>
      <c r="C20" s="260" t="s">
        <v>62</v>
      </c>
      <c r="D20" s="251">
        <v>0.18178999999999998</v>
      </c>
      <c r="E20" s="251">
        <v>-0.12498000000000001</v>
      </c>
      <c r="F20" s="251">
        <f>+' Increments  equal ¢ per therm'!H20</f>
        <v>-0.14299000000000001</v>
      </c>
      <c r="G20" s="251">
        <f>+' Increments  equal ¢ per therm'!K20</f>
        <v>-2.7019999999999999E-2</v>
      </c>
      <c r="H20" s="251">
        <f>+' Increments  equal ¢ per therm'!N20</f>
        <v>0</v>
      </c>
      <c r="I20" s="251">
        <f t="shared" si="1"/>
        <v>-0.17000999999999999</v>
      </c>
      <c r="J20" s="251">
        <f t="shared" si="2"/>
        <v>-4.5029999999999987E-2</v>
      </c>
      <c r="K20" s="249">
        <f>+'[9]Allocation = % of margin'!P20</f>
        <v>4.079E-2</v>
      </c>
      <c r="L20" s="249">
        <f>+'[9]Allocation = % of margin'!S20</f>
        <v>-5.1000000000000004E-4</v>
      </c>
      <c r="M20" s="249">
        <f>+'[9]Allocation = % of margin'!V20</f>
        <v>0</v>
      </c>
      <c r="N20" s="249">
        <f>+'[9]Allocation = % of margin'!Y20</f>
        <v>5.6800000000000002E-3</v>
      </c>
      <c r="O20" s="249">
        <f>+'[9]Allocation = % of margin'!AB20</f>
        <v>9.2000000000000003E-4</v>
      </c>
      <c r="P20" s="249">
        <f>'[9]Allocation = % of margin'!AE20</f>
        <v>-6.9999999999999994E-5</v>
      </c>
      <c r="Q20" s="249">
        <f>' Increments  equal ¢ per therm'!Q20</f>
        <v>0</v>
      </c>
      <c r="R20" s="249">
        <f>'[9]Allocation = % of margin'!AH20</f>
        <v>5.2700000000000004E-3</v>
      </c>
      <c r="S20" s="249">
        <f>' Increments  equal ¢ per therm'!T20</f>
        <v>0</v>
      </c>
      <c r="T20" s="249">
        <f>'[9]Allocation = % of revenue'!M20</f>
        <v>1.0000000000000001E-5</v>
      </c>
      <c r="U20" s="249">
        <f>'[9]Allocation = % of margin'!AK20</f>
        <v>1.3769999999999999E-2</v>
      </c>
      <c r="V20" s="249">
        <f>' Increments  equal ¢ per therm'!W20</f>
        <v>0.24073</v>
      </c>
      <c r="W20" s="249">
        <f t="shared" si="3"/>
        <v>0.13657999999999998</v>
      </c>
      <c r="X20" s="249">
        <f t="shared" si="4"/>
        <v>-4.521E-2</v>
      </c>
      <c r="Y20" s="243"/>
      <c r="Z20" s="248">
        <f t="shared" si="5"/>
        <v>9.6299999999999983E-2</v>
      </c>
      <c r="AA20" s="248">
        <f t="shared" si="6"/>
        <v>2.5649999999999999E-2</v>
      </c>
      <c r="AB20" s="248">
        <f t="shared" si="7"/>
        <v>-0.14299000000000001</v>
      </c>
      <c r="AC20" s="248">
        <f t="shared" si="8"/>
        <v>-2.7019999999999999E-2</v>
      </c>
      <c r="AD20" s="248">
        <f t="shared" si="9"/>
        <v>0.30658999999999997</v>
      </c>
      <c r="AE20" s="248">
        <f t="shared" si="10"/>
        <v>0.13657999999999998</v>
      </c>
      <c r="AF20" s="248">
        <f>[9]Permanents!G20</f>
        <v>0.36669999999999997</v>
      </c>
      <c r="AG20" s="247">
        <f t="shared" si="11"/>
        <v>0</v>
      </c>
      <c r="AH20" s="243">
        <f t="shared" si="12"/>
        <v>-0.17000999999999999</v>
      </c>
      <c r="AI20" s="243">
        <f t="shared" si="13"/>
        <v>0</v>
      </c>
      <c r="AJ20" s="243">
        <f t="shared" si="14"/>
        <v>5.2700000000000004E-3</v>
      </c>
      <c r="AK20" s="243">
        <f t="shared" si="15"/>
        <v>0</v>
      </c>
      <c r="AL20" s="243">
        <f t="shared" si="16"/>
        <v>4.0279999999999996E-2</v>
      </c>
      <c r="AM20" s="243">
        <f t="shared" si="17"/>
        <v>-6.9999999999999994E-5</v>
      </c>
      <c r="AN20" s="243">
        <f t="shared" si="18"/>
        <v>1.0000000000000001E-5</v>
      </c>
      <c r="AO20" s="243">
        <f>[9]Permanents!F20</f>
        <v>6.9999999999999994E-5</v>
      </c>
      <c r="AP20" s="243">
        <f t="shared" si="19"/>
        <v>1.3769999999999999E-2</v>
      </c>
      <c r="AQ20" s="243">
        <f t="shared" si="20"/>
        <v>0.24073</v>
      </c>
      <c r="AR20" s="243"/>
      <c r="AS20" s="243"/>
      <c r="AT20" s="243">
        <f t="shared" si="21"/>
        <v>5.6800000000000002E-3</v>
      </c>
      <c r="AU20" s="243">
        <f t="shared" si="22"/>
        <v>9.2000000000000003E-4</v>
      </c>
      <c r="AV20" s="243">
        <f t="shared" si="23"/>
        <v>6.6E-3</v>
      </c>
      <c r="AW20" s="246">
        <f>[32]Temporaries!Q20</f>
        <v>0</v>
      </c>
      <c r="AX20" s="246">
        <f>SUM([32]Temporaries!K20:M20)</f>
        <v>4.0090000000000001E-2</v>
      </c>
      <c r="AY20" s="246">
        <f>SUM([32]Temporaries!N20:O20)</f>
        <v>7.2899999999999996E-3</v>
      </c>
      <c r="AZ20" s="245">
        <f>[32]Temporaries!R20</f>
        <v>5.0699999999999999E-3</v>
      </c>
      <c r="BA20" s="245">
        <f t="shared" si="24"/>
        <v>-0.12498000000000001</v>
      </c>
      <c r="BB20" s="255">
        <f>[32]Temporaries!P20</f>
        <v>-4.0000000000000002E-4</v>
      </c>
      <c r="BC20" s="245">
        <f>[32]Temporaries!S20</f>
        <v>0</v>
      </c>
      <c r="BD20" s="245">
        <f>[32]Temporaries!T20</f>
        <v>2.2000000000000001E-4</v>
      </c>
      <c r="BE20" s="245">
        <f>[32]Temporaries!U20</f>
        <v>1.3769999999999999E-2</v>
      </c>
      <c r="BF20" s="245">
        <v>0.24073</v>
      </c>
      <c r="BG20" s="245"/>
      <c r="BH20" s="244">
        <f t="shared" si="25"/>
        <v>0</v>
      </c>
      <c r="BI20" s="243">
        <f t="shared" si="26"/>
        <v>0.26630999999999999</v>
      </c>
      <c r="BJ20" s="243">
        <f t="shared" si="27"/>
        <v>9.6299999999999983E-2</v>
      </c>
    </row>
    <row r="21" spans="1:62" ht="20.9" customHeight="1" x14ac:dyDescent="0.35">
      <c r="A21" s="233">
        <f t="shared" si="0"/>
        <v>15</v>
      </c>
      <c r="B21" s="233" t="s">
        <v>63</v>
      </c>
      <c r="C21" s="261" t="s">
        <v>61</v>
      </c>
      <c r="D21" s="259">
        <v>0.14201</v>
      </c>
      <c r="E21" s="259">
        <v>-0.12498000000000001</v>
      </c>
      <c r="F21" s="259">
        <f>+' Increments  equal ¢ per therm'!H21</f>
        <v>-0.14299000000000001</v>
      </c>
      <c r="G21" s="259">
        <f>+' Increments  equal ¢ per therm'!K21</f>
        <v>-2.7019999999999999E-2</v>
      </c>
      <c r="H21" s="259">
        <f>+' Increments  equal ¢ per therm'!N21</f>
        <v>0</v>
      </c>
      <c r="I21" s="259">
        <f t="shared" si="1"/>
        <v>-0.17000999999999999</v>
      </c>
      <c r="J21" s="259">
        <f t="shared" si="2"/>
        <v>-4.5029999999999987E-2</v>
      </c>
      <c r="K21" s="243">
        <f>+'[9]Allocation = % of margin'!P21</f>
        <v>0</v>
      </c>
      <c r="L21" s="243">
        <f>+'[9]Allocation = % of margin'!S21</f>
        <v>0</v>
      </c>
      <c r="M21" s="243">
        <f>+'[9]Allocation = % of margin'!V21</f>
        <v>0</v>
      </c>
      <c r="N21" s="243">
        <f>+'[9]Allocation = % of margin'!Y21</f>
        <v>5.8500000000000002E-3</v>
      </c>
      <c r="O21" s="243">
        <f>+'[9]Allocation = % of margin'!AB21</f>
        <v>9.3999999999999997E-4</v>
      </c>
      <c r="P21" s="243">
        <f>'[9]Allocation = % of margin'!AE21</f>
        <v>-6.9999999999999994E-5</v>
      </c>
      <c r="Q21" s="243">
        <f>' Increments  equal ¢ per therm'!Q21</f>
        <v>0</v>
      </c>
      <c r="R21" s="243">
        <f>'[9]Allocation = % of margin'!AH21</f>
        <v>5.4200000000000003E-3</v>
      </c>
      <c r="S21" s="243">
        <f>' Increments  equal ¢ per therm'!T21</f>
        <v>3.5E-4</v>
      </c>
      <c r="T21" s="243">
        <f>'[9]Allocation = % of revenue'!M21</f>
        <v>1.0000000000000001E-5</v>
      </c>
      <c r="U21" s="243">
        <f>'[9]Allocation = % of margin'!AK21</f>
        <v>1.34E-2</v>
      </c>
      <c r="V21" s="243">
        <f>' Increments  equal ¢ per therm'!W21</f>
        <v>0.24073</v>
      </c>
      <c r="W21" s="243">
        <f t="shared" si="3"/>
        <v>9.6619999999999984E-2</v>
      </c>
      <c r="X21" s="243">
        <f t="shared" si="4"/>
        <v>-4.5390000000000014E-2</v>
      </c>
      <c r="Y21" s="243"/>
      <c r="Z21" s="248">
        <f t="shared" si="5"/>
        <v>9.6619999999999984E-2</v>
      </c>
      <c r="AA21" s="248">
        <f t="shared" si="6"/>
        <v>2.597E-2</v>
      </c>
      <c r="AB21" s="248">
        <f t="shared" si="7"/>
        <v>-0.14299000000000001</v>
      </c>
      <c r="AC21" s="248">
        <f t="shared" si="8"/>
        <v>-2.7019999999999999E-2</v>
      </c>
      <c r="AD21" s="248">
        <f t="shared" si="9"/>
        <v>0.26662999999999998</v>
      </c>
      <c r="AE21" s="248">
        <f t="shared" si="10"/>
        <v>9.6619999999999984E-2</v>
      </c>
      <c r="AF21" s="248">
        <f>[9]Permanents!G21</f>
        <v>0.37154000000000031</v>
      </c>
      <c r="AG21" s="247">
        <f t="shared" si="11"/>
        <v>0</v>
      </c>
      <c r="AH21" s="243">
        <f t="shared" si="12"/>
        <v>-0.17000999999999999</v>
      </c>
      <c r="AI21" s="243">
        <f t="shared" si="13"/>
        <v>0</v>
      </c>
      <c r="AJ21" s="243">
        <f t="shared" si="14"/>
        <v>5.4200000000000003E-3</v>
      </c>
      <c r="AK21" s="243">
        <f t="shared" si="15"/>
        <v>3.5E-4</v>
      </c>
      <c r="AL21" s="243">
        <f t="shared" si="16"/>
        <v>0</v>
      </c>
      <c r="AM21" s="243">
        <f t="shared" si="17"/>
        <v>-6.9999999999999994E-5</v>
      </c>
      <c r="AN21" s="243">
        <f t="shared" si="18"/>
        <v>1.0000000000000001E-5</v>
      </c>
      <c r="AO21" s="243">
        <f>[9]Permanents!F21</f>
        <v>6.9999999999999994E-5</v>
      </c>
      <c r="AP21" s="243">
        <f t="shared" si="19"/>
        <v>1.34E-2</v>
      </c>
      <c r="AQ21" s="243">
        <f t="shared" si="20"/>
        <v>0.24073</v>
      </c>
      <c r="AR21" s="243"/>
      <c r="AS21" s="243"/>
      <c r="AT21" s="243">
        <f t="shared" si="21"/>
        <v>5.8500000000000002E-3</v>
      </c>
      <c r="AU21" s="243">
        <f t="shared" si="22"/>
        <v>9.3999999999999997E-4</v>
      </c>
      <c r="AV21" s="243">
        <f t="shared" si="23"/>
        <v>6.79E-3</v>
      </c>
      <c r="AW21" s="246">
        <f>[32]Temporaries!Q21</f>
        <v>0</v>
      </c>
      <c r="AX21" s="246">
        <f>SUM([32]Temporaries!K21:M21)</f>
        <v>0</v>
      </c>
      <c r="AY21" s="246">
        <f>SUM([32]Temporaries!N21:O21)</f>
        <v>7.0800000000000004E-3</v>
      </c>
      <c r="AZ21" s="245">
        <f>[32]Temporaries!R21</f>
        <v>4.9300000000000004E-3</v>
      </c>
      <c r="BA21" s="245">
        <f t="shared" si="24"/>
        <v>-0.12498000000000001</v>
      </c>
      <c r="BB21" s="255">
        <f>[32]Temporaries!P21</f>
        <v>-3.8999999999999999E-4</v>
      </c>
      <c r="BC21" s="245">
        <f>[32]Temporaries!S21</f>
        <v>1.0300000000000001E-3</v>
      </c>
      <c r="BD21" s="245">
        <f>[32]Temporaries!T21</f>
        <v>2.1000000000000001E-4</v>
      </c>
      <c r="BE21" s="245">
        <f>[32]Temporaries!U21</f>
        <v>1.34E-2</v>
      </c>
      <c r="BF21" s="245">
        <v>0.24073</v>
      </c>
      <c r="BG21" s="245"/>
      <c r="BH21" s="244">
        <f t="shared" si="25"/>
        <v>0</v>
      </c>
      <c r="BI21" s="243">
        <f t="shared" si="26"/>
        <v>0.26662999999999998</v>
      </c>
      <c r="BJ21" s="243">
        <f t="shared" si="27"/>
        <v>9.6619999999999984E-2</v>
      </c>
    </row>
    <row r="22" spans="1:62" x14ac:dyDescent="0.35">
      <c r="A22" s="233">
        <f t="shared" si="0"/>
        <v>16</v>
      </c>
      <c r="B22" s="258"/>
      <c r="C22" s="260" t="s">
        <v>62</v>
      </c>
      <c r="D22" s="251">
        <v>0.13903999999999997</v>
      </c>
      <c r="E22" s="251">
        <v>-0.12498000000000001</v>
      </c>
      <c r="F22" s="251">
        <f>+' Increments  equal ¢ per therm'!H22</f>
        <v>-0.14299000000000001</v>
      </c>
      <c r="G22" s="251">
        <f>+' Increments  equal ¢ per therm'!K22</f>
        <v>-2.7019999999999999E-2</v>
      </c>
      <c r="H22" s="251">
        <f>+' Increments  equal ¢ per therm'!N22</f>
        <v>0</v>
      </c>
      <c r="I22" s="251">
        <f t="shared" si="1"/>
        <v>-0.17000999999999999</v>
      </c>
      <c r="J22" s="251">
        <f t="shared" si="2"/>
        <v>-4.5029999999999987E-2</v>
      </c>
      <c r="K22" s="249">
        <f>+'[9]Allocation = % of margin'!P22</f>
        <v>0</v>
      </c>
      <c r="L22" s="249">
        <f>+'[9]Allocation = % of margin'!S22</f>
        <v>0</v>
      </c>
      <c r="M22" s="249">
        <f>+'[9]Allocation = % of margin'!V22</f>
        <v>0</v>
      </c>
      <c r="N22" s="249">
        <f>+'[9]Allocation = % of margin'!Y22</f>
        <v>5.1500000000000001E-3</v>
      </c>
      <c r="O22" s="249">
        <f>+'[9]Allocation = % of margin'!AB22</f>
        <v>8.3000000000000001E-4</v>
      </c>
      <c r="P22" s="249">
        <f>'[9]Allocation = % of margin'!AE22</f>
        <v>-6.0000000000000002E-5</v>
      </c>
      <c r="Q22" s="249">
        <f>' Increments  equal ¢ per therm'!Q22</f>
        <v>0</v>
      </c>
      <c r="R22" s="249">
        <f>'[9]Allocation = % of margin'!AH22</f>
        <v>4.7800000000000004E-3</v>
      </c>
      <c r="S22" s="249">
        <f>' Increments  equal ¢ per therm'!T22</f>
        <v>3.5E-4</v>
      </c>
      <c r="T22" s="249">
        <f>'[9]Allocation = % of revenue'!M22</f>
        <v>1.0000000000000001E-5</v>
      </c>
      <c r="U22" s="249">
        <f>'[9]Allocation = % of margin'!AK22</f>
        <v>1.1809999999999999E-2</v>
      </c>
      <c r="V22" s="249">
        <f>' Increments  equal ¢ per therm'!W22</f>
        <v>0.24073</v>
      </c>
      <c r="W22" s="249">
        <f t="shared" si="3"/>
        <v>9.3590000000000007E-2</v>
      </c>
      <c r="X22" s="249">
        <f t="shared" si="4"/>
        <v>-4.5449999999999963E-2</v>
      </c>
      <c r="Y22" s="243"/>
      <c r="Z22" s="248">
        <f t="shared" si="5"/>
        <v>9.3590000000000007E-2</v>
      </c>
      <c r="AA22" s="248">
        <f t="shared" si="6"/>
        <v>2.2929999999999999E-2</v>
      </c>
      <c r="AB22" s="248">
        <f t="shared" si="7"/>
        <v>-0.14299000000000001</v>
      </c>
      <c r="AC22" s="248">
        <f t="shared" si="8"/>
        <v>-2.7019999999999999E-2</v>
      </c>
      <c r="AD22" s="248">
        <f t="shared" si="9"/>
        <v>0.2636</v>
      </c>
      <c r="AE22" s="248">
        <f t="shared" si="10"/>
        <v>9.3590000000000007E-2</v>
      </c>
      <c r="AF22" s="248">
        <f>[9]Permanents!G22</f>
        <v>0.32736999999999988</v>
      </c>
      <c r="AG22" s="247">
        <f t="shared" si="11"/>
        <v>0</v>
      </c>
      <c r="AH22" s="243">
        <f t="shared" si="12"/>
        <v>-0.17000999999999999</v>
      </c>
      <c r="AI22" s="243">
        <f t="shared" si="13"/>
        <v>0</v>
      </c>
      <c r="AJ22" s="243">
        <f t="shared" si="14"/>
        <v>4.7800000000000004E-3</v>
      </c>
      <c r="AK22" s="243">
        <f t="shared" si="15"/>
        <v>3.5E-4</v>
      </c>
      <c r="AL22" s="243">
        <f t="shared" si="16"/>
        <v>0</v>
      </c>
      <c r="AM22" s="243">
        <f t="shared" si="17"/>
        <v>-6.0000000000000002E-5</v>
      </c>
      <c r="AN22" s="243">
        <f t="shared" si="18"/>
        <v>1.0000000000000001E-5</v>
      </c>
      <c r="AO22" s="243">
        <f>[9]Permanents!F22</f>
        <v>6.0000000000000002E-5</v>
      </c>
      <c r="AP22" s="243">
        <f t="shared" si="19"/>
        <v>1.1809999999999999E-2</v>
      </c>
      <c r="AQ22" s="243">
        <f t="shared" si="20"/>
        <v>0.24073</v>
      </c>
      <c r="AR22" s="243"/>
      <c r="AS22" s="243"/>
      <c r="AT22" s="243">
        <f t="shared" si="21"/>
        <v>5.1500000000000001E-3</v>
      </c>
      <c r="AU22" s="243">
        <f t="shared" si="22"/>
        <v>8.3000000000000001E-4</v>
      </c>
      <c r="AV22" s="243">
        <f t="shared" si="23"/>
        <v>5.9800000000000001E-3</v>
      </c>
      <c r="AW22" s="246">
        <f>[32]Temporaries!Q22</f>
        <v>0</v>
      </c>
      <c r="AX22" s="246">
        <f>SUM([32]Temporaries!K22:M22)</f>
        <v>0</v>
      </c>
      <c r="AY22" s="246">
        <f>SUM([32]Temporaries!N22:O22)</f>
        <v>6.2399999999999999E-3</v>
      </c>
      <c r="AZ22" s="245">
        <f>[32]Temporaries!R22</f>
        <v>4.3400000000000001E-3</v>
      </c>
      <c r="BA22" s="245">
        <f t="shared" si="24"/>
        <v>-0.12498000000000001</v>
      </c>
      <c r="BB22" s="255">
        <f>[32]Temporaries!P22</f>
        <v>-3.4000000000000002E-4</v>
      </c>
      <c r="BC22" s="245">
        <f>[32]Temporaries!S22</f>
        <v>1.0300000000000001E-3</v>
      </c>
      <c r="BD22" s="245">
        <f>[32]Temporaries!T22</f>
        <v>2.1000000000000001E-4</v>
      </c>
      <c r="BE22" s="245">
        <f>[32]Temporaries!U22</f>
        <v>1.1809999999999999E-2</v>
      </c>
      <c r="BF22" s="245">
        <v>0.24073</v>
      </c>
      <c r="BG22" s="245"/>
      <c r="BH22" s="244">
        <f t="shared" si="25"/>
        <v>0</v>
      </c>
      <c r="BI22" s="243">
        <f t="shared" si="26"/>
        <v>0.2636</v>
      </c>
      <c r="BJ22" s="243">
        <f t="shared" si="27"/>
        <v>9.3590000000000007E-2</v>
      </c>
    </row>
    <row r="23" spans="1:62" x14ac:dyDescent="0.35">
      <c r="A23" s="233">
        <f t="shared" si="0"/>
        <v>17</v>
      </c>
      <c r="B23" s="233" t="s">
        <v>64</v>
      </c>
      <c r="C23" s="261" t="s">
        <v>61</v>
      </c>
      <c r="D23" s="259">
        <v>0.14699999999999999</v>
      </c>
      <c r="E23" s="259">
        <v>-0.16173000000000001</v>
      </c>
      <c r="F23" s="259">
        <f>+' Increments  equal ¢ per therm'!H23</f>
        <v>-0.14299000000000001</v>
      </c>
      <c r="G23" s="259">
        <f>+' Increments  equal ¢ per therm'!K23</f>
        <v>0</v>
      </c>
      <c r="H23" s="259">
        <f>+' Increments  equal ¢ per therm'!N23</f>
        <v>-3.1469999999999998E-2</v>
      </c>
      <c r="I23" s="259">
        <f t="shared" si="1"/>
        <v>-0.17446</v>
      </c>
      <c r="J23" s="259">
        <f t="shared" si="2"/>
        <v>-1.2729999999999991E-2</v>
      </c>
      <c r="K23" s="243">
        <f>+'[9]Allocation = % of margin'!P23</f>
        <v>4.233E-2</v>
      </c>
      <c r="L23" s="243">
        <f>+'[9]Allocation = % of margin'!S23</f>
        <v>-5.1999999999999995E-4</v>
      </c>
      <c r="M23" s="243">
        <f>+'[9]Allocation = % of margin'!V23</f>
        <v>0</v>
      </c>
      <c r="N23" s="243">
        <f>+'[9]Allocation = % of margin'!Y23</f>
        <v>6.0000000000000001E-3</v>
      </c>
      <c r="O23" s="243">
        <f>+'[9]Allocation = % of margin'!AB23</f>
        <v>9.7000000000000005E-4</v>
      </c>
      <c r="P23" s="243">
        <f>'[9]Allocation = % of margin'!AE23</f>
        <v>-6.9999999999999994E-5</v>
      </c>
      <c r="Q23" s="243">
        <f>' Increments  equal ¢ per therm'!Q23</f>
        <v>0</v>
      </c>
      <c r="R23" s="243">
        <f>'[9]Allocation = % of margin'!AH23</f>
        <v>5.7800000000000004E-3</v>
      </c>
      <c r="S23" s="243">
        <f>' Increments  equal ¢ per therm'!T23</f>
        <v>0</v>
      </c>
      <c r="T23" s="243">
        <f>'[9]Allocation = % of revenue'!M23</f>
        <v>0</v>
      </c>
      <c r="U23" s="243">
        <f>'[9]Allocation = % of margin'!AK23</f>
        <v>1.4829999999999999E-2</v>
      </c>
      <c r="V23" s="243">
        <f>' Increments  equal ¢ per therm'!W23</f>
        <v>0.24073</v>
      </c>
      <c r="W23" s="243">
        <f t="shared" si="3"/>
        <v>0.13558999999999999</v>
      </c>
      <c r="X23" s="243">
        <f t="shared" si="4"/>
        <v>-1.1410000000000003E-2</v>
      </c>
      <c r="Y23" s="243"/>
      <c r="Z23" s="248">
        <f t="shared" si="5"/>
        <v>9.3779999999999988E-2</v>
      </c>
      <c r="AA23" s="248">
        <f t="shared" si="6"/>
        <v>2.758E-2</v>
      </c>
      <c r="AB23" s="248">
        <f t="shared" si="7"/>
        <v>-0.14299000000000001</v>
      </c>
      <c r="AC23" s="248">
        <f t="shared" si="8"/>
        <v>-3.1469999999999998E-2</v>
      </c>
      <c r="AD23" s="248">
        <f t="shared" si="9"/>
        <v>0.31004999999999999</v>
      </c>
      <c r="AE23" s="248">
        <f t="shared" si="10"/>
        <v>0.13558999999999999</v>
      </c>
      <c r="AF23" s="248">
        <f>[9]Permanents!G23</f>
        <v>0.38460000000000016</v>
      </c>
      <c r="AG23" s="247">
        <f t="shared" si="11"/>
        <v>0</v>
      </c>
      <c r="AH23" s="243">
        <f t="shared" si="12"/>
        <v>-0.17446</v>
      </c>
      <c r="AI23" s="243">
        <f t="shared" si="13"/>
        <v>0</v>
      </c>
      <c r="AJ23" s="243">
        <f t="shared" si="14"/>
        <v>5.7800000000000004E-3</v>
      </c>
      <c r="AK23" s="243">
        <f t="shared" si="15"/>
        <v>0</v>
      </c>
      <c r="AL23" s="243">
        <f t="shared" si="16"/>
        <v>4.181E-2</v>
      </c>
      <c r="AM23" s="243">
        <f t="shared" si="17"/>
        <v>-6.9999999999999994E-5</v>
      </c>
      <c r="AN23" s="243">
        <f t="shared" si="18"/>
        <v>0</v>
      </c>
      <c r="AO23" s="243">
        <f>[9]Permanents!F23</f>
        <v>6.9999999999999994E-5</v>
      </c>
      <c r="AP23" s="243">
        <f t="shared" si="19"/>
        <v>1.4829999999999999E-2</v>
      </c>
      <c r="AQ23" s="243">
        <f t="shared" si="20"/>
        <v>0.24073</v>
      </c>
      <c r="AR23" s="243"/>
      <c r="AS23" s="243"/>
      <c r="AT23" s="243">
        <f t="shared" si="21"/>
        <v>6.0000000000000001E-3</v>
      </c>
      <c r="AU23" s="243">
        <f t="shared" si="22"/>
        <v>9.7000000000000005E-4</v>
      </c>
      <c r="AV23" s="243">
        <f t="shared" si="23"/>
        <v>6.9700000000000005E-3</v>
      </c>
      <c r="AW23" s="246">
        <f>[32]Temporaries!Q23</f>
        <v>0</v>
      </c>
      <c r="AX23" s="246">
        <f>SUM([32]Temporaries!K23:M23)</f>
        <v>4.0620000000000003E-2</v>
      </c>
      <c r="AY23" s="246">
        <f>SUM([32]Temporaries!N23:O23)</f>
        <v>7.5199999999999998E-3</v>
      </c>
      <c r="AZ23" s="245">
        <f>[32]Temporaries!R23</f>
        <v>5.4599999999999996E-3</v>
      </c>
      <c r="BA23" s="245">
        <f t="shared" si="24"/>
        <v>-0.16173000000000001</v>
      </c>
      <c r="BB23" s="255">
        <f>[32]Temporaries!P23</f>
        <v>-4.2999999999999999E-4</v>
      </c>
      <c r="BC23" s="245">
        <f>[32]Temporaries!S23</f>
        <v>0</v>
      </c>
      <c r="BD23" s="245">
        <f>[32]Temporaries!T23</f>
        <v>0</v>
      </c>
      <c r="BE23" s="245">
        <f>[32]Temporaries!U23</f>
        <v>1.4829999999999999E-2</v>
      </c>
      <c r="BF23" s="245">
        <v>0.24073</v>
      </c>
      <c r="BG23" s="245"/>
      <c r="BH23" s="244">
        <f t="shared" si="25"/>
        <v>0</v>
      </c>
      <c r="BI23" s="243">
        <f t="shared" si="26"/>
        <v>0.26824000000000003</v>
      </c>
      <c r="BJ23" s="243">
        <f t="shared" si="27"/>
        <v>9.3779999999999988E-2</v>
      </c>
    </row>
    <row r="24" spans="1:62" x14ac:dyDescent="0.35">
      <c r="A24" s="233">
        <f t="shared" si="0"/>
        <v>18</v>
      </c>
      <c r="B24" s="258"/>
      <c r="C24" s="260" t="s">
        <v>62</v>
      </c>
      <c r="D24" s="251">
        <v>0.13892999999999997</v>
      </c>
      <c r="E24" s="251">
        <v>-0.16173000000000001</v>
      </c>
      <c r="F24" s="251">
        <f>+' Increments  equal ¢ per therm'!H24</f>
        <v>-0.14299000000000001</v>
      </c>
      <c r="G24" s="251">
        <f>+' Increments  equal ¢ per therm'!K24</f>
        <v>0</v>
      </c>
      <c r="H24" s="251">
        <f>+' Increments  equal ¢ per therm'!N24</f>
        <v>-3.1469999999999998E-2</v>
      </c>
      <c r="I24" s="251">
        <f t="shared" si="1"/>
        <v>-0.17446</v>
      </c>
      <c r="J24" s="251">
        <f t="shared" si="2"/>
        <v>-1.2729999999999991E-2</v>
      </c>
      <c r="K24" s="249">
        <f>+'[9]Allocation = % of margin'!P24</f>
        <v>3.7289999999999997E-2</v>
      </c>
      <c r="L24" s="249">
        <f>+'[9]Allocation = % of margin'!S24</f>
        <v>-4.6000000000000001E-4</v>
      </c>
      <c r="M24" s="249">
        <f>+'[9]Allocation = % of margin'!V24</f>
        <v>0</v>
      </c>
      <c r="N24" s="249">
        <f>+'[9]Allocation = % of margin'!Y24</f>
        <v>5.28E-3</v>
      </c>
      <c r="O24" s="249">
        <f>+'[9]Allocation = % of margin'!AB24</f>
        <v>8.4999999999999995E-4</v>
      </c>
      <c r="P24" s="249">
        <f>'[9]Allocation = % of margin'!AE24</f>
        <v>-6.0000000000000002E-5</v>
      </c>
      <c r="Q24" s="249">
        <f>' Increments  equal ¢ per therm'!Q24</f>
        <v>0</v>
      </c>
      <c r="R24" s="249">
        <f>'[9]Allocation = % of margin'!AH24</f>
        <v>5.0899999999999999E-3</v>
      </c>
      <c r="S24" s="249">
        <f>' Increments  equal ¢ per therm'!T24</f>
        <v>0</v>
      </c>
      <c r="T24" s="249">
        <f>'[9]Allocation = % of revenue'!M24</f>
        <v>0</v>
      </c>
      <c r="U24" s="249">
        <f>'[9]Allocation = % of margin'!AK24</f>
        <v>1.307E-2</v>
      </c>
      <c r="V24" s="249">
        <f>' Increments  equal ¢ per therm'!W24</f>
        <v>0.24073</v>
      </c>
      <c r="W24" s="249">
        <f t="shared" si="3"/>
        <v>0.12733</v>
      </c>
      <c r="X24" s="249">
        <f t="shared" si="4"/>
        <v>-1.1599999999999971E-2</v>
      </c>
      <c r="Y24" s="243"/>
      <c r="Z24" s="248">
        <f t="shared" si="5"/>
        <v>9.0500000000000011E-2</v>
      </c>
      <c r="AA24" s="248">
        <f t="shared" si="6"/>
        <v>2.4289999999999999E-2</v>
      </c>
      <c r="AB24" s="248">
        <f t="shared" si="7"/>
        <v>-0.14299000000000001</v>
      </c>
      <c r="AC24" s="248">
        <f t="shared" si="8"/>
        <v>-3.1469999999999998E-2</v>
      </c>
      <c r="AD24" s="248">
        <f t="shared" si="9"/>
        <v>0.30179</v>
      </c>
      <c r="AE24" s="248">
        <f t="shared" si="10"/>
        <v>0.12733</v>
      </c>
      <c r="AF24" s="248">
        <f>[9]Permanents!G24</f>
        <v>0.33885999999999994</v>
      </c>
      <c r="AG24" s="247">
        <f t="shared" si="11"/>
        <v>0</v>
      </c>
      <c r="AH24" s="243">
        <f t="shared" si="12"/>
        <v>-0.17446</v>
      </c>
      <c r="AI24" s="243">
        <f t="shared" si="13"/>
        <v>0</v>
      </c>
      <c r="AJ24" s="243">
        <f t="shared" si="14"/>
        <v>5.0899999999999999E-3</v>
      </c>
      <c r="AK24" s="243">
        <f t="shared" si="15"/>
        <v>0</v>
      </c>
      <c r="AL24" s="243">
        <f t="shared" si="16"/>
        <v>3.6829999999999995E-2</v>
      </c>
      <c r="AM24" s="243">
        <f t="shared" si="17"/>
        <v>-6.0000000000000002E-5</v>
      </c>
      <c r="AN24" s="243">
        <f t="shared" si="18"/>
        <v>0</v>
      </c>
      <c r="AO24" s="243">
        <f>[9]Permanents!F24</f>
        <v>6.0000000000000002E-5</v>
      </c>
      <c r="AP24" s="243">
        <f t="shared" si="19"/>
        <v>1.307E-2</v>
      </c>
      <c r="AQ24" s="243">
        <f t="shared" si="20"/>
        <v>0.24073</v>
      </c>
      <c r="AR24" s="243"/>
      <c r="AS24" s="243"/>
      <c r="AT24" s="243">
        <f t="shared" si="21"/>
        <v>5.28E-3</v>
      </c>
      <c r="AU24" s="243">
        <f t="shared" si="22"/>
        <v>8.4999999999999995E-4</v>
      </c>
      <c r="AV24" s="243">
        <f t="shared" si="23"/>
        <v>6.13E-3</v>
      </c>
      <c r="AW24" s="246">
        <f>[32]Temporaries!Q24</f>
        <v>0</v>
      </c>
      <c r="AX24" s="246">
        <f>SUM([32]Temporaries!K24:M24)</f>
        <v>3.5799999999999998E-2</v>
      </c>
      <c r="AY24" s="246">
        <f>SUM([32]Temporaries!N24:O24)</f>
        <v>6.6300000000000005E-3</v>
      </c>
      <c r="AZ24" s="245">
        <f>[32]Temporaries!R24</f>
        <v>4.81E-3</v>
      </c>
      <c r="BA24" s="245">
        <f t="shared" si="24"/>
        <v>-0.16173000000000001</v>
      </c>
      <c r="BB24" s="255">
        <f>[32]Temporaries!P24</f>
        <v>-3.8000000000000002E-4</v>
      </c>
      <c r="BC24" s="245">
        <f>[32]Temporaries!S24</f>
        <v>0</v>
      </c>
      <c r="BD24" s="245">
        <f>[32]Temporaries!T24</f>
        <v>0</v>
      </c>
      <c r="BE24" s="245">
        <f>[32]Temporaries!U24</f>
        <v>1.307E-2</v>
      </c>
      <c r="BF24" s="245">
        <v>0.24073</v>
      </c>
      <c r="BG24" s="245"/>
      <c r="BH24" s="244">
        <f t="shared" si="25"/>
        <v>0</v>
      </c>
      <c r="BI24" s="243">
        <f t="shared" si="26"/>
        <v>0.26496000000000003</v>
      </c>
      <c r="BJ24" s="243">
        <f t="shared" si="27"/>
        <v>9.0500000000000011E-2</v>
      </c>
    </row>
    <row r="25" spans="1:62" x14ac:dyDescent="0.35">
      <c r="A25" s="233">
        <f t="shared" si="0"/>
        <v>19</v>
      </c>
      <c r="B25" s="233" t="s">
        <v>65</v>
      </c>
      <c r="C25" s="261" t="s">
        <v>61</v>
      </c>
      <c r="D25" s="259">
        <v>0.10593</v>
      </c>
      <c r="E25" s="259">
        <v>-0.16173000000000001</v>
      </c>
      <c r="F25" s="259">
        <f>+' Increments  equal ¢ per therm'!H25</f>
        <v>-0.14299000000000001</v>
      </c>
      <c r="G25" s="259">
        <f>+' Increments  equal ¢ per therm'!K25</f>
        <v>0</v>
      </c>
      <c r="H25" s="259">
        <f>+' Increments  equal ¢ per therm'!N25</f>
        <v>-3.1469999999999998E-2</v>
      </c>
      <c r="I25" s="259">
        <f t="shared" si="1"/>
        <v>-0.17446</v>
      </c>
      <c r="J25" s="259">
        <f t="shared" si="2"/>
        <v>-1.2729999999999991E-2</v>
      </c>
      <c r="K25" s="243">
        <f>+'[9]Allocation = % of margin'!P25</f>
        <v>0</v>
      </c>
      <c r="L25" s="243">
        <f>+'[9]Allocation = % of margin'!S25</f>
        <v>0</v>
      </c>
      <c r="M25" s="243">
        <f>+'[9]Allocation = % of margin'!V25</f>
        <v>0</v>
      </c>
      <c r="N25" s="243">
        <f>+'[9]Allocation = % of margin'!Y25</f>
        <v>5.6699999999999997E-3</v>
      </c>
      <c r="O25" s="243">
        <f>+'[9]Allocation = % of margin'!AB25</f>
        <v>9.1E-4</v>
      </c>
      <c r="P25" s="243">
        <f>'[9]Allocation = % of margin'!AE25</f>
        <v>-6.9999999999999994E-5</v>
      </c>
      <c r="Q25" s="243">
        <f>' Increments  equal ¢ per therm'!Q25</f>
        <v>0</v>
      </c>
      <c r="R25" s="243">
        <f>'[9]Allocation = % of margin'!AH25</f>
        <v>5.47E-3</v>
      </c>
      <c r="S25" s="243">
        <f>' Increments  equal ¢ per therm'!T25</f>
        <v>3.5E-4</v>
      </c>
      <c r="T25" s="243">
        <f>'[9]Allocation = % of revenue'!M25</f>
        <v>0</v>
      </c>
      <c r="U25" s="243">
        <f>'[9]Allocation = % of margin'!AK25</f>
        <v>1.4030000000000001E-2</v>
      </c>
      <c r="V25" s="243">
        <f>' Increments  equal ¢ per therm'!W25</f>
        <v>0.24073</v>
      </c>
      <c r="W25" s="243">
        <f t="shared" si="3"/>
        <v>9.262999999999999E-2</v>
      </c>
      <c r="X25" s="243">
        <f t="shared" si="4"/>
        <v>-1.3300000000000006E-2</v>
      </c>
      <c r="Y25" s="243"/>
      <c r="Z25" s="248">
        <f t="shared" si="5"/>
        <v>9.262999999999999E-2</v>
      </c>
      <c r="AA25" s="248">
        <f t="shared" si="6"/>
        <v>2.6430000000000002E-2</v>
      </c>
      <c r="AB25" s="248">
        <f t="shared" si="7"/>
        <v>-0.14299000000000001</v>
      </c>
      <c r="AC25" s="248">
        <f t="shared" si="8"/>
        <v>-3.1469999999999998E-2</v>
      </c>
      <c r="AD25" s="248">
        <f t="shared" si="9"/>
        <v>0.26708999999999999</v>
      </c>
      <c r="AE25" s="248">
        <f t="shared" si="10"/>
        <v>9.262999999999999E-2</v>
      </c>
      <c r="AF25" s="248">
        <f>[9]Permanents!G25</f>
        <v>0.36384999999999995</v>
      </c>
      <c r="AG25" s="247">
        <f t="shared" si="11"/>
        <v>0</v>
      </c>
      <c r="AH25" s="243">
        <f t="shared" si="12"/>
        <v>-0.17446</v>
      </c>
      <c r="AI25" s="243">
        <f t="shared" si="13"/>
        <v>0</v>
      </c>
      <c r="AJ25" s="243">
        <f t="shared" si="14"/>
        <v>5.47E-3</v>
      </c>
      <c r="AK25" s="243">
        <f t="shared" si="15"/>
        <v>3.5E-4</v>
      </c>
      <c r="AL25" s="243">
        <f t="shared" si="16"/>
        <v>0</v>
      </c>
      <c r="AM25" s="243">
        <f t="shared" si="17"/>
        <v>-6.9999999999999994E-5</v>
      </c>
      <c r="AN25" s="243">
        <f t="shared" si="18"/>
        <v>0</v>
      </c>
      <c r="AO25" s="243">
        <f>[9]Permanents!F25</f>
        <v>6.9999999999999994E-5</v>
      </c>
      <c r="AP25" s="243">
        <f t="shared" si="19"/>
        <v>1.4030000000000001E-2</v>
      </c>
      <c r="AQ25" s="243">
        <f t="shared" si="20"/>
        <v>0.24073</v>
      </c>
      <c r="AR25" s="243"/>
      <c r="AS25" s="243"/>
      <c r="AT25" s="243">
        <f t="shared" si="21"/>
        <v>5.6699999999999997E-3</v>
      </c>
      <c r="AU25" s="243">
        <f t="shared" si="22"/>
        <v>9.1E-4</v>
      </c>
      <c r="AV25" s="243">
        <f t="shared" si="23"/>
        <v>6.5799999999999999E-3</v>
      </c>
      <c r="AW25" s="246">
        <f>[32]Temporaries!Q25</f>
        <v>0</v>
      </c>
      <c r="AX25" s="246">
        <f>SUM([32]Temporaries!K25:M25)</f>
        <v>0</v>
      </c>
      <c r="AY25" s="246">
        <f>SUM([32]Temporaries!N25:O25)</f>
        <v>7.1199999999999996E-3</v>
      </c>
      <c r="AZ25" s="245">
        <f>[32]Temporaries!R25</f>
        <v>5.1599999999999997E-3</v>
      </c>
      <c r="BA25" s="245">
        <f t="shared" si="24"/>
        <v>-0.16173000000000001</v>
      </c>
      <c r="BB25" s="255">
        <f>[32]Temporaries!P25</f>
        <v>-4.0999999999999999E-4</v>
      </c>
      <c r="BC25" s="245">
        <f>[32]Temporaries!S25</f>
        <v>1.0300000000000001E-3</v>
      </c>
      <c r="BD25" s="245">
        <f>[32]Temporaries!T25</f>
        <v>0</v>
      </c>
      <c r="BE25" s="245">
        <f>[32]Temporaries!U25</f>
        <v>1.4030000000000001E-2</v>
      </c>
      <c r="BF25" s="245">
        <v>0.24073</v>
      </c>
      <c r="BG25" s="245"/>
      <c r="BH25" s="244">
        <f t="shared" si="25"/>
        <v>0</v>
      </c>
      <c r="BI25" s="243">
        <f t="shared" si="26"/>
        <v>0.26708999999999999</v>
      </c>
      <c r="BJ25" s="243">
        <f t="shared" si="27"/>
        <v>9.262999999999999E-2</v>
      </c>
    </row>
    <row r="26" spans="1:62" x14ac:dyDescent="0.35">
      <c r="A26" s="233">
        <f t="shared" si="0"/>
        <v>20</v>
      </c>
      <c r="B26" s="258"/>
      <c r="C26" s="260" t="s">
        <v>62</v>
      </c>
      <c r="D26" s="251">
        <v>0.10284999999999997</v>
      </c>
      <c r="E26" s="251">
        <v>-0.16173000000000001</v>
      </c>
      <c r="F26" s="251">
        <f>+' Increments  equal ¢ per therm'!H26</f>
        <v>-0.14299000000000001</v>
      </c>
      <c r="G26" s="251">
        <f>+' Increments  equal ¢ per therm'!K26</f>
        <v>0</v>
      </c>
      <c r="H26" s="251">
        <f>+' Increments  equal ¢ per therm'!N26</f>
        <v>-3.1469999999999998E-2</v>
      </c>
      <c r="I26" s="251">
        <f t="shared" si="1"/>
        <v>-0.17446</v>
      </c>
      <c r="J26" s="251">
        <f t="shared" si="2"/>
        <v>-1.2729999999999991E-2</v>
      </c>
      <c r="K26" s="249">
        <f>+'[9]Allocation = % of margin'!P26</f>
        <v>0</v>
      </c>
      <c r="L26" s="249">
        <f>+'[9]Allocation = % of margin'!S26</f>
        <v>0</v>
      </c>
      <c r="M26" s="249">
        <f>+'[9]Allocation = % of margin'!V26</f>
        <v>0</v>
      </c>
      <c r="N26" s="249">
        <f>+'[9]Allocation = % of margin'!Y26</f>
        <v>5.0000000000000001E-3</v>
      </c>
      <c r="O26" s="249">
        <f>+'[9]Allocation = % of margin'!AB26</f>
        <v>8.0999999999999996E-4</v>
      </c>
      <c r="P26" s="249">
        <f>'[9]Allocation = % of margin'!AE26</f>
        <v>-6.0000000000000002E-5</v>
      </c>
      <c r="Q26" s="249">
        <f>' Increments  equal ¢ per therm'!Q26</f>
        <v>0</v>
      </c>
      <c r="R26" s="249">
        <f>'[9]Allocation = % of margin'!AH26</f>
        <v>4.8199999999999996E-3</v>
      </c>
      <c r="S26" s="249">
        <f>' Increments  equal ¢ per therm'!T26</f>
        <v>3.5E-4</v>
      </c>
      <c r="T26" s="249">
        <f>'[9]Allocation = % of revenue'!M26</f>
        <v>0</v>
      </c>
      <c r="U26" s="249">
        <f>'[9]Allocation = % of margin'!AK26</f>
        <v>1.2359999999999999E-2</v>
      </c>
      <c r="V26" s="249">
        <f>' Increments  equal ¢ per therm'!W26</f>
        <v>0.24073</v>
      </c>
      <c r="W26" s="249">
        <f t="shared" si="3"/>
        <v>8.9550000000000018E-2</v>
      </c>
      <c r="X26" s="249">
        <f t="shared" si="4"/>
        <v>-1.3299999999999951E-2</v>
      </c>
      <c r="Y26" s="243"/>
      <c r="Z26" s="248">
        <f t="shared" si="5"/>
        <v>8.9550000000000018E-2</v>
      </c>
      <c r="AA26" s="248">
        <f t="shared" si="6"/>
        <v>2.334E-2</v>
      </c>
      <c r="AB26" s="248">
        <f t="shared" si="7"/>
        <v>-0.14299000000000001</v>
      </c>
      <c r="AC26" s="248">
        <f t="shared" si="8"/>
        <v>-3.1469999999999998E-2</v>
      </c>
      <c r="AD26" s="248">
        <f t="shared" si="9"/>
        <v>0.26401000000000002</v>
      </c>
      <c r="AE26" s="248">
        <f t="shared" si="10"/>
        <v>8.9550000000000018E-2</v>
      </c>
      <c r="AF26" s="248">
        <f>[9]Permanents!G26</f>
        <v>0.32056000000000001</v>
      </c>
      <c r="AG26" s="247">
        <f t="shared" si="11"/>
        <v>0</v>
      </c>
      <c r="AH26" s="243">
        <f t="shared" si="12"/>
        <v>-0.17446</v>
      </c>
      <c r="AI26" s="243">
        <f t="shared" si="13"/>
        <v>0</v>
      </c>
      <c r="AJ26" s="243">
        <f t="shared" si="14"/>
        <v>4.8199999999999996E-3</v>
      </c>
      <c r="AK26" s="243">
        <f t="shared" si="15"/>
        <v>3.5E-4</v>
      </c>
      <c r="AL26" s="243">
        <f t="shared" si="16"/>
        <v>0</v>
      </c>
      <c r="AM26" s="243">
        <f t="shared" si="17"/>
        <v>-6.0000000000000002E-5</v>
      </c>
      <c r="AN26" s="243">
        <f t="shared" si="18"/>
        <v>0</v>
      </c>
      <c r="AO26" s="243">
        <f>[9]Permanents!F26</f>
        <v>6.0000000000000002E-5</v>
      </c>
      <c r="AP26" s="243">
        <f t="shared" si="19"/>
        <v>1.2359999999999999E-2</v>
      </c>
      <c r="AQ26" s="243">
        <f t="shared" si="20"/>
        <v>0.24073</v>
      </c>
      <c r="AR26" s="243"/>
      <c r="AS26" s="243"/>
      <c r="AT26" s="243">
        <f t="shared" si="21"/>
        <v>5.0000000000000001E-3</v>
      </c>
      <c r="AU26" s="243">
        <f t="shared" si="22"/>
        <v>8.0999999999999996E-4</v>
      </c>
      <c r="AV26" s="243">
        <f t="shared" si="23"/>
        <v>5.8100000000000001E-3</v>
      </c>
      <c r="AW26" s="246">
        <f>[32]Temporaries!Q26</f>
        <v>0</v>
      </c>
      <c r="AX26" s="246">
        <f>SUM([32]Temporaries!K26:M26)</f>
        <v>0</v>
      </c>
      <c r="AY26" s="246">
        <f>SUM([32]Temporaries!N26:O26)</f>
        <v>6.2700000000000004E-3</v>
      </c>
      <c r="AZ26" s="245">
        <f>[32]Temporaries!R26</f>
        <v>4.5500000000000002E-3</v>
      </c>
      <c r="BA26" s="245">
        <f t="shared" si="24"/>
        <v>-0.16173000000000001</v>
      </c>
      <c r="BB26" s="255">
        <f>[32]Temporaries!P26</f>
        <v>-3.6000000000000002E-4</v>
      </c>
      <c r="BC26" s="245">
        <f>[32]Temporaries!S26</f>
        <v>1.0300000000000001E-3</v>
      </c>
      <c r="BD26" s="245">
        <f>[32]Temporaries!T26</f>
        <v>0</v>
      </c>
      <c r="BE26" s="245">
        <f>[32]Temporaries!U26</f>
        <v>1.2359999999999999E-2</v>
      </c>
      <c r="BF26" s="245">
        <v>0.24073</v>
      </c>
      <c r="BG26" s="245"/>
      <c r="BH26" s="244">
        <f t="shared" si="25"/>
        <v>0</v>
      </c>
      <c r="BI26" s="243">
        <f t="shared" si="26"/>
        <v>0.26401000000000002</v>
      </c>
      <c r="BJ26" s="243">
        <f t="shared" si="27"/>
        <v>8.9550000000000018E-2</v>
      </c>
    </row>
    <row r="27" spans="1:62" x14ac:dyDescent="0.35">
      <c r="A27" s="233">
        <f t="shared" si="0"/>
        <v>21</v>
      </c>
      <c r="B27" s="233" t="s">
        <v>66</v>
      </c>
      <c r="C27" s="261" t="s">
        <v>61</v>
      </c>
      <c r="D27" s="259">
        <v>0.26258999999999999</v>
      </c>
      <c r="E27" s="259">
        <v>0</v>
      </c>
      <c r="F27" s="259">
        <f>+' Increments  equal ¢ per therm'!H27</f>
        <v>0</v>
      </c>
      <c r="G27" s="259">
        <f>+' Increments  equal ¢ per therm'!K27</f>
        <v>0</v>
      </c>
      <c r="H27" s="259">
        <f>+' Increments  equal ¢ per therm'!N27</f>
        <v>0</v>
      </c>
      <c r="I27" s="259">
        <f t="shared" si="1"/>
        <v>0</v>
      </c>
      <c r="J27" s="259">
        <f t="shared" si="2"/>
        <v>0</v>
      </c>
      <c r="K27" s="243">
        <f>+'[9]Allocation = % of margin'!P27</f>
        <v>0</v>
      </c>
      <c r="L27" s="243">
        <f>+'[9]Allocation = % of margin'!S27</f>
        <v>0</v>
      </c>
      <c r="M27" s="243">
        <f>+'[9]Allocation = % of margin'!V27</f>
        <v>0</v>
      </c>
      <c r="N27" s="243">
        <f>+'[9]Allocation = % of margin'!Y27</f>
        <v>0</v>
      </c>
      <c r="O27" s="243">
        <f>+'[9]Allocation = % of margin'!AB27</f>
        <v>0</v>
      </c>
      <c r="P27" s="243">
        <f>'[9]Allocation = % of margin'!AE27</f>
        <v>-8.0000000000000007E-5</v>
      </c>
      <c r="Q27" s="243">
        <f>' Increments  equal ¢ per therm'!Q27</f>
        <v>0</v>
      </c>
      <c r="R27" s="243">
        <f>'[9]Allocation = % of margin'!AH27</f>
        <v>6.1599999999999997E-3</v>
      </c>
      <c r="S27" s="243">
        <f>' Increments  equal ¢ per therm'!T27</f>
        <v>3.5E-4</v>
      </c>
      <c r="T27" s="243">
        <f>'[9]Allocation = % of revenue'!M27</f>
        <v>1.0000000000000001E-5</v>
      </c>
      <c r="U27" s="243">
        <f>'[9]Allocation = % of margin'!AK27</f>
        <v>1.5440000000000001E-2</v>
      </c>
      <c r="V27" s="243">
        <f>' Increments  equal ¢ per therm'!W27</f>
        <v>0.24073</v>
      </c>
      <c r="W27" s="243">
        <f t="shared" si="3"/>
        <v>0.26261000000000001</v>
      </c>
      <c r="X27" s="243">
        <f t="shared" si="4"/>
        <v>2.0000000000020002E-5</v>
      </c>
      <c r="Y27" s="243"/>
      <c r="Z27" s="248">
        <f t="shared" si="5"/>
        <v>0.26261000000000001</v>
      </c>
      <c r="AA27" s="248">
        <f t="shared" si="6"/>
        <v>2.196E-2</v>
      </c>
      <c r="AB27" s="248">
        <f t="shared" si="7"/>
        <v>0</v>
      </c>
      <c r="AC27" s="248">
        <f t="shared" si="8"/>
        <v>0</v>
      </c>
      <c r="AD27" s="248">
        <f t="shared" si="9"/>
        <v>0.26261000000000001</v>
      </c>
      <c r="AE27" s="248">
        <f t="shared" si="10"/>
        <v>0.26261000000000001</v>
      </c>
      <c r="AF27" s="248">
        <f>[9]Permanents!G27</f>
        <v>0.37784999999999996</v>
      </c>
      <c r="AG27" s="247">
        <f t="shared" si="11"/>
        <v>0</v>
      </c>
      <c r="AH27" s="243">
        <f t="shared" si="12"/>
        <v>0</v>
      </c>
      <c r="AI27" s="243">
        <f t="shared" si="13"/>
        <v>0</v>
      </c>
      <c r="AJ27" s="243">
        <f t="shared" si="14"/>
        <v>6.1599999999999997E-3</v>
      </c>
      <c r="AK27" s="243">
        <f t="shared" si="15"/>
        <v>3.5E-4</v>
      </c>
      <c r="AL27" s="243">
        <f t="shared" si="16"/>
        <v>0</v>
      </c>
      <c r="AM27" s="243">
        <f t="shared" si="17"/>
        <v>-8.0000000000000007E-5</v>
      </c>
      <c r="AN27" s="243">
        <f t="shared" si="18"/>
        <v>1.0000000000000001E-5</v>
      </c>
      <c r="AO27" s="243">
        <f>[9]Permanents!F27</f>
        <v>0</v>
      </c>
      <c r="AP27" s="243">
        <f t="shared" si="19"/>
        <v>1.5440000000000001E-2</v>
      </c>
      <c r="AQ27" s="243">
        <f t="shared" si="20"/>
        <v>0.24073</v>
      </c>
      <c r="AR27" s="243"/>
      <c r="AS27" s="243"/>
      <c r="AT27" s="243">
        <f t="shared" si="21"/>
        <v>0</v>
      </c>
      <c r="AU27" s="243">
        <f t="shared" si="22"/>
        <v>0</v>
      </c>
      <c r="AV27" s="243">
        <f t="shared" si="23"/>
        <v>0</v>
      </c>
      <c r="AW27" s="246">
        <f>[32]Temporaries!Q27</f>
        <v>0</v>
      </c>
      <c r="AX27" s="246">
        <f>SUM([32]Temporaries!K27:M27)</f>
        <v>0</v>
      </c>
      <c r="AY27" s="246">
        <f>SUM([32]Temporaries!N27:O27)</f>
        <v>0</v>
      </c>
      <c r="AZ27" s="245">
        <f>[32]Temporaries!R27</f>
        <v>5.6899999999999997E-3</v>
      </c>
      <c r="BA27" s="245">
        <f t="shared" si="24"/>
        <v>0</v>
      </c>
      <c r="BB27" s="255">
        <f>[32]Temporaries!P27</f>
        <v>-4.4999999999999999E-4</v>
      </c>
      <c r="BC27" s="245">
        <f>[32]Temporaries!S27</f>
        <v>1.0300000000000001E-3</v>
      </c>
      <c r="BD27" s="245">
        <f>[32]Temporaries!T27</f>
        <v>1.4999999999999999E-4</v>
      </c>
      <c r="BE27" s="245">
        <f>[32]Temporaries!U27</f>
        <v>1.5440000000000001E-2</v>
      </c>
      <c r="BF27" s="245">
        <v>0.24073</v>
      </c>
      <c r="BG27" s="245"/>
      <c r="BH27" s="244">
        <f t="shared" si="25"/>
        <v>0</v>
      </c>
      <c r="BI27" s="243">
        <f t="shared" si="26"/>
        <v>0.26261000000000001</v>
      </c>
      <c r="BJ27" s="243">
        <f t="shared" si="27"/>
        <v>0.26261000000000001</v>
      </c>
    </row>
    <row r="28" spans="1:62" x14ac:dyDescent="0.35">
      <c r="A28" s="233">
        <f t="shared" si="0"/>
        <v>22</v>
      </c>
      <c r="B28" s="258"/>
      <c r="C28" s="260" t="s">
        <v>62</v>
      </c>
      <c r="D28" s="251">
        <v>0.26011000000000001</v>
      </c>
      <c r="E28" s="251">
        <v>0</v>
      </c>
      <c r="F28" s="251">
        <f>+' Increments  equal ¢ per therm'!H28</f>
        <v>0</v>
      </c>
      <c r="G28" s="251">
        <f>+' Increments  equal ¢ per therm'!K28</f>
        <v>0</v>
      </c>
      <c r="H28" s="251">
        <f>+' Increments  equal ¢ per therm'!N28</f>
        <v>0</v>
      </c>
      <c r="I28" s="251">
        <f t="shared" si="1"/>
        <v>0</v>
      </c>
      <c r="J28" s="251">
        <f t="shared" si="2"/>
        <v>0</v>
      </c>
      <c r="K28" s="249">
        <f>+'[9]Allocation = % of margin'!P28</f>
        <v>0</v>
      </c>
      <c r="L28" s="249">
        <f>+'[9]Allocation = % of margin'!S28</f>
        <v>0</v>
      </c>
      <c r="M28" s="249">
        <f>+'[9]Allocation = % of margin'!V28</f>
        <v>0</v>
      </c>
      <c r="N28" s="249">
        <f>+'[9]Allocation = % of margin'!Y28</f>
        <v>0</v>
      </c>
      <c r="O28" s="249">
        <f>+'[9]Allocation = % of margin'!AB28</f>
        <v>0</v>
      </c>
      <c r="P28" s="249">
        <f>'[9]Allocation = % of margin'!AE28</f>
        <v>-6.9999999999999994E-5</v>
      </c>
      <c r="Q28" s="249">
        <f>' Increments  equal ¢ per therm'!Q28</f>
        <v>0</v>
      </c>
      <c r="R28" s="249">
        <f>'[9]Allocation = % of margin'!AH28</f>
        <v>5.4299999999999999E-3</v>
      </c>
      <c r="S28" s="249">
        <f>' Increments  equal ¢ per therm'!T28</f>
        <v>3.5E-4</v>
      </c>
      <c r="T28" s="249">
        <f>'[9]Allocation = % of revenue'!M28</f>
        <v>1.0000000000000001E-5</v>
      </c>
      <c r="U28" s="249">
        <f>'[9]Allocation = % of margin'!AK28</f>
        <v>1.3599999999999999E-2</v>
      </c>
      <c r="V28" s="249">
        <f>' Increments  equal ¢ per therm'!W28</f>
        <v>0.24073</v>
      </c>
      <c r="W28" s="249">
        <f t="shared" si="3"/>
        <v>0.26005</v>
      </c>
      <c r="X28" s="249">
        <f t="shared" si="4"/>
        <v>-6.0000000000004494E-5</v>
      </c>
      <c r="Y28" s="243"/>
      <c r="Z28" s="248">
        <f t="shared" si="5"/>
        <v>0.26005</v>
      </c>
      <c r="AA28" s="248">
        <f t="shared" si="6"/>
        <v>1.9389999999999998E-2</v>
      </c>
      <c r="AB28" s="248">
        <f t="shared" si="7"/>
        <v>0</v>
      </c>
      <c r="AC28" s="248">
        <f t="shared" si="8"/>
        <v>0</v>
      </c>
      <c r="AD28" s="248">
        <f t="shared" si="9"/>
        <v>0.26005</v>
      </c>
      <c r="AE28" s="248">
        <f t="shared" si="10"/>
        <v>0.26005</v>
      </c>
      <c r="AF28" s="248">
        <f>[9]Permanents!G28</f>
        <v>0.33291000000000004</v>
      </c>
      <c r="AG28" s="247">
        <f t="shared" si="11"/>
        <v>0</v>
      </c>
      <c r="AH28" s="243">
        <f t="shared" si="12"/>
        <v>0</v>
      </c>
      <c r="AI28" s="243">
        <f t="shared" si="13"/>
        <v>0</v>
      </c>
      <c r="AJ28" s="243">
        <f t="shared" si="14"/>
        <v>5.4299999999999999E-3</v>
      </c>
      <c r="AK28" s="243">
        <f t="shared" si="15"/>
        <v>3.5E-4</v>
      </c>
      <c r="AL28" s="243">
        <f t="shared" si="16"/>
        <v>0</v>
      </c>
      <c r="AM28" s="243">
        <f t="shared" si="17"/>
        <v>-6.9999999999999994E-5</v>
      </c>
      <c r="AN28" s="243">
        <f t="shared" si="18"/>
        <v>1.0000000000000001E-5</v>
      </c>
      <c r="AO28" s="243">
        <f>[9]Permanents!F28</f>
        <v>0</v>
      </c>
      <c r="AP28" s="243">
        <f t="shared" si="19"/>
        <v>1.3599999999999999E-2</v>
      </c>
      <c r="AQ28" s="243">
        <f t="shared" si="20"/>
        <v>0.24073</v>
      </c>
      <c r="AR28" s="243"/>
      <c r="AS28" s="243"/>
      <c r="AT28" s="243">
        <f t="shared" si="21"/>
        <v>0</v>
      </c>
      <c r="AU28" s="243">
        <f t="shared" si="22"/>
        <v>0</v>
      </c>
      <c r="AV28" s="243">
        <f t="shared" si="23"/>
        <v>0</v>
      </c>
      <c r="AW28" s="246">
        <f>[32]Temporaries!Q28</f>
        <v>0</v>
      </c>
      <c r="AX28" s="246">
        <f>SUM([32]Temporaries!K28:M28)</f>
        <v>0</v>
      </c>
      <c r="AY28" s="246">
        <f>SUM([32]Temporaries!N28:O28)</f>
        <v>0</v>
      </c>
      <c r="AZ28" s="245">
        <f>[32]Temporaries!R28</f>
        <v>5.0099999999999997E-3</v>
      </c>
      <c r="BA28" s="245">
        <f t="shared" si="24"/>
        <v>0</v>
      </c>
      <c r="BB28" s="255">
        <f>[32]Temporaries!P28</f>
        <v>-4.0000000000000002E-4</v>
      </c>
      <c r="BC28" s="245">
        <f>[32]Temporaries!S28</f>
        <v>1.0300000000000001E-3</v>
      </c>
      <c r="BD28" s="245">
        <f>[32]Temporaries!T28</f>
        <v>1.3999999999999999E-4</v>
      </c>
      <c r="BE28" s="245">
        <f>[32]Temporaries!U28</f>
        <v>1.3599999999999999E-2</v>
      </c>
      <c r="BF28" s="245">
        <v>0.24073</v>
      </c>
      <c r="BG28" s="245"/>
      <c r="BH28" s="244">
        <f t="shared" si="25"/>
        <v>0</v>
      </c>
      <c r="BI28" s="243">
        <f t="shared" si="26"/>
        <v>0.26005</v>
      </c>
      <c r="BJ28" s="243">
        <f t="shared" si="27"/>
        <v>0.26005</v>
      </c>
    </row>
    <row r="29" spans="1:62" x14ac:dyDescent="0.35">
      <c r="A29" s="233">
        <f t="shared" si="0"/>
        <v>23</v>
      </c>
      <c r="B29" s="263" t="s">
        <v>163</v>
      </c>
      <c r="C29" s="261" t="s">
        <v>61</v>
      </c>
      <c r="D29" s="256">
        <v>0.26074999999999998</v>
      </c>
      <c r="E29" s="256">
        <v>0</v>
      </c>
      <c r="F29" s="259">
        <f>+' Increments  equal ¢ per therm'!H29</f>
        <v>0</v>
      </c>
      <c r="G29" s="259">
        <f>+' Increments  equal ¢ per therm'!K29</f>
        <v>0</v>
      </c>
      <c r="H29" s="259">
        <f>+' Increments  equal ¢ per therm'!N29</f>
        <v>0</v>
      </c>
      <c r="I29" s="259">
        <f t="shared" si="1"/>
        <v>0</v>
      </c>
      <c r="J29" s="259">
        <f t="shared" si="2"/>
        <v>0</v>
      </c>
      <c r="K29" s="243">
        <f>+'[9]Allocation = % of margin'!P29</f>
        <v>0</v>
      </c>
      <c r="L29" s="243">
        <f>+'[9]Allocation = % of margin'!S29</f>
        <v>0</v>
      </c>
      <c r="M29" s="243">
        <f>+'[9]Allocation = % of margin'!V29</f>
        <v>0</v>
      </c>
      <c r="N29" s="243">
        <f>+'[9]Allocation = % of margin'!Y29</f>
        <v>0</v>
      </c>
      <c r="O29" s="243">
        <f>+'[9]Allocation = % of margin'!AB29</f>
        <v>0</v>
      </c>
      <c r="P29" s="243">
        <f>'[9]Allocation = % of margin'!AE29</f>
        <v>-6.9999999999999994E-5</v>
      </c>
      <c r="Q29" s="243">
        <f>' Increments  equal ¢ per therm'!Q29</f>
        <v>0</v>
      </c>
      <c r="R29" s="243">
        <f>'[9]Allocation = % of margin'!AH29</f>
        <v>5.5300000000000002E-3</v>
      </c>
      <c r="S29" s="243">
        <f>' Increments  equal ¢ per therm'!T29</f>
        <v>3.5E-4</v>
      </c>
      <c r="T29" s="243">
        <f>'[9]Allocation = % of revenue'!M29</f>
        <v>0</v>
      </c>
      <c r="U29" s="243">
        <f>'[9]Allocation = % of margin'!AK29</f>
        <v>1.418E-2</v>
      </c>
      <c r="V29" s="243">
        <f>' Increments  equal ¢ per therm'!W29</f>
        <v>0.24073</v>
      </c>
      <c r="W29" s="243">
        <f t="shared" si="3"/>
        <v>0.26072000000000001</v>
      </c>
      <c r="X29" s="243">
        <f t="shared" si="4"/>
        <v>-2.9999999999974492E-5</v>
      </c>
      <c r="Y29" s="243"/>
      <c r="Z29" s="248">
        <f t="shared" si="5"/>
        <v>0.26072000000000001</v>
      </c>
      <c r="AA29" s="248">
        <f t="shared" si="6"/>
        <v>2.0060000000000001E-2</v>
      </c>
      <c r="AB29" s="248">
        <f t="shared" si="7"/>
        <v>0</v>
      </c>
      <c r="AC29" s="248">
        <f t="shared" si="8"/>
        <v>0</v>
      </c>
      <c r="AD29" s="248">
        <f t="shared" si="9"/>
        <v>0.26072000000000001</v>
      </c>
      <c r="AE29" s="248">
        <f t="shared" si="10"/>
        <v>0.26072000000000001</v>
      </c>
      <c r="AF29" s="248">
        <f>[9]Permanents!G29</f>
        <v>0.36781000000000003</v>
      </c>
      <c r="AG29" s="247">
        <f t="shared" si="11"/>
        <v>0</v>
      </c>
      <c r="AH29" s="243">
        <f t="shared" si="12"/>
        <v>0</v>
      </c>
      <c r="AI29" s="243">
        <f t="shared" si="13"/>
        <v>0</v>
      </c>
      <c r="AJ29" s="243">
        <f t="shared" si="14"/>
        <v>5.5300000000000002E-3</v>
      </c>
      <c r="AK29" s="243">
        <f t="shared" si="15"/>
        <v>3.5E-4</v>
      </c>
      <c r="AL29" s="243">
        <f t="shared" si="16"/>
        <v>0</v>
      </c>
      <c r="AM29" s="243">
        <f t="shared" si="17"/>
        <v>-6.9999999999999994E-5</v>
      </c>
      <c r="AN29" s="243">
        <f t="shared" si="18"/>
        <v>0</v>
      </c>
      <c r="AO29" s="243">
        <f>[9]Permanents!F29</f>
        <v>0</v>
      </c>
      <c r="AP29" s="243">
        <f t="shared" si="19"/>
        <v>1.418E-2</v>
      </c>
      <c r="AQ29" s="243">
        <f t="shared" si="20"/>
        <v>0.24073</v>
      </c>
      <c r="AR29" s="243"/>
      <c r="AS29" s="243"/>
      <c r="AT29" s="243">
        <f t="shared" si="21"/>
        <v>0</v>
      </c>
      <c r="AU29" s="243">
        <f t="shared" si="22"/>
        <v>0</v>
      </c>
      <c r="AV29" s="243">
        <f t="shared" si="23"/>
        <v>0</v>
      </c>
      <c r="AW29" s="246">
        <f>[32]Temporaries!Q29</f>
        <v>0</v>
      </c>
      <c r="AX29" s="246">
        <f>SUM([32]Temporaries!K29:M29)</f>
        <v>0</v>
      </c>
      <c r="AY29" s="246">
        <f>SUM([32]Temporaries!N29:O29)</f>
        <v>0</v>
      </c>
      <c r="AZ29" s="245">
        <f>[32]Temporaries!R29</f>
        <v>5.2199999999999998E-3</v>
      </c>
      <c r="BA29" s="245">
        <f t="shared" si="24"/>
        <v>0</v>
      </c>
      <c r="BB29" s="255">
        <f>[32]Temporaries!P29</f>
        <v>-4.0999999999999999E-4</v>
      </c>
      <c r="BC29" s="245">
        <f>[32]Temporaries!S29</f>
        <v>1.0300000000000001E-3</v>
      </c>
      <c r="BD29" s="245">
        <f>[32]Temporaries!T29</f>
        <v>0</v>
      </c>
      <c r="BE29" s="245">
        <f>[32]Temporaries!U29</f>
        <v>1.418E-2</v>
      </c>
      <c r="BF29" s="245">
        <v>0.24073</v>
      </c>
      <c r="BG29" s="245"/>
      <c r="BH29" s="244">
        <f t="shared" si="25"/>
        <v>0</v>
      </c>
      <c r="BI29" s="243">
        <f t="shared" si="26"/>
        <v>0.26072000000000001</v>
      </c>
      <c r="BJ29" s="243">
        <f t="shared" si="27"/>
        <v>0.26072000000000001</v>
      </c>
    </row>
    <row r="30" spans="1:62" x14ac:dyDescent="0.35">
      <c r="A30" s="233">
        <f t="shared" si="0"/>
        <v>24</v>
      </c>
      <c r="B30" s="258"/>
      <c r="C30" s="260" t="s">
        <v>62</v>
      </c>
      <c r="D30" s="251">
        <v>0.25850000000000001</v>
      </c>
      <c r="E30" s="251">
        <v>0</v>
      </c>
      <c r="F30" s="251">
        <f>+' Increments  equal ¢ per therm'!H30</f>
        <v>0</v>
      </c>
      <c r="G30" s="251">
        <f>+' Increments  equal ¢ per therm'!K30</f>
        <v>0</v>
      </c>
      <c r="H30" s="251">
        <f>+' Increments  equal ¢ per therm'!N30</f>
        <v>0</v>
      </c>
      <c r="I30" s="251">
        <f t="shared" si="1"/>
        <v>0</v>
      </c>
      <c r="J30" s="251">
        <f t="shared" si="2"/>
        <v>0</v>
      </c>
      <c r="K30" s="249">
        <f>+'[9]Allocation = % of margin'!P30</f>
        <v>0</v>
      </c>
      <c r="L30" s="249">
        <f>+'[9]Allocation = % of margin'!S30</f>
        <v>0</v>
      </c>
      <c r="M30" s="249">
        <f>+'[9]Allocation = % of margin'!V30</f>
        <v>0</v>
      </c>
      <c r="N30" s="249">
        <f>+'[9]Allocation = % of margin'!Y30</f>
        <v>0</v>
      </c>
      <c r="O30" s="249">
        <f>+'[9]Allocation = % of margin'!AB30</f>
        <v>0</v>
      </c>
      <c r="P30" s="249">
        <f>'[9]Allocation = % of margin'!AE30</f>
        <v>-6.0000000000000002E-5</v>
      </c>
      <c r="Q30" s="249">
        <f>' Increments  equal ¢ per therm'!Q30</f>
        <v>0</v>
      </c>
      <c r="R30" s="249">
        <f>'[9]Allocation = % of margin'!AH30</f>
        <v>4.8700000000000002E-3</v>
      </c>
      <c r="S30" s="249">
        <f>' Increments  equal ¢ per therm'!T30</f>
        <v>3.5E-4</v>
      </c>
      <c r="T30" s="249">
        <f>'[9]Allocation = % of revenue'!M30</f>
        <v>0</v>
      </c>
      <c r="U30" s="249">
        <f>'[9]Allocation = % of margin'!AK30</f>
        <v>1.2500000000000001E-2</v>
      </c>
      <c r="V30" s="249">
        <f>' Increments  equal ¢ per therm'!W30</f>
        <v>0.24073</v>
      </c>
      <c r="W30" s="249">
        <f t="shared" si="3"/>
        <v>0.25839000000000001</v>
      </c>
      <c r="X30" s="249">
        <f t="shared" si="4"/>
        <v>-1.0999999999999899E-4</v>
      </c>
      <c r="Y30" s="243"/>
      <c r="Z30" s="248">
        <f t="shared" si="5"/>
        <v>0.25839000000000001</v>
      </c>
      <c r="AA30" s="248">
        <f t="shared" si="6"/>
        <v>1.772E-2</v>
      </c>
      <c r="AB30" s="248">
        <f t="shared" si="7"/>
        <v>0</v>
      </c>
      <c r="AC30" s="248">
        <f t="shared" si="8"/>
        <v>0</v>
      </c>
      <c r="AD30" s="248">
        <f t="shared" si="9"/>
        <v>0.25839000000000001</v>
      </c>
      <c r="AE30" s="248">
        <f t="shared" si="10"/>
        <v>0.25839000000000001</v>
      </c>
      <c r="AF30" s="248">
        <f>[9]Permanents!G30</f>
        <v>0.32406000000000013</v>
      </c>
      <c r="AG30" s="247">
        <f t="shared" si="11"/>
        <v>0</v>
      </c>
      <c r="AH30" s="243">
        <f t="shared" si="12"/>
        <v>0</v>
      </c>
      <c r="AI30" s="243">
        <f t="shared" si="13"/>
        <v>0</v>
      </c>
      <c r="AJ30" s="243">
        <f t="shared" si="14"/>
        <v>4.8700000000000002E-3</v>
      </c>
      <c r="AK30" s="243">
        <f t="shared" si="15"/>
        <v>3.5E-4</v>
      </c>
      <c r="AL30" s="243">
        <f t="shared" si="16"/>
        <v>0</v>
      </c>
      <c r="AM30" s="243">
        <f t="shared" si="17"/>
        <v>-6.0000000000000002E-5</v>
      </c>
      <c r="AN30" s="243">
        <f t="shared" si="18"/>
        <v>0</v>
      </c>
      <c r="AO30" s="243">
        <f>[9]Permanents!F30</f>
        <v>0</v>
      </c>
      <c r="AP30" s="243">
        <f t="shared" si="19"/>
        <v>1.2500000000000001E-2</v>
      </c>
      <c r="AQ30" s="243">
        <f t="shared" si="20"/>
        <v>0.24073</v>
      </c>
      <c r="AR30" s="243"/>
      <c r="AS30" s="243"/>
      <c r="AT30" s="243">
        <f t="shared" si="21"/>
        <v>0</v>
      </c>
      <c r="AU30" s="243">
        <f t="shared" si="22"/>
        <v>0</v>
      </c>
      <c r="AV30" s="243">
        <f t="shared" si="23"/>
        <v>0</v>
      </c>
      <c r="AW30" s="246">
        <f>[32]Temporaries!Q30</f>
        <v>0</v>
      </c>
      <c r="AX30" s="246">
        <f>SUM([32]Temporaries!K30:M30)</f>
        <v>0</v>
      </c>
      <c r="AY30" s="246">
        <f>SUM([32]Temporaries!N30:O30)</f>
        <v>0</v>
      </c>
      <c r="AZ30" s="245">
        <f>[32]Temporaries!R30</f>
        <v>4.5999999999999999E-3</v>
      </c>
      <c r="BA30" s="245">
        <f t="shared" si="24"/>
        <v>0</v>
      </c>
      <c r="BB30" s="255">
        <f>[32]Temporaries!P30</f>
        <v>-3.6000000000000002E-4</v>
      </c>
      <c r="BC30" s="245">
        <f>[32]Temporaries!S30</f>
        <v>1.0300000000000001E-3</v>
      </c>
      <c r="BD30" s="245">
        <f>[32]Temporaries!T30</f>
        <v>0</v>
      </c>
      <c r="BE30" s="245">
        <f>[32]Temporaries!U30</f>
        <v>1.2500000000000001E-2</v>
      </c>
      <c r="BF30" s="245">
        <v>0.24073</v>
      </c>
      <c r="BG30" s="245"/>
      <c r="BH30" s="244">
        <f t="shared" si="25"/>
        <v>0</v>
      </c>
      <c r="BI30" s="243">
        <f t="shared" si="26"/>
        <v>0.25839000000000001</v>
      </c>
      <c r="BJ30" s="243">
        <f t="shared" si="27"/>
        <v>0.25839000000000001</v>
      </c>
    </row>
    <row r="31" spans="1:62" x14ac:dyDescent="0.35">
      <c r="A31" s="233">
        <f t="shared" si="0"/>
        <v>25</v>
      </c>
      <c r="B31" s="233" t="s">
        <v>68</v>
      </c>
      <c r="C31" s="261" t="s">
        <v>61</v>
      </c>
      <c r="D31" s="259">
        <v>0.15741999999999998</v>
      </c>
      <c r="E31" s="259">
        <v>-0.12498000000000001</v>
      </c>
      <c r="F31" s="259">
        <f>+' Increments  equal ¢ per therm'!H31</f>
        <v>-0.14299000000000001</v>
      </c>
      <c r="G31" s="259">
        <f>+' Increments  equal ¢ per therm'!K31</f>
        <v>-2.7019999999999999E-2</v>
      </c>
      <c r="H31" s="259">
        <f>+' Increments  equal ¢ per therm'!N31</f>
        <v>0</v>
      </c>
      <c r="I31" s="259">
        <f t="shared" si="1"/>
        <v>-0.17000999999999999</v>
      </c>
      <c r="J31" s="259">
        <f t="shared" si="2"/>
        <v>-4.5029999999999987E-2</v>
      </c>
      <c r="K31" s="243">
        <f>+'[9]Allocation = % of margin'!P31</f>
        <v>2.5569999999999999E-2</v>
      </c>
      <c r="L31" s="243">
        <f>+'[9]Allocation = % of margin'!S31</f>
        <v>-3.2000000000000003E-4</v>
      </c>
      <c r="M31" s="243">
        <f>+'[9]Allocation = % of margin'!V31</f>
        <v>0</v>
      </c>
      <c r="N31" s="243">
        <f>+'[9]Allocation = % of margin'!Y31</f>
        <v>3.5599999999999998E-3</v>
      </c>
      <c r="O31" s="243">
        <f>+'[9]Allocation = % of margin'!AB31</f>
        <v>5.6999999999999998E-4</v>
      </c>
      <c r="P31" s="243">
        <f>'[9]Allocation = % of margin'!AE31</f>
        <v>-4.0000000000000003E-5</v>
      </c>
      <c r="Q31" s="243">
        <f>' Increments  equal ¢ per therm'!Q31</f>
        <v>0</v>
      </c>
      <c r="R31" s="243">
        <f>'[9]Allocation = % of margin'!AH31</f>
        <v>3.3999999999999998E-3</v>
      </c>
      <c r="S31" s="243">
        <f>' Increments  equal ¢ per therm'!T31</f>
        <v>0</v>
      </c>
      <c r="T31" s="243">
        <f>'[9]Allocation = % of revenue'!M31</f>
        <v>1.0000000000000001E-5</v>
      </c>
      <c r="U31" s="243">
        <f>'[9]Allocation = % of margin'!AK31</f>
        <v>8.6899999999999998E-3</v>
      </c>
      <c r="V31" s="243">
        <f>' Increments  equal ¢ per therm'!W31</f>
        <v>0.24073</v>
      </c>
      <c r="W31" s="243">
        <f t="shared" si="3"/>
        <v>0.11216000000000004</v>
      </c>
      <c r="X31" s="243">
        <f t="shared" si="4"/>
        <v>-4.5259999999999939E-2</v>
      </c>
      <c r="Y31" s="243"/>
      <c r="Z31" s="248">
        <f t="shared" si="5"/>
        <v>8.6910000000000043E-2</v>
      </c>
      <c r="AA31" s="248">
        <f t="shared" si="6"/>
        <v>1.6230000000000001E-2</v>
      </c>
      <c r="AB31" s="248">
        <f t="shared" si="7"/>
        <v>-0.14299000000000001</v>
      </c>
      <c r="AC31" s="248">
        <f t="shared" si="8"/>
        <v>-2.7019999999999999E-2</v>
      </c>
      <c r="AD31" s="248">
        <f t="shared" si="9"/>
        <v>0.28217000000000003</v>
      </c>
      <c r="AE31" s="248">
        <f t="shared" si="10"/>
        <v>0.11216000000000004</v>
      </c>
      <c r="AF31" s="248">
        <f>[9]Permanents!G31</f>
        <v>0.20613999999999982</v>
      </c>
      <c r="AG31" s="247">
        <f t="shared" si="11"/>
        <v>0</v>
      </c>
      <c r="AH31" s="243">
        <f t="shared" si="12"/>
        <v>-0.17000999999999999</v>
      </c>
      <c r="AI31" s="243">
        <f t="shared" si="13"/>
        <v>0</v>
      </c>
      <c r="AJ31" s="243">
        <f t="shared" si="14"/>
        <v>3.3999999999999998E-3</v>
      </c>
      <c r="AK31" s="243">
        <f t="shared" si="15"/>
        <v>0</v>
      </c>
      <c r="AL31" s="243">
        <f t="shared" si="16"/>
        <v>2.5249999999999998E-2</v>
      </c>
      <c r="AM31" s="243">
        <f t="shared" si="17"/>
        <v>-4.0000000000000003E-5</v>
      </c>
      <c r="AN31" s="243">
        <f t="shared" si="18"/>
        <v>1.0000000000000001E-5</v>
      </c>
      <c r="AO31" s="243">
        <f>[9]Permanents!F31</f>
        <v>4.0000000000000003E-5</v>
      </c>
      <c r="AP31" s="243">
        <f t="shared" si="19"/>
        <v>8.6899999999999998E-3</v>
      </c>
      <c r="AQ31" s="243">
        <f t="shared" si="20"/>
        <v>0.24073</v>
      </c>
      <c r="AR31" s="243"/>
      <c r="AS31" s="243"/>
      <c r="AT31" s="243">
        <f t="shared" si="21"/>
        <v>3.5599999999999998E-3</v>
      </c>
      <c r="AU31" s="243">
        <f t="shared" si="22"/>
        <v>5.6999999999999998E-4</v>
      </c>
      <c r="AV31" s="243">
        <f t="shared" si="23"/>
        <v>4.13E-3</v>
      </c>
      <c r="AW31" s="246">
        <f>[32]Temporaries!Q31</f>
        <v>0</v>
      </c>
      <c r="AX31" s="246">
        <f>SUM([32]Temporaries!K31:M31)</f>
        <v>2.529E-2</v>
      </c>
      <c r="AY31" s="246">
        <f>SUM([32]Temporaries!N31:O31)</f>
        <v>4.5899999999999995E-3</v>
      </c>
      <c r="AZ31" s="245">
        <f>[32]Temporaries!R31</f>
        <v>3.2000000000000002E-3</v>
      </c>
      <c r="BA31" s="245">
        <f t="shared" si="24"/>
        <v>-0.12498000000000001</v>
      </c>
      <c r="BB31" s="255">
        <f>[32]Temporaries!P31</f>
        <v>-2.5000000000000001E-4</v>
      </c>
      <c r="BC31" s="245">
        <f>[32]Temporaries!S31</f>
        <v>0</v>
      </c>
      <c r="BD31" s="245">
        <f>[32]Temporaries!T31</f>
        <v>1.4999999999999999E-4</v>
      </c>
      <c r="BE31" s="245">
        <f>[32]Temporaries!U31</f>
        <v>8.6899999999999998E-3</v>
      </c>
      <c r="BF31" s="245">
        <v>0.24073</v>
      </c>
      <c r="BG31" s="245"/>
      <c r="BH31" s="244">
        <f t="shared" si="25"/>
        <v>0</v>
      </c>
      <c r="BI31" s="243">
        <f t="shared" si="26"/>
        <v>0.25692000000000004</v>
      </c>
      <c r="BJ31" s="243">
        <f t="shared" si="27"/>
        <v>8.6910000000000043E-2</v>
      </c>
    </row>
    <row r="32" spans="1:62" x14ac:dyDescent="0.35">
      <c r="A32" s="233">
        <f t="shared" si="0"/>
        <v>26</v>
      </c>
      <c r="B32" s="233"/>
      <c r="C32" s="261" t="s">
        <v>62</v>
      </c>
      <c r="D32" s="259">
        <v>0.15304999999999999</v>
      </c>
      <c r="E32" s="259">
        <v>-0.12498000000000001</v>
      </c>
      <c r="F32" s="259">
        <f>+' Increments  equal ¢ per therm'!H32</f>
        <v>-0.14299000000000001</v>
      </c>
      <c r="G32" s="259">
        <f>+' Increments  equal ¢ per therm'!K32</f>
        <v>-2.7019999999999999E-2</v>
      </c>
      <c r="H32" s="259">
        <f>+' Increments  equal ¢ per therm'!N32</f>
        <v>0</v>
      </c>
      <c r="I32" s="259">
        <f t="shared" si="1"/>
        <v>-0.17000999999999999</v>
      </c>
      <c r="J32" s="259">
        <f t="shared" si="2"/>
        <v>-4.5029999999999987E-2</v>
      </c>
      <c r="K32" s="243">
        <f>+'[9]Allocation = % of margin'!P32</f>
        <v>2.2880000000000001E-2</v>
      </c>
      <c r="L32" s="243">
        <f>+'[9]Allocation = % of margin'!S32</f>
        <v>-2.7999999999999998E-4</v>
      </c>
      <c r="M32" s="243">
        <f>+'[9]Allocation = % of margin'!V32</f>
        <v>0</v>
      </c>
      <c r="N32" s="243">
        <f>+'[9]Allocation = % of margin'!Y32</f>
        <v>3.1900000000000001E-3</v>
      </c>
      <c r="O32" s="243">
        <f>+'[9]Allocation = % of margin'!AB32</f>
        <v>5.1000000000000004E-4</v>
      </c>
      <c r="P32" s="243">
        <f>'[9]Allocation = % of margin'!AE32</f>
        <v>-4.0000000000000003E-5</v>
      </c>
      <c r="Q32" s="243">
        <f>' Increments  equal ¢ per therm'!Q32</f>
        <v>0</v>
      </c>
      <c r="R32" s="243">
        <f>'[9]Allocation = % of margin'!AH32</f>
        <v>3.0400000000000002E-3</v>
      </c>
      <c r="S32" s="243">
        <f>' Increments  equal ¢ per therm'!T32</f>
        <v>0</v>
      </c>
      <c r="T32" s="243">
        <f>'[9]Allocation = % of revenue'!M32</f>
        <v>1.0000000000000001E-5</v>
      </c>
      <c r="U32" s="243">
        <f>'[9]Allocation = % of margin'!AK32</f>
        <v>7.7799999999999996E-3</v>
      </c>
      <c r="V32" s="243">
        <f>' Increments  equal ¢ per therm'!W32</f>
        <v>0.24073</v>
      </c>
      <c r="W32" s="243">
        <f t="shared" si="3"/>
        <v>0.10781000000000002</v>
      </c>
      <c r="X32" s="243">
        <f t="shared" si="4"/>
        <v>-4.5239999999999975E-2</v>
      </c>
      <c r="Y32" s="243"/>
      <c r="Z32" s="248">
        <f t="shared" si="5"/>
        <v>8.5210000000000022E-2</v>
      </c>
      <c r="AA32" s="248">
        <f t="shared" si="6"/>
        <v>1.453E-2</v>
      </c>
      <c r="AB32" s="248">
        <f t="shared" si="7"/>
        <v>-0.14299000000000001</v>
      </c>
      <c r="AC32" s="248">
        <f t="shared" si="8"/>
        <v>-2.7019999999999999E-2</v>
      </c>
      <c r="AD32" s="248">
        <f t="shared" si="9"/>
        <v>0.27782000000000001</v>
      </c>
      <c r="AE32" s="248">
        <f t="shared" si="10"/>
        <v>0.10781000000000002</v>
      </c>
      <c r="AF32" s="248">
        <f>[9]Permanents!G32</f>
        <v>0.18451999999999966</v>
      </c>
      <c r="AG32" s="247">
        <f t="shared" si="11"/>
        <v>0</v>
      </c>
      <c r="AH32" s="243">
        <f t="shared" si="12"/>
        <v>-0.17000999999999999</v>
      </c>
      <c r="AI32" s="243">
        <f t="shared" si="13"/>
        <v>0</v>
      </c>
      <c r="AJ32" s="243">
        <f t="shared" si="14"/>
        <v>3.0400000000000002E-3</v>
      </c>
      <c r="AK32" s="243">
        <f t="shared" si="15"/>
        <v>0</v>
      </c>
      <c r="AL32" s="243">
        <f t="shared" si="16"/>
        <v>2.2600000000000002E-2</v>
      </c>
      <c r="AM32" s="243">
        <f t="shared" si="17"/>
        <v>-4.0000000000000003E-5</v>
      </c>
      <c r="AN32" s="243">
        <f t="shared" si="18"/>
        <v>1.0000000000000001E-5</v>
      </c>
      <c r="AO32" s="243">
        <f>[9]Permanents!F32</f>
        <v>4.0000000000000003E-5</v>
      </c>
      <c r="AP32" s="243">
        <f t="shared" si="19"/>
        <v>7.7799999999999996E-3</v>
      </c>
      <c r="AQ32" s="243">
        <f t="shared" si="20"/>
        <v>0.24073</v>
      </c>
      <c r="AR32" s="243"/>
      <c r="AS32" s="243"/>
      <c r="AT32" s="243">
        <f t="shared" si="21"/>
        <v>3.1900000000000001E-3</v>
      </c>
      <c r="AU32" s="243">
        <f t="shared" si="22"/>
        <v>5.1000000000000004E-4</v>
      </c>
      <c r="AV32" s="243">
        <f t="shared" si="23"/>
        <v>3.7000000000000002E-3</v>
      </c>
      <c r="AW32" s="246">
        <f>[32]Temporaries!Q32</f>
        <v>0</v>
      </c>
      <c r="AX32" s="246">
        <f>SUM([32]Temporaries!K32:M32)</f>
        <v>2.264E-2</v>
      </c>
      <c r="AY32" s="246">
        <f>SUM([32]Temporaries!N32:O32)</f>
        <v>4.1099999999999999E-3</v>
      </c>
      <c r="AZ32" s="245">
        <f>[32]Temporaries!R32</f>
        <v>2.8600000000000001E-3</v>
      </c>
      <c r="BA32" s="245">
        <f t="shared" si="24"/>
        <v>-0.12498000000000001</v>
      </c>
      <c r="BB32" s="255">
        <f>[32]Temporaries!P32</f>
        <v>-2.3000000000000001E-4</v>
      </c>
      <c r="BC32" s="245">
        <f>[32]Temporaries!S32</f>
        <v>0</v>
      </c>
      <c r="BD32" s="245">
        <f>[32]Temporaries!T32</f>
        <v>1.3999999999999999E-4</v>
      </c>
      <c r="BE32" s="245">
        <f>[32]Temporaries!U32</f>
        <v>7.7799999999999996E-3</v>
      </c>
      <c r="BF32" s="245">
        <v>0.24073</v>
      </c>
      <c r="BG32" s="245"/>
      <c r="BH32" s="244">
        <f t="shared" si="25"/>
        <v>0</v>
      </c>
      <c r="BI32" s="243">
        <f t="shared" si="26"/>
        <v>0.25522</v>
      </c>
      <c r="BJ32" s="243">
        <f t="shared" si="27"/>
        <v>8.5210000000000022E-2</v>
      </c>
    </row>
    <row r="33" spans="1:62" x14ac:dyDescent="0.35">
      <c r="A33" s="233">
        <f t="shared" si="0"/>
        <v>27</v>
      </c>
      <c r="B33" s="233"/>
      <c r="C33" s="261" t="s">
        <v>69</v>
      </c>
      <c r="D33" s="259">
        <v>0.14438999999999999</v>
      </c>
      <c r="E33" s="259">
        <v>-0.12498000000000001</v>
      </c>
      <c r="F33" s="259">
        <f>+' Increments  equal ¢ per therm'!H33</f>
        <v>-0.14299000000000001</v>
      </c>
      <c r="G33" s="259">
        <f>+' Increments  equal ¢ per therm'!K33</f>
        <v>-2.7019999999999999E-2</v>
      </c>
      <c r="H33" s="259">
        <f>+' Increments  equal ¢ per therm'!N33</f>
        <v>0</v>
      </c>
      <c r="I33" s="259">
        <f t="shared" si="1"/>
        <v>-0.17000999999999999</v>
      </c>
      <c r="J33" s="259">
        <f t="shared" si="2"/>
        <v>-4.5029999999999987E-2</v>
      </c>
      <c r="K33" s="243">
        <f>+'[9]Allocation = % of margin'!P33</f>
        <v>1.755E-2</v>
      </c>
      <c r="L33" s="243">
        <f>+'[9]Allocation = % of margin'!S33</f>
        <v>-2.2000000000000001E-4</v>
      </c>
      <c r="M33" s="243">
        <f>+'[9]Allocation = % of margin'!V33</f>
        <v>0</v>
      </c>
      <c r="N33" s="243">
        <f>+'[9]Allocation = % of margin'!Y33</f>
        <v>2.4499999999999999E-3</v>
      </c>
      <c r="O33" s="243">
        <f>+'[9]Allocation = % of margin'!AB33</f>
        <v>3.8999999999999999E-4</v>
      </c>
      <c r="P33" s="243">
        <f>'[9]Allocation = % of margin'!AE33</f>
        <v>-3.0000000000000001E-5</v>
      </c>
      <c r="Q33" s="243">
        <f>' Increments  equal ¢ per therm'!Q33</f>
        <v>0</v>
      </c>
      <c r="R33" s="243">
        <f>'[9]Allocation = % of margin'!AH33</f>
        <v>2.33E-3</v>
      </c>
      <c r="S33" s="243">
        <f>' Increments  equal ¢ per therm'!T33</f>
        <v>0</v>
      </c>
      <c r="T33" s="243">
        <f>'[9]Allocation = % of revenue'!M33</f>
        <v>1.0000000000000001E-5</v>
      </c>
      <c r="U33" s="243">
        <f>'[9]Allocation = % of margin'!AK33</f>
        <v>5.9699999999999996E-3</v>
      </c>
      <c r="V33" s="243">
        <f>' Increments  equal ¢ per therm'!W33</f>
        <v>0.24073</v>
      </c>
      <c r="W33" s="243">
        <f t="shared" si="3"/>
        <v>9.916999999999998E-2</v>
      </c>
      <c r="X33" s="243">
        <f t="shared" si="4"/>
        <v>-4.522000000000001E-2</v>
      </c>
      <c r="Y33" s="243"/>
      <c r="Z33" s="248">
        <f t="shared" si="5"/>
        <v>8.1839999999999982E-2</v>
      </c>
      <c r="AA33" s="248">
        <f t="shared" si="6"/>
        <v>1.115E-2</v>
      </c>
      <c r="AB33" s="248">
        <f t="shared" si="7"/>
        <v>-0.14299000000000001</v>
      </c>
      <c r="AC33" s="248">
        <f t="shared" si="8"/>
        <v>-2.7019999999999999E-2</v>
      </c>
      <c r="AD33" s="248">
        <f t="shared" si="9"/>
        <v>0.26917999999999997</v>
      </c>
      <c r="AE33" s="248">
        <f t="shared" si="10"/>
        <v>9.916999999999998E-2</v>
      </c>
      <c r="AF33" s="248">
        <f>[9]Permanents!G33</f>
        <v>0.14152999999999993</v>
      </c>
      <c r="AG33" s="247">
        <f t="shared" si="11"/>
        <v>0</v>
      </c>
      <c r="AH33" s="243">
        <f t="shared" si="12"/>
        <v>-0.17000999999999999</v>
      </c>
      <c r="AI33" s="243">
        <f t="shared" si="13"/>
        <v>0</v>
      </c>
      <c r="AJ33" s="243">
        <f t="shared" si="14"/>
        <v>2.33E-3</v>
      </c>
      <c r="AK33" s="243">
        <f t="shared" si="15"/>
        <v>0</v>
      </c>
      <c r="AL33" s="243">
        <f t="shared" si="16"/>
        <v>1.7329999999999998E-2</v>
      </c>
      <c r="AM33" s="243">
        <f t="shared" si="17"/>
        <v>-3.0000000000000001E-5</v>
      </c>
      <c r="AN33" s="243">
        <f t="shared" si="18"/>
        <v>1.0000000000000001E-5</v>
      </c>
      <c r="AO33" s="243">
        <f>[9]Permanents!F33</f>
        <v>3.0000000000000001E-5</v>
      </c>
      <c r="AP33" s="243">
        <f t="shared" si="19"/>
        <v>5.9699999999999996E-3</v>
      </c>
      <c r="AQ33" s="243">
        <f t="shared" si="20"/>
        <v>0.24073</v>
      </c>
      <c r="AR33" s="243"/>
      <c r="AS33" s="243"/>
      <c r="AT33" s="243">
        <f t="shared" si="21"/>
        <v>2.4499999999999999E-3</v>
      </c>
      <c r="AU33" s="243">
        <f t="shared" si="22"/>
        <v>3.8999999999999999E-4</v>
      </c>
      <c r="AV33" s="243">
        <f t="shared" si="23"/>
        <v>2.8400000000000001E-3</v>
      </c>
      <c r="AW33" s="246">
        <f>[32]Temporaries!Q33</f>
        <v>0</v>
      </c>
      <c r="AX33" s="246">
        <f>SUM([32]Temporaries!K33:M33)</f>
        <v>1.7359999999999997E-2</v>
      </c>
      <c r="AY33" s="246">
        <f>SUM([32]Temporaries!N33:O33)</f>
        <v>3.15E-3</v>
      </c>
      <c r="AZ33" s="245">
        <f>[32]Temporaries!R33</f>
        <v>2.1900000000000001E-3</v>
      </c>
      <c r="BA33" s="245">
        <f t="shared" si="24"/>
        <v>-0.12498000000000001</v>
      </c>
      <c r="BB33" s="255">
        <f>[32]Temporaries!P33</f>
        <v>-1.7000000000000001E-4</v>
      </c>
      <c r="BC33" s="245">
        <f>[32]Temporaries!S33</f>
        <v>0</v>
      </c>
      <c r="BD33" s="245">
        <f>[32]Temporaries!T33</f>
        <v>1.3999999999999999E-4</v>
      </c>
      <c r="BE33" s="245">
        <f>[32]Temporaries!U33</f>
        <v>5.9699999999999996E-3</v>
      </c>
      <c r="BF33" s="245">
        <v>0.24073</v>
      </c>
      <c r="BG33" s="245"/>
      <c r="BH33" s="244">
        <f t="shared" si="25"/>
        <v>0</v>
      </c>
      <c r="BI33" s="243">
        <f t="shared" si="26"/>
        <v>0.25184999999999996</v>
      </c>
      <c r="BJ33" s="243">
        <f t="shared" si="27"/>
        <v>8.1839999999999982E-2</v>
      </c>
    </row>
    <row r="34" spans="1:62" x14ac:dyDescent="0.35">
      <c r="A34" s="233">
        <f t="shared" si="0"/>
        <v>28</v>
      </c>
      <c r="B34" s="233"/>
      <c r="C34" s="261" t="s">
        <v>70</v>
      </c>
      <c r="D34" s="259">
        <v>0.13869000000000001</v>
      </c>
      <c r="E34" s="259">
        <v>-0.12498000000000001</v>
      </c>
      <c r="F34" s="259">
        <f>+' Increments  equal ¢ per therm'!H34</f>
        <v>-0.14299000000000001</v>
      </c>
      <c r="G34" s="259">
        <f>+' Increments  equal ¢ per therm'!K34</f>
        <v>-2.7019999999999999E-2</v>
      </c>
      <c r="H34" s="259">
        <f>+' Increments  equal ¢ per therm'!N34</f>
        <v>0</v>
      </c>
      <c r="I34" s="259">
        <f t="shared" si="1"/>
        <v>-0.17000999999999999</v>
      </c>
      <c r="J34" s="259">
        <f t="shared" si="2"/>
        <v>-4.5029999999999987E-2</v>
      </c>
      <c r="K34" s="243">
        <f>+'[9]Allocation = % of margin'!P34</f>
        <v>1.404E-2</v>
      </c>
      <c r="L34" s="243">
        <f>+'[9]Allocation = % of margin'!S34</f>
        <v>-1.7000000000000001E-4</v>
      </c>
      <c r="M34" s="243">
        <f>+'[9]Allocation = % of margin'!V34</f>
        <v>0</v>
      </c>
      <c r="N34" s="243">
        <f>+'[9]Allocation = % of margin'!Y34</f>
        <v>1.9599999999999999E-3</v>
      </c>
      <c r="O34" s="243">
        <f>+'[9]Allocation = % of margin'!AB34</f>
        <v>3.2000000000000003E-4</v>
      </c>
      <c r="P34" s="243">
        <f>'[9]Allocation = % of margin'!AE34</f>
        <v>-2.0000000000000002E-5</v>
      </c>
      <c r="Q34" s="243">
        <f>' Increments  equal ¢ per therm'!Q34</f>
        <v>0</v>
      </c>
      <c r="R34" s="243">
        <f>'[9]Allocation = % of margin'!AH34</f>
        <v>1.8699999999999999E-3</v>
      </c>
      <c r="S34" s="243">
        <f>' Increments  equal ¢ per therm'!T34</f>
        <v>0</v>
      </c>
      <c r="T34" s="243">
        <f>'[9]Allocation = % of revenue'!M34</f>
        <v>1.0000000000000001E-5</v>
      </c>
      <c r="U34" s="243">
        <f>'[9]Allocation = % of margin'!AK34</f>
        <v>4.7699999999999999E-3</v>
      </c>
      <c r="V34" s="243">
        <f>' Increments  equal ¢ per therm'!W34</f>
        <v>0.24073</v>
      </c>
      <c r="W34" s="243">
        <f t="shared" si="3"/>
        <v>9.3500000000000028E-2</v>
      </c>
      <c r="X34" s="243">
        <f t="shared" si="4"/>
        <v>-4.518999999999998E-2</v>
      </c>
      <c r="Y34" s="243"/>
      <c r="Z34" s="248">
        <f t="shared" si="5"/>
        <v>7.9630000000000034E-2</v>
      </c>
      <c r="AA34" s="248">
        <f t="shared" si="6"/>
        <v>8.9300000000000004E-3</v>
      </c>
      <c r="AB34" s="248">
        <f t="shared" si="7"/>
        <v>-0.14299000000000001</v>
      </c>
      <c r="AC34" s="248">
        <f t="shared" si="8"/>
        <v>-2.7019999999999999E-2</v>
      </c>
      <c r="AD34" s="248">
        <f t="shared" si="9"/>
        <v>0.26351000000000002</v>
      </c>
      <c r="AE34" s="248">
        <f t="shared" si="10"/>
        <v>9.3500000000000028E-2</v>
      </c>
      <c r="AF34" s="248">
        <f>[9]Permanents!G34</f>
        <v>0.11320000000000026</v>
      </c>
      <c r="AG34" s="247">
        <f t="shared" si="11"/>
        <v>0</v>
      </c>
      <c r="AH34" s="243">
        <f t="shared" si="12"/>
        <v>-0.17000999999999999</v>
      </c>
      <c r="AI34" s="243">
        <f t="shared" si="13"/>
        <v>0</v>
      </c>
      <c r="AJ34" s="243">
        <f t="shared" si="14"/>
        <v>1.8699999999999999E-3</v>
      </c>
      <c r="AK34" s="243">
        <f t="shared" si="15"/>
        <v>0</v>
      </c>
      <c r="AL34" s="243">
        <f t="shared" si="16"/>
        <v>1.387E-2</v>
      </c>
      <c r="AM34" s="243">
        <f t="shared" si="17"/>
        <v>-2.0000000000000002E-5</v>
      </c>
      <c r="AN34" s="243">
        <f t="shared" si="18"/>
        <v>1.0000000000000001E-5</v>
      </c>
      <c r="AO34" s="243">
        <f>[9]Permanents!F34</f>
        <v>2.0000000000000002E-5</v>
      </c>
      <c r="AP34" s="243">
        <f t="shared" si="19"/>
        <v>4.7699999999999999E-3</v>
      </c>
      <c r="AQ34" s="243">
        <f t="shared" si="20"/>
        <v>0.24073</v>
      </c>
      <c r="AR34" s="243"/>
      <c r="AS34" s="243"/>
      <c r="AT34" s="243">
        <f t="shared" si="21"/>
        <v>1.9599999999999999E-3</v>
      </c>
      <c r="AU34" s="243">
        <f t="shared" si="22"/>
        <v>3.2000000000000003E-4</v>
      </c>
      <c r="AV34" s="243">
        <f t="shared" si="23"/>
        <v>2.2799999999999999E-3</v>
      </c>
      <c r="AW34" s="246">
        <f>[32]Temporaries!Q34</f>
        <v>0</v>
      </c>
      <c r="AX34" s="246">
        <f>SUM([32]Temporaries!K34:M34)</f>
        <v>1.3890000000000001E-2</v>
      </c>
      <c r="AY34" s="246">
        <f>SUM([32]Temporaries!N34:O34)</f>
        <v>2.5300000000000001E-3</v>
      </c>
      <c r="AZ34" s="245">
        <f>[32]Temporaries!R34</f>
        <v>1.7600000000000001E-3</v>
      </c>
      <c r="BA34" s="245">
        <f t="shared" si="24"/>
        <v>-0.12498000000000001</v>
      </c>
      <c r="BB34" s="255">
        <f>[32]Temporaries!P34</f>
        <v>-1.3999999999999999E-4</v>
      </c>
      <c r="BC34" s="245">
        <f>[32]Temporaries!S34</f>
        <v>0</v>
      </c>
      <c r="BD34" s="245">
        <f>[32]Temporaries!T34</f>
        <v>1.2999999999999999E-4</v>
      </c>
      <c r="BE34" s="245">
        <f>[32]Temporaries!U34</f>
        <v>4.7699999999999999E-3</v>
      </c>
      <c r="BF34" s="245">
        <v>0.24073</v>
      </c>
      <c r="BG34" s="245"/>
      <c r="BH34" s="244">
        <f t="shared" si="25"/>
        <v>0</v>
      </c>
      <c r="BI34" s="243">
        <f t="shared" si="26"/>
        <v>0.24964000000000003</v>
      </c>
      <c r="BJ34" s="243">
        <f t="shared" si="27"/>
        <v>7.9630000000000034E-2</v>
      </c>
    </row>
    <row r="35" spans="1:62" x14ac:dyDescent="0.35">
      <c r="A35" s="233">
        <f t="shared" si="0"/>
        <v>29</v>
      </c>
      <c r="B35" s="233"/>
      <c r="C35" s="261" t="s">
        <v>71</v>
      </c>
      <c r="D35" s="259">
        <v>0.13108</v>
      </c>
      <c r="E35" s="259">
        <v>-0.12498000000000001</v>
      </c>
      <c r="F35" s="259">
        <f>+' Increments  equal ¢ per therm'!H35</f>
        <v>-0.14299000000000001</v>
      </c>
      <c r="G35" s="259">
        <f>+' Increments  equal ¢ per therm'!K35</f>
        <v>-2.7019999999999999E-2</v>
      </c>
      <c r="H35" s="259">
        <f>+' Increments  equal ¢ per therm'!N35</f>
        <v>0</v>
      </c>
      <c r="I35" s="259">
        <f t="shared" si="1"/>
        <v>-0.17000999999999999</v>
      </c>
      <c r="J35" s="259">
        <f t="shared" si="2"/>
        <v>-4.5029999999999987E-2</v>
      </c>
      <c r="K35" s="243">
        <f>+'[9]Allocation = % of margin'!P35</f>
        <v>9.3600000000000003E-3</v>
      </c>
      <c r="L35" s="243">
        <f>+'[9]Allocation = % of margin'!S35</f>
        <v>-1.2E-4</v>
      </c>
      <c r="M35" s="243">
        <f>+'[9]Allocation = % of margin'!V35</f>
        <v>0</v>
      </c>
      <c r="N35" s="243">
        <f>+'[9]Allocation = % of margin'!Y35</f>
        <v>1.2999999999999999E-3</v>
      </c>
      <c r="O35" s="243">
        <f>+'[9]Allocation = % of margin'!AB35</f>
        <v>2.1000000000000001E-4</v>
      </c>
      <c r="P35" s="243">
        <f>'[9]Allocation = % of margin'!AE35</f>
        <v>-2.0000000000000002E-5</v>
      </c>
      <c r="Q35" s="243">
        <f>' Increments  equal ¢ per therm'!Q35</f>
        <v>0</v>
      </c>
      <c r="R35" s="243">
        <f>'[9]Allocation = % of margin'!AH35</f>
        <v>1.24E-3</v>
      </c>
      <c r="S35" s="243">
        <f>' Increments  equal ¢ per therm'!T35</f>
        <v>0</v>
      </c>
      <c r="T35" s="243">
        <f>'[9]Allocation = % of revenue'!M35</f>
        <v>1.0000000000000001E-5</v>
      </c>
      <c r="U35" s="243">
        <f>'[9]Allocation = % of margin'!AK35</f>
        <v>3.1800000000000001E-3</v>
      </c>
      <c r="V35" s="243">
        <f>' Increments  equal ¢ per therm'!W35</f>
        <v>0.24073</v>
      </c>
      <c r="W35" s="243">
        <f t="shared" si="3"/>
        <v>8.5880000000000012E-2</v>
      </c>
      <c r="X35" s="243">
        <f t="shared" si="4"/>
        <v>-4.519999999999999E-2</v>
      </c>
      <c r="Y35" s="243"/>
      <c r="Z35" s="248">
        <f t="shared" si="5"/>
        <v>7.664E-2</v>
      </c>
      <c r="AA35" s="248">
        <f t="shared" si="6"/>
        <v>5.94E-3</v>
      </c>
      <c r="AB35" s="248">
        <f t="shared" si="7"/>
        <v>-0.14299000000000001</v>
      </c>
      <c r="AC35" s="248">
        <f t="shared" si="8"/>
        <v>-2.7019999999999999E-2</v>
      </c>
      <c r="AD35" s="248">
        <f t="shared" si="9"/>
        <v>0.25589000000000001</v>
      </c>
      <c r="AE35" s="248">
        <f t="shared" si="10"/>
        <v>8.5880000000000012E-2</v>
      </c>
      <c r="AF35" s="248">
        <f>[9]Permanents!G35</f>
        <v>7.5470000000000009E-2</v>
      </c>
      <c r="AG35" s="247">
        <f t="shared" si="11"/>
        <v>0</v>
      </c>
      <c r="AH35" s="243">
        <f t="shared" si="12"/>
        <v>-0.17000999999999999</v>
      </c>
      <c r="AI35" s="243">
        <f t="shared" si="13"/>
        <v>0</v>
      </c>
      <c r="AJ35" s="243">
        <f t="shared" si="14"/>
        <v>1.24E-3</v>
      </c>
      <c r="AK35" s="243">
        <f t="shared" si="15"/>
        <v>0</v>
      </c>
      <c r="AL35" s="243">
        <f t="shared" si="16"/>
        <v>9.2399999999999999E-3</v>
      </c>
      <c r="AM35" s="243">
        <f t="shared" si="17"/>
        <v>-2.0000000000000002E-5</v>
      </c>
      <c r="AN35" s="243">
        <f t="shared" si="18"/>
        <v>1.0000000000000001E-5</v>
      </c>
      <c r="AO35" s="243">
        <f>[9]Permanents!F35</f>
        <v>2.0000000000000002E-5</v>
      </c>
      <c r="AP35" s="243">
        <f t="shared" si="19"/>
        <v>3.1800000000000001E-3</v>
      </c>
      <c r="AQ35" s="243">
        <f t="shared" si="20"/>
        <v>0.24073</v>
      </c>
      <c r="AR35" s="243"/>
      <c r="AS35" s="243"/>
      <c r="AT35" s="243">
        <f t="shared" si="21"/>
        <v>1.2999999999999999E-3</v>
      </c>
      <c r="AU35" s="243">
        <f t="shared" si="22"/>
        <v>2.1000000000000001E-4</v>
      </c>
      <c r="AV35" s="243">
        <f t="shared" si="23"/>
        <v>1.5100000000000001E-3</v>
      </c>
      <c r="AW35" s="246">
        <f>[32]Temporaries!Q35</f>
        <v>0</v>
      </c>
      <c r="AX35" s="246">
        <f>SUM([32]Temporaries!K35:M35)</f>
        <v>9.2599999999999991E-3</v>
      </c>
      <c r="AY35" s="246">
        <f>SUM([32]Temporaries!N35:O35)</f>
        <v>1.6800000000000001E-3</v>
      </c>
      <c r="AZ35" s="245">
        <f>[32]Temporaries!R35</f>
        <v>1.17E-3</v>
      </c>
      <c r="BA35" s="245">
        <f t="shared" si="24"/>
        <v>-0.12498000000000001</v>
      </c>
      <c r="BB35" s="255">
        <f>[32]Temporaries!P35</f>
        <v>-9.0000000000000006E-5</v>
      </c>
      <c r="BC35" s="245">
        <f>[32]Temporaries!S35</f>
        <v>0</v>
      </c>
      <c r="BD35" s="245">
        <f>[32]Temporaries!T35</f>
        <v>1.2999999999999999E-4</v>
      </c>
      <c r="BE35" s="245">
        <f>[32]Temporaries!U35</f>
        <v>3.1800000000000001E-3</v>
      </c>
      <c r="BF35" s="245">
        <v>0.24073</v>
      </c>
      <c r="BG35" s="245"/>
      <c r="BH35" s="244">
        <f t="shared" si="25"/>
        <v>0</v>
      </c>
      <c r="BI35" s="243">
        <f t="shared" si="26"/>
        <v>0.24665000000000001</v>
      </c>
      <c r="BJ35" s="243">
        <f t="shared" si="27"/>
        <v>7.664E-2</v>
      </c>
    </row>
    <row r="36" spans="1:62" x14ac:dyDescent="0.35">
      <c r="A36" s="233">
        <f t="shared" si="0"/>
        <v>30</v>
      </c>
      <c r="B36" s="258"/>
      <c r="C36" s="260" t="s">
        <v>72</v>
      </c>
      <c r="D36" s="251">
        <v>0.12156999999999998</v>
      </c>
      <c r="E36" s="251">
        <v>-0.12498000000000001</v>
      </c>
      <c r="F36" s="251">
        <f>+' Increments  equal ¢ per therm'!H36</f>
        <v>-0.14299000000000001</v>
      </c>
      <c r="G36" s="251">
        <f>+' Increments  equal ¢ per therm'!K36</f>
        <v>-2.7019999999999999E-2</v>
      </c>
      <c r="H36" s="251">
        <f>+' Increments  equal ¢ per therm'!N36</f>
        <v>0</v>
      </c>
      <c r="I36" s="251">
        <f t="shared" si="1"/>
        <v>-0.17000999999999999</v>
      </c>
      <c r="J36" s="251">
        <f t="shared" si="2"/>
        <v>-4.5029999999999987E-2</v>
      </c>
      <c r="K36" s="249">
        <f>+'[9]Allocation = % of margin'!P36</f>
        <v>3.5100000000000001E-3</v>
      </c>
      <c r="L36" s="249">
        <f>+'[9]Allocation = % of margin'!S36</f>
        <v>-4.0000000000000003E-5</v>
      </c>
      <c r="M36" s="249">
        <f>+'[9]Allocation = % of margin'!V36</f>
        <v>0</v>
      </c>
      <c r="N36" s="249">
        <f>+'[9]Allocation = % of margin'!Y36</f>
        <v>4.8999999999999998E-4</v>
      </c>
      <c r="O36" s="249">
        <f>+'[9]Allocation = % of margin'!AB36</f>
        <v>8.0000000000000007E-5</v>
      </c>
      <c r="P36" s="249">
        <f>'[9]Allocation = % of margin'!AE36</f>
        <v>-1.0000000000000001E-5</v>
      </c>
      <c r="Q36" s="249">
        <f>' Increments  equal ¢ per therm'!Q36</f>
        <v>0</v>
      </c>
      <c r="R36" s="249">
        <f>'[9]Allocation = % of margin'!AH36</f>
        <v>4.6999999999999999E-4</v>
      </c>
      <c r="S36" s="249">
        <f>' Increments  equal ¢ per therm'!T36</f>
        <v>0</v>
      </c>
      <c r="T36" s="249">
        <f>'[9]Allocation = % of revenue'!M36</f>
        <v>1.0000000000000001E-5</v>
      </c>
      <c r="U36" s="249">
        <f>'[9]Allocation = % of margin'!AK36</f>
        <v>1.1900000000000001E-3</v>
      </c>
      <c r="V36" s="249">
        <f>' Increments  equal ¢ per therm'!W36</f>
        <v>0.24073</v>
      </c>
      <c r="W36" s="249">
        <f t="shared" si="3"/>
        <v>7.6420000000000016E-2</v>
      </c>
      <c r="X36" s="249">
        <f t="shared" si="4"/>
        <v>-4.5149999999999968E-2</v>
      </c>
      <c r="Y36" s="243"/>
      <c r="Z36" s="248">
        <f t="shared" si="5"/>
        <v>7.2950000000000015E-2</v>
      </c>
      <c r="AA36" s="248">
        <f t="shared" si="6"/>
        <v>2.2399999999999998E-3</v>
      </c>
      <c r="AB36" s="248">
        <f t="shared" si="7"/>
        <v>-0.14299000000000001</v>
      </c>
      <c r="AC36" s="248">
        <f t="shared" si="8"/>
        <v>-2.7019999999999999E-2</v>
      </c>
      <c r="AD36" s="248">
        <f t="shared" si="9"/>
        <v>0.24643000000000001</v>
      </c>
      <c r="AE36" s="248">
        <f t="shared" si="10"/>
        <v>7.6420000000000016E-2</v>
      </c>
      <c r="AF36" s="248">
        <f>[9]Permanents!G36</f>
        <v>2.8290000000000103E-2</v>
      </c>
      <c r="AG36" s="247">
        <f t="shared" si="11"/>
        <v>0</v>
      </c>
      <c r="AH36" s="243">
        <f t="shared" si="12"/>
        <v>-0.17000999999999999</v>
      </c>
      <c r="AI36" s="243">
        <f t="shared" si="13"/>
        <v>0</v>
      </c>
      <c r="AJ36" s="243">
        <f t="shared" si="14"/>
        <v>4.6999999999999999E-4</v>
      </c>
      <c r="AK36" s="243">
        <f t="shared" si="15"/>
        <v>0</v>
      </c>
      <c r="AL36" s="243">
        <f t="shared" si="16"/>
        <v>3.47E-3</v>
      </c>
      <c r="AM36" s="243">
        <f t="shared" si="17"/>
        <v>-1.0000000000000001E-5</v>
      </c>
      <c r="AN36" s="243">
        <f t="shared" si="18"/>
        <v>1.0000000000000001E-5</v>
      </c>
      <c r="AO36" s="243">
        <f>[9]Permanents!F36</f>
        <v>1.0000000000000001E-5</v>
      </c>
      <c r="AP36" s="243">
        <f t="shared" si="19"/>
        <v>1.1900000000000001E-3</v>
      </c>
      <c r="AQ36" s="243">
        <f t="shared" si="20"/>
        <v>0.24073</v>
      </c>
      <c r="AR36" s="243"/>
      <c r="AS36" s="243"/>
      <c r="AT36" s="243">
        <f t="shared" si="21"/>
        <v>4.8999999999999998E-4</v>
      </c>
      <c r="AU36" s="243">
        <f t="shared" si="22"/>
        <v>8.0000000000000007E-5</v>
      </c>
      <c r="AV36" s="243">
        <f t="shared" si="23"/>
        <v>5.6999999999999998E-4</v>
      </c>
      <c r="AW36" s="246">
        <f>[32]Temporaries!Q36</f>
        <v>0</v>
      </c>
      <c r="AX36" s="246">
        <f>SUM([32]Temporaries!K36:M36)</f>
        <v>3.47E-3</v>
      </c>
      <c r="AY36" s="246">
        <f>SUM([32]Temporaries!N36:O36)</f>
        <v>6.2999999999999992E-4</v>
      </c>
      <c r="AZ36" s="245">
        <f>[32]Temporaries!R36</f>
        <v>4.4000000000000002E-4</v>
      </c>
      <c r="BA36" s="245">
        <f t="shared" si="24"/>
        <v>-0.12498000000000001</v>
      </c>
      <c r="BB36" s="255">
        <f>[32]Temporaries!P36</f>
        <v>-3.0000000000000001E-5</v>
      </c>
      <c r="BC36" s="245">
        <f>[32]Temporaries!S36</f>
        <v>0</v>
      </c>
      <c r="BD36" s="245">
        <f>[32]Temporaries!T36</f>
        <v>1.2E-4</v>
      </c>
      <c r="BE36" s="245">
        <f>[32]Temporaries!U36</f>
        <v>1.1900000000000001E-3</v>
      </c>
      <c r="BF36" s="245">
        <v>0.24073</v>
      </c>
      <c r="BG36" s="245"/>
      <c r="BH36" s="244">
        <f t="shared" si="25"/>
        <v>0</v>
      </c>
      <c r="BI36" s="243">
        <f t="shared" si="26"/>
        <v>0.24296000000000001</v>
      </c>
      <c r="BJ36" s="243">
        <f t="shared" si="27"/>
        <v>7.2950000000000015E-2</v>
      </c>
    </row>
    <row r="37" spans="1:62" x14ac:dyDescent="0.35">
      <c r="A37" s="233">
        <f t="shared" si="0"/>
        <v>31</v>
      </c>
      <c r="B37" s="233" t="s">
        <v>73</v>
      </c>
      <c r="C37" s="261" t="s">
        <v>61</v>
      </c>
      <c r="D37" s="259">
        <v>0.13253999999999996</v>
      </c>
      <c r="E37" s="259">
        <v>-0.12498000000000001</v>
      </c>
      <c r="F37" s="259">
        <f>+' Increments  equal ¢ per therm'!H37</f>
        <v>-0.14299000000000001</v>
      </c>
      <c r="G37" s="259">
        <f>+' Increments  equal ¢ per therm'!K37</f>
        <v>-2.7019999999999999E-2</v>
      </c>
      <c r="H37" s="259">
        <f>+' Increments  equal ¢ per therm'!N37</f>
        <v>0</v>
      </c>
      <c r="I37" s="259">
        <f t="shared" si="1"/>
        <v>-0.17000999999999999</v>
      </c>
      <c r="J37" s="259">
        <f t="shared" si="2"/>
        <v>-4.5029999999999987E-2</v>
      </c>
      <c r="K37" s="243">
        <f>+'[9]Allocation = % of margin'!P37</f>
        <v>0</v>
      </c>
      <c r="L37" s="243">
        <f>+'[9]Allocation = % of margin'!S37</f>
        <v>0</v>
      </c>
      <c r="M37" s="243">
        <f>+'[9]Allocation = % of margin'!V37</f>
        <v>0</v>
      </c>
      <c r="N37" s="243">
        <f>+'[9]Allocation = % of margin'!Y37</f>
        <v>3.7499999999999999E-3</v>
      </c>
      <c r="O37" s="243">
        <f>+'[9]Allocation = % of margin'!AB37</f>
        <v>5.9999999999999995E-4</v>
      </c>
      <c r="P37" s="243">
        <f>'[9]Allocation = % of margin'!AE37</f>
        <v>-4.0000000000000003E-5</v>
      </c>
      <c r="Q37" s="243">
        <f>' Increments  equal ¢ per therm'!Q37</f>
        <v>0</v>
      </c>
      <c r="R37" s="243">
        <f>'[9]Allocation = % of margin'!AH37</f>
        <v>3.47E-3</v>
      </c>
      <c r="S37" s="243">
        <f>' Increments  equal ¢ per therm'!T37</f>
        <v>3.5E-4</v>
      </c>
      <c r="T37" s="243">
        <f>'[9]Allocation = % of revenue'!M37</f>
        <v>0</v>
      </c>
      <c r="U37" s="243">
        <f>'[9]Allocation = % of margin'!AK37</f>
        <v>8.43E-3</v>
      </c>
      <c r="V37" s="243">
        <f>' Increments  equal ¢ per therm'!W37</f>
        <v>0.24073</v>
      </c>
      <c r="W37" s="243">
        <f t="shared" si="3"/>
        <v>8.7280000000000024E-2</v>
      </c>
      <c r="X37" s="243">
        <f t="shared" si="4"/>
        <v>-4.5259999999999939E-2</v>
      </c>
      <c r="Y37" s="243"/>
      <c r="Z37" s="248">
        <f t="shared" si="5"/>
        <v>8.7280000000000024E-2</v>
      </c>
      <c r="AA37" s="248">
        <f t="shared" si="6"/>
        <v>1.66E-2</v>
      </c>
      <c r="AB37" s="248">
        <f t="shared" si="7"/>
        <v>-0.14299000000000001</v>
      </c>
      <c r="AC37" s="248">
        <f t="shared" si="8"/>
        <v>-2.7019999999999999E-2</v>
      </c>
      <c r="AD37" s="248">
        <f t="shared" si="9"/>
        <v>0.25729000000000002</v>
      </c>
      <c r="AE37" s="248">
        <f t="shared" si="10"/>
        <v>8.7280000000000024E-2</v>
      </c>
      <c r="AF37" s="248">
        <f>[9]Permanents!G37</f>
        <v>0.16645999999999997</v>
      </c>
      <c r="AG37" s="247">
        <f t="shared" si="11"/>
        <v>0</v>
      </c>
      <c r="AH37" s="243">
        <f t="shared" si="12"/>
        <v>-0.17000999999999999</v>
      </c>
      <c r="AI37" s="243">
        <f t="shared" si="13"/>
        <v>0</v>
      </c>
      <c r="AJ37" s="243">
        <f t="shared" si="14"/>
        <v>3.47E-3</v>
      </c>
      <c r="AK37" s="243">
        <f t="shared" si="15"/>
        <v>3.5E-4</v>
      </c>
      <c r="AL37" s="243">
        <f t="shared" si="16"/>
        <v>0</v>
      </c>
      <c r="AM37" s="243">
        <f t="shared" si="17"/>
        <v>-4.0000000000000003E-5</v>
      </c>
      <c r="AN37" s="243">
        <f t="shared" si="18"/>
        <v>0</v>
      </c>
      <c r="AO37" s="243">
        <f>[9]Permanents!F37</f>
        <v>5.0000000000000002E-5</v>
      </c>
      <c r="AP37" s="243">
        <f t="shared" si="19"/>
        <v>8.43E-3</v>
      </c>
      <c r="AQ37" s="243">
        <f t="shared" si="20"/>
        <v>0.24073</v>
      </c>
      <c r="AR37" s="243"/>
      <c r="AS37" s="243"/>
      <c r="AT37" s="243">
        <f t="shared" si="21"/>
        <v>3.7499999999999999E-3</v>
      </c>
      <c r="AU37" s="243">
        <f t="shared" si="22"/>
        <v>5.9999999999999995E-4</v>
      </c>
      <c r="AV37" s="243">
        <f t="shared" si="23"/>
        <v>4.3499999999999997E-3</v>
      </c>
      <c r="AW37" s="246">
        <f>[32]Temporaries!Q37</f>
        <v>0</v>
      </c>
      <c r="AX37" s="246">
        <f>SUM([32]Temporaries!K37:M37)</f>
        <v>0</v>
      </c>
      <c r="AY37" s="246">
        <f>SUM([32]Temporaries!N37:O37)</f>
        <v>4.45E-3</v>
      </c>
      <c r="AZ37" s="245">
        <f>[32]Temporaries!R37</f>
        <v>3.0999999999999999E-3</v>
      </c>
      <c r="BA37" s="245">
        <f t="shared" si="24"/>
        <v>-0.12498000000000001</v>
      </c>
      <c r="BB37" s="255">
        <f>[32]Temporaries!P37</f>
        <v>-2.5000000000000001E-4</v>
      </c>
      <c r="BC37" s="245">
        <f>[32]Temporaries!S37</f>
        <v>1.0300000000000001E-3</v>
      </c>
      <c r="BD37" s="245">
        <f>[32]Temporaries!T37</f>
        <v>3.0000000000000001E-5</v>
      </c>
      <c r="BE37" s="245">
        <f>[32]Temporaries!U37</f>
        <v>8.43E-3</v>
      </c>
      <c r="BF37" s="245">
        <v>0.24073</v>
      </c>
      <c r="BG37" s="245"/>
      <c r="BH37" s="244">
        <f t="shared" si="25"/>
        <v>0</v>
      </c>
      <c r="BI37" s="243">
        <f t="shared" si="26"/>
        <v>0.25729000000000002</v>
      </c>
      <c r="BJ37" s="243">
        <f t="shared" si="27"/>
        <v>8.7280000000000024E-2</v>
      </c>
    </row>
    <row r="38" spans="1:62" x14ac:dyDescent="0.35">
      <c r="A38" s="233">
        <f t="shared" si="0"/>
        <v>32</v>
      </c>
      <c r="B38" s="233"/>
      <c r="C38" s="261" t="s">
        <v>62</v>
      </c>
      <c r="D38" s="259">
        <v>0.13088999999999998</v>
      </c>
      <c r="E38" s="259">
        <v>-0.12498000000000001</v>
      </c>
      <c r="F38" s="259">
        <f>+' Increments  equal ¢ per therm'!H38</f>
        <v>-0.14299000000000001</v>
      </c>
      <c r="G38" s="259">
        <f>+' Increments  equal ¢ per therm'!K38</f>
        <v>-2.7019999999999999E-2</v>
      </c>
      <c r="H38" s="259">
        <f>+' Increments  equal ¢ per therm'!N38</f>
        <v>0</v>
      </c>
      <c r="I38" s="259">
        <f t="shared" si="1"/>
        <v>-0.17000999999999999</v>
      </c>
      <c r="J38" s="259">
        <f t="shared" si="2"/>
        <v>-4.5029999999999987E-2</v>
      </c>
      <c r="K38" s="243">
        <f>+'[9]Allocation = % of margin'!P38</f>
        <v>0</v>
      </c>
      <c r="L38" s="243">
        <f>+'[9]Allocation = % of margin'!S38</f>
        <v>0</v>
      </c>
      <c r="M38" s="243">
        <f>+'[9]Allocation = % of margin'!V38</f>
        <v>0</v>
      </c>
      <c r="N38" s="243">
        <f>+'[9]Allocation = % of margin'!Y38</f>
        <v>3.3600000000000001E-3</v>
      </c>
      <c r="O38" s="243">
        <f>+'[9]Allocation = % of margin'!AB38</f>
        <v>5.4000000000000001E-4</v>
      </c>
      <c r="P38" s="243">
        <f>'[9]Allocation = % of margin'!AE38</f>
        <v>-4.0000000000000003E-5</v>
      </c>
      <c r="Q38" s="243">
        <f>' Increments  equal ¢ per therm'!Q38</f>
        <v>0</v>
      </c>
      <c r="R38" s="243">
        <f>'[9]Allocation = % of margin'!AH38</f>
        <v>3.1099999999999999E-3</v>
      </c>
      <c r="S38" s="243">
        <f>' Increments  equal ¢ per therm'!T38</f>
        <v>3.5E-4</v>
      </c>
      <c r="T38" s="243">
        <f>'[9]Allocation = % of revenue'!M38</f>
        <v>0</v>
      </c>
      <c r="U38" s="243">
        <f>'[9]Allocation = % of margin'!AK38</f>
        <v>7.5399999999999998E-3</v>
      </c>
      <c r="V38" s="243">
        <f>' Increments  equal ¢ per therm'!W38</f>
        <v>0.24073</v>
      </c>
      <c r="W38" s="243">
        <f t="shared" si="3"/>
        <v>8.5579999999999989E-2</v>
      </c>
      <c r="X38" s="243">
        <f t="shared" si="4"/>
        <v>-4.5309999999999989E-2</v>
      </c>
      <c r="Y38" s="243"/>
      <c r="Z38" s="248">
        <f t="shared" si="5"/>
        <v>8.5579999999999989E-2</v>
      </c>
      <c r="AA38" s="248">
        <f t="shared" si="6"/>
        <v>1.49E-2</v>
      </c>
      <c r="AB38" s="248">
        <f t="shared" si="7"/>
        <v>-0.14299000000000001</v>
      </c>
      <c r="AC38" s="248">
        <f t="shared" si="8"/>
        <v>-2.7019999999999999E-2</v>
      </c>
      <c r="AD38" s="248">
        <f t="shared" si="9"/>
        <v>0.25558999999999998</v>
      </c>
      <c r="AE38" s="248">
        <f t="shared" si="10"/>
        <v>8.5579999999999989E-2</v>
      </c>
      <c r="AF38" s="248">
        <f>[9]Permanents!G38</f>
        <v>0.14899000000000007</v>
      </c>
      <c r="AG38" s="247">
        <f t="shared" si="11"/>
        <v>0</v>
      </c>
      <c r="AH38" s="243">
        <f t="shared" si="12"/>
        <v>-0.17000999999999999</v>
      </c>
      <c r="AI38" s="243">
        <f t="shared" si="13"/>
        <v>0</v>
      </c>
      <c r="AJ38" s="243">
        <f t="shared" si="14"/>
        <v>3.1099999999999999E-3</v>
      </c>
      <c r="AK38" s="243">
        <f t="shared" si="15"/>
        <v>3.5E-4</v>
      </c>
      <c r="AL38" s="243">
        <f t="shared" si="16"/>
        <v>0</v>
      </c>
      <c r="AM38" s="243">
        <f t="shared" si="17"/>
        <v>-4.0000000000000003E-5</v>
      </c>
      <c r="AN38" s="243">
        <f t="shared" si="18"/>
        <v>0</v>
      </c>
      <c r="AO38" s="243">
        <f>[9]Permanents!F38</f>
        <v>4.0000000000000003E-5</v>
      </c>
      <c r="AP38" s="243">
        <f t="shared" si="19"/>
        <v>7.5399999999999998E-3</v>
      </c>
      <c r="AQ38" s="243">
        <f t="shared" si="20"/>
        <v>0.24073</v>
      </c>
      <c r="AR38" s="243"/>
      <c r="AS38" s="243"/>
      <c r="AT38" s="243">
        <f t="shared" si="21"/>
        <v>3.3600000000000001E-3</v>
      </c>
      <c r="AU38" s="243">
        <f t="shared" si="22"/>
        <v>5.4000000000000001E-4</v>
      </c>
      <c r="AV38" s="243">
        <f t="shared" si="23"/>
        <v>3.9000000000000003E-3</v>
      </c>
      <c r="AW38" s="246">
        <f>[32]Temporaries!Q38</f>
        <v>0</v>
      </c>
      <c r="AX38" s="246">
        <f>SUM([32]Temporaries!K38:M38)</f>
        <v>0</v>
      </c>
      <c r="AY38" s="246">
        <f>SUM([32]Temporaries!N38:O38)</f>
        <v>3.9900000000000005E-3</v>
      </c>
      <c r="AZ38" s="245">
        <f>[32]Temporaries!R38</f>
        <v>2.7699999999999999E-3</v>
      </c>
      <c r="BA38" s="245">
        <f t="shared" si="24"/>
        <v>-0.12498000000000001</v>
      </c>
      <c r="BB38" s="255">
        <f>[32]Temporaries!P38</f>
        <v>-2.2000000000000001E-4</v>
      </c>
      <c r="BC38" s="245">
        <f>[32]Temporaries!S38</f>
        <v>1.0300000000000001E-3</v>
      </c>
      <c r="BD38" s="245">
        <f>[32]Temporaries!T38</f>
        <v>3.0000000000000001E-5</v>
      </c>
      <c r="BE38" s="245">
        <f>[32]Temporaries!U38</f>
        <v>7.5399999999999998E-3</v>
      </c>
      <c r="BF38" s="245">
        <v>0.24073</v>
      </c>
      <c r="BG38" s="245"/>
      <c r="BH38" s="244">
        <f t="shared" si="25"/>
        <v>0</v>
      </c>
      <c r="BI38" s="243">
        <f t="shared" si="26"/>
        <v>0.25558999999999998</v>
      </c>
      <c r="BJ38" s="243">
        <f t="shared" si="27"/>
        <v>8.5579999999999989E-2</v>
      </c>
    </row>
    <row r="39" spans="1:62" x14ac:dyDescent="0.35">
      <c r="A39" s="233">
        <f t="shared" si="0"/>
        <v>33</v>
      </c>
      <c r="B39" s="233"/>
      <c r="C39" s="261" t="s">
        <v>69</v>
      </c>
      <c r="D39" s="259">
        <v>0.12760999999999997</v>
      </c>
      <c r="E39" s="259">
        <v>-0.12498000000000001</v>
      </c>
      <c r="F39" s="259">
        <f>+' Increments  equal ¢ per therm'!H39</f>
        <v>-0.14299000000000001</v>
      </c>
      <c r="G39" s="259">
        <f>+' Increments  equal ¢ per therm'!K39</f>
        <v>-2.7019999999999999E-2</v>
      </c>
      <c r="H39" s="259">
        <f>+' Increments  equal ¢ per therm'!N39</f>
        <v>0</v>
      </c>
      <c r="I39" s="259">
        <f t="shared" si="1"/>
        <v>-0.17000999999999999</v>
      </c>
      <c r="J39" s="259">
        <f t="shared" si="2"/>
        <v>-4.5029999999999987E-2</v>
      </c>
      <c r="K39" s="243">
        <f>+'[9]Allocation = % of margin'!P39</f>
        <v>0</v>
      </c>
      <c r="L39" s="243">
        <f>+'[9]Allocation = % of margin'!S39</f>
        <v>0</v>
      </c>
      <c r="M39" s="243">
        <f>+'[9]Allocation = % of margin'!V39</f>
        <v>0</v>
      </c>
      <c r="N39" s="243">
        <f>+'[9]Allocation = % of margin'!Y39</f>
        <v>2.5699999999999998E-3</v>
      </c>
      <c r="O39" s="243">
        <f>+'[9]Allocation = % of margin'!AB39</f>
        <v>4.0999999999999999E-4</v>
      </c>
      <c r="P39" s="243">
        <f>'[9]Allocation = % of margin'!AE39</f>
        <v>-3.0000000000000001E-5</v>
      </c>
      <c r="Q39" s="243">
        <f>' Increments  equal ¢ per therm'!Q39</f>
        <v>0</v>
      </c>
      <c r="R39" s="243">
        <f>'[9]Allocation = % of margin'!AH39</f>
        <v>2.3800000000000002E-3</v>
      </c>
      <c r="S39" s="243">
        <f>' Increments  equal ¢ per therm'!T39</f>
        <v>3.5E-4</v>
      </c>
      <c r="T39" s="243">
        <f>'[9]Allocation = % of revenue'!M39</f>
        <v>0</v>
      </c>
      <c r="U39" s="243">
        <f>'[9]Allocation = % of margin'!AK39</f>
        <v>5.7800000000000004E-3</v>
      </c>
      <c r="V39" s="243">
        <f>' Increments  equal ¢ per therm'!W39</f>
        <v>0.24073</v>
      </c>
      <c r="W39" s="243">
        <f t="shared" si="3"/>
        <v>8.2180000000000031E-2</v>
      </c>
      <c r="X39" s="243">
        <f t="shared" si="4"/>
        <v>-4.5429999999999943E-2</v>
      </c>
      <c r="Y39" s="243"/>
      <c r="Z39" s="248">
        <f t="shared" si="5"/>
        <v>8.2180000000000031E-2</v>
      </c>
      <c r="AA39" s="248">
        <f t="shared" si="6"/>
        <v>1.149E-2</v>
      </c>
      <c r="AB39" s="248">
        <f t="shared" si="7"/>
        <v>-0.14299000000000001</v>
      </c>
      <c r="AC39" s="248">
        <f t="shared" si="8"/>
        <v>-2.7019999999999999E-2</v>
      </c>
      <c r="AD39" s="248">
        <f t="shared" si="9"/>
        <v>0.25219000000000003</v>
      </c>
      <c r="AE39" s="248">
        <f t="shared" si="10"/>
        <v>8.2180000000000031E-2</v>
      </c>
      <c r="AF39" s="248">
        <f>[9]Permanents!G39</f>
        <v>0.11424999999999978</v>
      </c>
      <c r="AG39" s="247">
        <f t="shared" si="11"/>
        <v>0</v>
      </c>
      <c r="AH39" s="243">
        <f t="shared" si="12"/>
        <v>-0.17000999999999999</v>
      </c>
      <c r="AI39" s="243">
        <f t="shared" si="13"/>
        <v>0</v>
      </c>
      <c r="AJ39" s="243">
        <f t="shared" si="14"/>
        <v>2.3800000000000002E-3</v>
      </c>
      <c r="AK39" s="243">
        <f t="shared" si="15"/>
        <v>3.5E-4</v>
      </c>
      <c r="AL39" s="243">
        <f t="shared" si="16"/>
        <v>0</v>
      </c>
      <c r="AM39" s="243">
        <f t="shared" si="17"/>
        <v>-3.0000000000000001E-5</v>
      </c>
      <c r="AN39" s="243">
        <f t="shared" si="18"/>
        <v>0</v>
      </c>
      <c r="AO39" s="243">
        <f>[9]Permanents!F39</f>
        <v>3.0000000000000001E-5</v>
      </c>
      <c r="AP39" s="243">
        <f t="shared" si="19"/>
        <v>5.7800000000000004E-3</v>
      </c>
      <c r="AQ39" s="243">
        <f t="shared" si="20"/>
        <v>0.24073</v>
      </c>
      <c r="AR39" s="243"/>
      <c r="AS39" s="243"/>
      <c r="AT39" s="243">
        <f t="shared" si="21"/>
        <v>2.5699999999999998E-3</v>
      </c>
      <c r="AU39" s="243">
        <f t="shared" si="22"/>
        <v>4.0999999999999999E-4</v>
      </c>
      <c r="AV39" s="243">
        <f t="shared" si="23"/>
        <v>2.98E-3</v>
      </c>
      <c r="AW39" s="246">
        <f>[32]Temporaries!Q39</f>
        <v>0</v>
      </c>
      <c r="AX39" s="246">
        <f>SUM([32]Temporaries!K39:M39)</f>
        <v>0</v>
      </c>
      <c r="AY39" s="246">
        <f>SUM([32]Temporaries!N39:O39)</f>
        <v>3.0600000000000002E-3</v>
      </c>
      <c r="AZ39" s="245">
        <f>[32]Temporaries!R39</f>
        <v>2.1299999999999999E-3</v>
      </c>
      <c r="BA39" s="245">
        <f t="shared" si="24"/>
        <v>-0.12498000000000001</v>
      </c>
      <c r="BB39" s="255">
        <f>[32]Temporaries!P39</f>
        <v>-1.7000000000000001E-4</v>
      </c>
      <c r="BC39" s="245">
        <f>[32]Temporaries!S39</f>
        <v>1.0300000000000001E-3</v>
      </c>
      <c r="BD39" s="245">
        <f>[32]Temporaries!T39</f>
        <v>3.0000000000000001E-5</v>
      </c>
      <c r="BE39" s="245">
        <f>[32]Temporaries!U39</f>
        <v>5.7800000000000004E-3</v>
      </c>
      <c r="BF39" s="245">
        <v>0.24073</v>
      </c>
      <c r="BG39" s="245"/>
      <c r="BH39" s="244">
        <f t="shared" si="25"/>
        <v>0</v>
      </c>
      <c r="BI39" s="243">
        <f t="shared" si="26"/>
        <v>0.25219000000000003</v>
      </c>
      <c r="BJ39" s="243">
        <f t="shared" si="27"/>
        <v>8.2180000000000031E-2</v>
      </c>
    </row>
    <row r="40" spans="1:62" x14ac:dyDescent="0.35">
      <c r="A40" s="233">
        <f t="shared" ref="A40:A71" si="28">+A39+1</f>
        <v>34</v>
      </c>
      <c r="B40" s="233"/>
      <c r="C40" s="261" t="s">
        <v>70</v>
      </c>
      <c r="D40" s="259">
        <v>0.12544999999999998</v>
      </c>
      <c r="E40" s="259">
        <v>-0.12498000000000001</v>
      </c>
      <c r="F40" s="259">
        <f>+' Increments  equal ¢ per therm'!H40</f>
        <v>-0.14299000000000001</v>
      </c>
      <c r="G40" s="259">
        <f>+' Increments  equal ¢ per therm'!K40</f>
        <v>-2.7019999999999999E-2</v>
      </c>
      <c r="H40" s="259">
        <f>+' Increments  equal ¢ per therm'!N40</f>
        <v>0</v>
      </c>
      <c r="I40" s="259">
        <f t="shared" si="1"/>
        <v>-0.17000999999999999</v>
      </c>
      <c r="J40" s="259">
        <f t="shared" si="2"/>
        <v>-4.5029999999999987E-2</v>
      </c>
      <c r="K40" s="243">
        <f>+'[9]Allocation = % of margin'!P40</f>
        <v>0</v>
      </c>
      <c r="L40" s="243">
        <f>+'[9]Allocation = % of margin'!S40</f>
        <v>0</v>
      </c>
      <c r="M40" s="243">
        <f>+'[9]Allocation = % of margin'!V40</f>
        <v>0</v>
      </c>
      <c r="N40" s="243">
        <f>+'[9]Allocation = % of margin'!Y40</f>
        <v>2.0600000000000002E-3</v>
      </c>
      <c r="O40" s="243">
        <f>+'[9]Allocation = % of margin'!AB40</f>
        <v>3.3E-4</v>
      </c>
      <c r="P40" s="243">
        <f>'[9]Allocation = % of margin'!AE40</f>
        <v>-2.0000000000000002E-5</v>
      </c>
      <c r="Q40" s="243">
        <f>' Increments  equal ¢ per therm'!Q40</f>
        <v>0</v>
      </c>
      <c r="R40" s="243">
        <f>'[9]Allocation = % of margin'!AH40</f>
        <v>1.91E-3</v>
      </c>
      <c r="S40" s="243">
        <f>' Increments  equal ¢ per therm'!T40</f>
        <v>3.5E-4</v>
      </c>
      <c r="T40" s="243">
        <f>'[9]Allocation = % of revenue'!M40</f>
        <v>0</v>
      </c>
      <c r="U40" s="243">
        <f>'[9]Allocation = % of margin'!AK40</f>
        <v>4.6299999999999996E-3</v>
      </c>
      <c r="V40" s="243">
        <f>' Increments  equal ¢ per therm'!W40</f>
        <v>0.24073</v>
      </c>
      <c r="W40" s="243">
        <f t="shared" si="3"/>
        <v>7.9979999999999996E-2</v>
      </c>
      <c r="X40" s="243">
        <f t="shared" si="4"/>
        <v>-4.5469999999999983E-2</v>
      </c>
      <c r="Y40" s="243"/>
      <c r="Z40" s="248">
        <f t="shared" si="5"/>
        <v>7.9979999999999996E-2</v>
      </c>
      <c r="AA40" s="248">
        <f t="shared" si="6"/>
        <v>9.2800000000000001E-3</v>
      </c>
      <c r="AB40" s="248">
        <f t="shared" si="7"/>
        <v>-0.14299000000000001</v>
      </c>
      <c r="AC40" s="248">
        <f t="shared" si="8"/>
        <v>-2.7019999999999999E-2</v>
      </c>
      <c r="AD40" s="248">
        <f t="shared" si="9"/>
        <v>0.24998999999999999</v>
      </c>
      <c r="AE40" s="248">
        <f t="shared" si="10"/>
        <v>7.9979999999999996E-2</v>
      </c>
      <c r="AF40" s="248">
        <f>[9]Permanents!G40</f>
        <v>9.1400000000000065E-2</v>
      </c>
      <c r="AG40" s="247">
        <f t="shared" si="11"/>
        <v>0</v>
      </c>
      <c r="AH40" s="243">
        <f t="shared" si="12"/>
        <v>-0.17000999999999999</v>
      </c>
      <c r="AI40" s="243">
        <f t="shared" si="13"/>
        <v>0</v>
      </c>
      <c r="AJ40" s="243">
        <f t="shared" si="14"/>
        <v>1.91E-3</v>
      </c>
      <c r="AK40" s="243">
        <f t="shared" si="15"/>
        <v>3.5E-4</v>
      </c>
      <c r="AL40" s="243">
        <f t="shared" si="16"/>
        <v>0</v>
      </c>
      <c r="AM40" s="243">
        <f t="shared" si="17"/>
        <v>-2.0000000000000002E-5</v>
      </c>
      <c r="AN40" s="243">
        <f t="shared" si="18"/>
        <v>0</v>
      </c>
      <c r="AO40" s="243">
        <f>[9]Permanents!F40</f>
        <v>2.0000000000000002E-5</v>
      </c>
      <c r="AP40" s="243">
        <f t="shared" si="19"/>
        <v>4.6299999999999996E-3</v>
      </c>
      <c r="AQ40" s="243">
        <f t="shared" si="20"/>
        <v>0.24073</v>
      </c>
      <c r="AR40" s="243"/>
      <c r="AS40" s="243"/>
      <c r="AT40" s="243">
        <f t="shared" si="21"/>
        <v>2.0600000000000002E-3</v>
      </c>
      <c r="AU40" s="243">
        <f t="shared" si="22"/>
        <v>3.3E-4</v>
      </c>
      <c r="AV40" s="243">
        <f t="shared" si="23"/>
        <v>2.3900000000000002E-3</v>
      </c>
      <c r="AW40" s="246">
        <f>[32]Temporaries!Q40</f>
        <v>0</v>
      </c>
      <c r="AX40" s="246">
        <f>SUM([32]Temporaries!K40:M40)</f>
        <v>0</v>
      </c>
      <c r="AY40" s="246">
        <f>SUM([32]Temporaries!N40:O40)</f>
        <v>2.4499999999999999E-3</v>
      </c>
      <c r="AZ40" s="245">
        <f>[32]Temporaries!R40</f>
        <v>1.6999999999999999E-3</v>
      </c>
      <c r="BA40" s="245">
        <f t="shared" si="24"/>
        <v>-0.12498000000000001</v>
      </c>
      <c r="BB40" s="255">
        <f>[32]Temporaries!P40</f>
        <v>-1.3999999999999999E-4</v>
      </c>
      <c r="BC40" s="245">
        <f>[32]Temporaries!S40</f>
        <v>1.0300000000000001E-3</v>
      </c>
      <c r="BD40" s="245">
        <f>[32]Temporaries!T40</f>
        <v>3.0000000000000001E-5</v>
      </c>
      <c r="BE40" s="245">
        <f>[32]Temporaries!U40</f>
        <v>4.6299999999999996E-3</v>
      </c>
      <c r="BF40" s="245">
        <v>0.24073</v>
      </c>
      <c r="BG40" s="245"/>
      <c r="BH40" s="244">
        <f t="shared" si="25"/>
        <v>0</v>
      </c>
      <c r="BI40" s="243">
        <f t="shared" si="26"/>
        <v>0.24998999999999999</v>
      </c>
      <c r="BJ40" s="243">
        <f t="shared" si="27"/>
        <v>7.9979999999999996E-2</v>
      </c>
    </row>
    <row r="41" spans="1:62" x14ac:dyDescent="0.35">
      <c r="A41" s="233">
        <f t="shared" si="28"/>
        <v>35</v>
      </c>
      <c r="B41" s="233"/>
      <c r="C41" s="261" t="s">
        <v>71</v>
      </c>
      <c r="D41" s="259">
        <v>0.12257999999999999</v>
      </c>
      <c r="E41" s="259">
        <v>-0.12498000000000001</v>
      </c>
      <c r="F41" s="259">
        <f>+' Increments  equal ¢ per therm'!H41</f>
        <v>-0.14299000000000001</v>
      </c>
      <c r="G41" s="259">
        <f>+' Increments  equal ¢ per therm'!K41</f>
        <v>-2.7019999999999999E-2</v>
      </c>
      <c r="H41" s="259">
        <f>+' Increments  equal ¢ per therm'!N41</f>
        <v>0</v>
      </c>
      <c r="I41" s="259">
        <f t="shared" si="1"/>
        <v>-0.17000999999999999</v>
      </c>
      <c r="J41" s="259">
        <f t="shared" si="2"/>
        <v>-4.5029999999999987E-2</v>
      </c>
      <c r="K41" s="243">
        <f>+'[9]Allocation = % of margin'!P41</f>
        <v>0</v>
      </c>
      <c r="L41" s="243">
        <f>+'[9]Allocation = % of margin'!S41</f>
        <v>0</v>
      </c>
      <c r="M41" s="243">
        <f>+'[9]Allocation = % of margin'!V41</f>
        <v>0</v>
      </c>
      <c r="N41" s="243">
        <f>+'[9]Allocation = % of margin'!Y41</f>
        <v>1.3699999999999999E-3</v>
      </c>
      <c r="O41" s="243">
        <f>+'[9]Allocation = % of margin'!AB41</f>
        <v>2.2000000000000001E-4</v>
      </c>
      <c r="P41" s="243">
        <f>'[9]Allocation = % of margin'!AE41</f>
        <v>-2.0000000000000002E-5</v>
      </c>
      <c r="Q41" s="243">
        <f>' Increments  equal ¢ per therm'!Q41</f>
        <v>0</v>
      </c>
      <c r="R41" s="243">
        <f>'[9]Allocation = % of margin'!AH41</f>
        <v>1.2700000000000001E-3</v>
      </c>
      <c r="S41" s="243">
        <f>' Increments  equal ¢ per therm'!T41</f>
        <v>3.5E-4</v>
      </c>
      <c r="T41" s="243">
        <f>'[9]Allocation = % of revenue'!M41</f>
        <v>0</v>
      </c>
      <c r="U41" s="243">
        <f>'[9]Allocation = % of margin'!AK41</f>
        <v>3.0899999999999999E-3</v>
      </c>
      <c r="V41" s="243">
        <f>' Increments  equal ¢ per therm'!W41</f>
        <v>0.24073</v>
      </c>
      <c r="W41" s="243">
        <f t="shared" si="3"/>
        <v>7.7000000000000013E-2</v>
      </c>
      <c r="X41" s="243">
        <f t="shared" si="4"/>
        <v>-4.5579999999999982E-2</v>
      </c>
      <c r="Y41" s="243"/>
      <c r="Z41" s="248">
        <f t="shared" si="5"/>
        <v>7.7000000000000013E-2</v>
      </c>
      <c r="AA41" s="248">
        <f t="shared" si="6"/>
        <v>6.3E-3</v>
      </c>
      <c r="AB41" s="248">
        <f t="shared" si="7"/>
        <v>-0.14299000000000001</v>
      </c>
      <c r="AC41" s="248">
        <f t="shared" si="8"/>
        <v>-2.7019999999999999E-2</v>
      </c>
      <c r="AD41" s="248">
        <f t="shared" si="9"/>
        <v>0.24701000000000001</v>
      </c>
      <c r="AE41" s="248">
        <f t="shared" si="10"/>
        <v>7.7000000000000013E-2</v>
      </c>
      <c r="AF41" s="248">
        <f>[9]Permanents!G41</f>
        <v>6.0960000000000181E-2</v>
      </c>
      <c r="AG41" s="247">
        <f t="shared" si="11"/>
        <v>0</v>
      </c>
      <c r="AH41" s="243">
        <f t="shared" si="12"/>
        <v>-0.17000999999999999</v>
      </c>
      <c r="AI41" s="243">
        <f t="shared" si="13"/>
        <v>0</v>
      </c>
      <c r="AJ41" s="243">
        <f t="shared" si="14"/>
        <v>1.2700000000000001E-3</v>
      </c>
      <c r="AK41" s="243">
        <f t="shared" si="15"/>
        <v>3.5E-4</v>
      </c>
      <c r="AL41" s="243">
        <f t="shared" si="16"/>
        <v>0</v>
      </c>
      <c r="AM41" s="243">
        <f t="shared" si="17"/>
        <v>-2.0000000000000002E-5</v>
      </c>
      <c r="AN41" s="243">
        <f t="shared" si="18"/>
        <v>0</v>
      </c>
      <c r="AO41" s="243">
        <f>[9]Permanents!F41</f>
        <v>2.0000000000000002E-5</v>
      </c>
      <c r="AP41" s="243">
        <f t="shared" si="19"/>
        <v>3.0899999999999999E-3</v>
      </c>
      <c r="AQ41" s="243">
        <f t="shared" si="20"/>
        <v>0.24073</v>
      </c>
      <c r="AR41" s="243"/>
      <c r="AS41" s="243"/>
      <c r="AT41" s="243">
        <f t="shared" si="21"/>
        <v>1.3699999999999999E-3</v>
      </c>
      <c r="AU41" s="243">
        <f t="shared" si="22"/>
        <v>2.2000000000000001E-4</v>
      </c>
      <c r="AV41" s="243">
        <f t="shared" si="23"/>
        <v>1.5899999999999998E-3</v>
      </c>
      <c r="AW41" s="246">
        <f>[32]Temporaries!Q41</f>
        <v>0</v>
      </c>
      <c r="AX41" s="246">
        <f>SUM([32]Temporaries!K41:M41)</f>
        <v>0</v>
      </c>
      <c r="AY41" s="246">
        <f>SUM([32]Temporaries!N41:O41)</f>
        <v>1.6300000000000002E-3</v>
      </c>
      <c r="AZ41" s="245">
        <f>[32]Temporaries!R41</f>
        <v>1.14E-3</v>
      </c>
      <c r="BA41" s="245">
        <f t="shared" si="24"/>
        <v>-0.12498000000000001</v>
      </c>
      <c r="BB41" s="255">
        <f>[32]Temporaries!P41</f>
        <v>-9.0000000000000006E-5</v>
      </c>
      <c r="BC41" s="245">
        <f>[32]Temporaries!S41</f>
        <v>1.0300000000000001E-3</v>
      </c>
      <c r="BD41" s="245">
        <f>[32]Temporaries!T41</f>
        <v>3.0000000000000001E-5</v>
      </c>
      <c r="BE41" s="245">
        <f>[32]Temporaries!U41</f>
        <v>3.0899999999999999E-3</v>
      </c>
      <c r="BF41" s="245">
        <v>0.24073</v>
      </c>
      <c r="BG41" s="245"/>
      <c r="BH41" s="244">
        <f t="shared" si="25"/>
        <v>0</v>
      </c>
      <c r="BI41" s="243">
        <f t="shared" si="26"/>
        <v>0.24701000000000001</v>
      </c>
      <c r="BJ41" s="243">
        <f t="shared" si="27"/>
        <v>7.7000000000000013E-2</v>
      </c>
    </row>
    <row r="42" spans="1:62" x14ac:dyDescent="0.35">
      <c r="A42" s="233">
        <f t="shared" si="28"/>
        <v>36</v>
      </c>
      <c r="B42" s="258"/>
      <c r="C42" s="260" t="s">
        <v>72</v>
      </c>
      <c r="D42" s="251">
        <v>0.11898</v>
      </c>
      <c r="E42" s="251">
        <v>-0.12498000000000001</v>
      </c>
      <c r="F42" s="251">
        <f>+' Increments  equal ¢ per therm'!H42</f>
        <v>-0.14299000000000001</v>
      </c>
      <c r="G42" s="251">
        <f>+' Increments  equal ¢ per therm'!K42</f>
        <v>-2.7019999999999999E-2</v>
      </c>
      <c r="H42" s="251">
        <f>+' Increments  equal ¢ per therm'!N42</f>
        <v>0</v>
      </c>
      <c r="I42" s="251">
        <f t="shared" si="1"/>
        <v>-0.17000999999999999</v>
      </c>
      <c r="J42" s="251">
        <f t="shared" si="2"/>
        <v>-4.5029999999999987E-2</v>
      </c>
      <c r="K42" s="249">
        <f>+'[9]Allocation = % of margin'!P42</f>
        <v>0</v>
      </c>
      <c r="L42" s="249">
        <f>+'[9]Allocation = % of margin'!S42</f>
        <v>0</v>
      </c>
      <c r="M42" s="249">
        <f>+'[9]Allocation = % of margin'!V42</f>
        <v>0</v>
      </c>
      <c r="N42" s="249">
        <f>+'[9]Allocation = % of margin'!Y42</f>
        <v>5.1000000000000004E-4</v>
      </c>
      <c r="O42" s="249">
        <f>+'[9]Allocation = % of margin'!AB42</f>
        <v>8.0000000000000007E-5</v>
      </c>
      <c r="P42" s="249">
        <f>'[9]Allocation = % of margin'!AE42</f>
        <v>-1.0000000000000001E-5</v>
      </c>
      <c r="Q42" s="249">
        <f>' Increments  equal ¢ per therm'!Q42</f>
        <v>0</v>
      </c>
      <c r="R42" s="249">
        <f>'[9]Allocation = % of margin'!AH42</f>
        <v>4.8000000000000001E-4</v>
      </c>
      <c r="S42" s="249">
        <f>' Increments  equal ¢ per therm'!T42</f>
        <v>3.5E-4</v>
      </c>
      <c r="T42" s="249">
        <f>'[9]Allocation = % of revenue'!M42</f>
        <v>0</v>
      </c>
      <c r="U42" s="249">
        <f>'[9]Allocation = % of margin'!AK42</f>
        <v>1.16E-3</v>
      </c>
      <c r="V42" s="249">
        <f>' Increments  equal ¢ per therm'!W42</f>
        <v>0.24073</v>
      </c>
      <c r="W42" s="249">
        <f t="shared" si="3"/>
        <v>7.3289999999999994E-2</v>
      </c>
      <c r="X42" s="249">
        <f t="shared" si="4"/>
        <v>-4.5690000000000008E-2</v>
      </c>
      <c r="Y42" s="243"/>
      <c r="Z42" s="248">
        <f t="shared" si="5"/>
        <v>7.3289999999999994E-2</v>
      </c>
      <c r="AA42" s="248">
        <f t="shared" si="6"/>
        <v>2.5799999999999998E-3</v>
      </c>
      <c r="AB42" s="248">
        <f t="shared" si="7"/>
        <v>-0.14299000000000001</v>
      </c>
      <c r="AC42" s="248">
        <f t="shared" si="8"/>
        <v>-2.7019999999999999E-2</v>
      </c>
      <c r="AD42" s="248">
        <f t="shared" si="9"/>
        <v>0.24329999999999999</v>
      </c>
      <c r="AE42" s="248">
        <f t="shared" si="10"/>
        <v>7.3289999999999994E-2</v>
      </c>
      <c r="AF42" s="248">
        <f>[9]Permanents!G42</f>
        <v>2.283999999999986E-2</v>
      </c>
      <c r="AG42" s="247">
        <f t="shared" si="11"/>
        <v>0</v>
      </c>
      <c r="AH42" s="243">
        <f t="shared" si="12"/>
        <v>-0.17000999999999999</v>
      </c>
      <c r="AI42" s="243">
        <f t="shared" si="13"/>
        <v>0</v>
      </c>
      <c r="AJ42" s="243">
        <f t="shared" si="14"/>
        <v>4.8000000000000001E-4</v>
      </c>
      <c r="AK42" s="243">
        <f t="shared" si="15"/>
        <v>3.5E-4</v>
      </c>
      <c r="AL42" s="243">
        <f t="shared" si="16"/>
        <v>0</v>
      </c>
      <c r="AM42" s="243">
        <f t="shared" si="17"/>
        <v>-1.0000000000000001E-5</v>
      </c>
      <c r="AN42" s="243">
        <f t="shared" si="18"/>
        <v>0</v>
      </c>
      <c r="AO42" s="243">
        <f>[9]Permanents!F42</f>
        <v>1.0000000000000001E-5</v>
      </c>
      <c r="AP42" s="243">
        <f t="shared" si="19"/>
        <v>1.16E-3</v>
      </c>
      <c r="AQ42" s="243">
        <f t="shared" si="20"/>
        <v>0.24073</v>
      </c>
      <c r="AR42" s="243"/>
      <c r="AS42" s="243"/>
      <c r="AT42" s="243">
        <f t="shared" si="21"/>
        <v>5.1000000000000004E-4</v>
      </c>
      <c r="AU42" s="243">
        <f t="shared" si="22"/>
        <v>8.0000000000000007E-5</v>
      </c>
      <c r="AV42" s="243">
        <f t="shared" si="23"/>
        <v>5.9000000000000003E-4</v>
      </c>
      <c r="AW42" s="246">
        <f>[32]Temporaries!Q42</f>
        <v>0</v>
      </c>
      <c r="AX42" s="246">
        <f>SUM([32]Temporaries!K42:M42)</f>
        <v>0</v>
      </c>
      <c r="AY42" s="246">
        <f>SUM([32]Temporaries!N42:O42)</f>
        <v>6.0999999999999997E-4</v>
      </c>
      <c r="AZ42" s="245">
        <f>[32]Temporaries!R42</f>
        <v>4.2999999999999999E-4</v>
      </c>
      <c r="BA42" s="245">
        <f t="shared" si="24"/>
        <v>-0.12498000000000001</v>
      </c>
      <c r="BB42" s="255">
        <f>[32]Temporaries!P42</f>
        <v>-3.0000000000000001E-5</v>
      </c>
      <c r="BC42" s="245">
        <f>[32]Temporaries!S42</f>
        <v>1.0300000000000001E-3</v>
      </c>
      <c r="BD42" s="245">
        <f>[32]Temporaries!T42</f>
        <v>3.0000000000000001E-5</v>
      </c>
      <c r="BE42" s="245">
        <f>[32]Temporaries!U42</f>
        <v>1.16E-3</v>
      </c>
      <c r="BF42" s="245">
        <v>0.24073</v>
      </c>
      <c r="BG42" s="245"/>
      <c r="BH42" s="244">
        <f t="shared" si="25"/>
        <v>0</v>
      </c>
      <c r="BI42" s="243">
        <f t="shared" si="26"/>
        <v>0.24329999999999999</v>
      </c>
      <c r="BJ42" s="243">
        <f t="shared" si="27"/>
        <v>7.3289999999999994E-2</v>
      </c>
    </row>
    <row r="43" spans="1:62" x14ac:dyDescent="0.35">
      <c r="A43" s="233">
        <f t="shared" si="28"/>
        <v>37</v>
      </c>
      <c r="B43" s="233" t="s">
        <v>74</v>
      </c>
      <c r="C43" s="261" t="s">
        <v>61</v>
      </c>
      <c r="D43" s="259">
        <v>0.24890000000000001</v>
      </c>
      <c r="E43" s="259">
        <v>0</v>
      </c>
      <c r="F43" s="259">
        <f>+' Increments  equal ¢ per therm'!H43</f>
        <v>0</v>
      </c>
      <c r="G43" s="259">
        <f>+' Increments  equal ¢ per therm'!K43</f>
        <v>0</v>
      </c>
      <c r="H43" s="259">
        <f>+' Increments  equal ¢ per therm'!N43</f>
        <v>0</v>
      </c>
      <c r="I43" s="259">
        <f t="shared" si="1"/>
        <v>0</v>
      </c>
      <c r="J43" s="259">
        <f t="shared" si="2"/>
        <v>0</v>
      </c>
      <c r="K43" s="243">
        <f>+'[9]Allocation = % of margin'!P43</f>
        <v>0</v>
      </c>
      <c r="L43" s="243">
        <f>+'[9]Allocation = % of margin'!S43</f>
        <v>0</v>
      </c>
      <c r="M43" s="243">
        <f>+'[9]Allocation = % of margin'!V43</f>
        <v>0</v>
      </c>
      <c r="N43" s="243">
        <f>+'[9]Allocation = % of margin'!Y43</f>
        <v>0</v>
      </c>
      <c r="O43" s="243">
        <f>+'[9]Allocation = % of margin'!AB43</f>
        <v>0</v>
      </c>
      <c r="P43" s="243">
        <f>'[9]Allocation = % of margin'!AE43</f>
        <v>-3.0000000000000001E-5</v>
      </c>
      <c r="Q43" s="243">
        <f>' Increments  equal ¢ per therm'!Q43</f>
        <v>0</v>
      </c>
      <c r="R43" s="243">
        <f>'[9]Allocation = % of margin'!AH43</f>
        <v>2.1900000000000001E-3</v>
      </c>
      <c r="S43" s="243">
        <f>' Increments  equal ¢ per therm'!T43</f>
        <v>3.5E-4</v>
      </c>
      <c r="T43" s="243">
        <f>'[9]Allocation = % of revenue'!M43</f>
        <v>2.0000000000000002E-5</v>
      </c>
      <c r="U43" s="243">
        <f>'[9]Allocation = % of margin'!AK43</f>
        <v>5.2399999999999999E-3</v>
      </c>
      <c r="V43" s="243">
        <f>' Increments  equal ¢ per therm'!W43</f>
        <v>0.24073</v>
      </c>
      <c r="W43" s="243">
        <f t="shared" si="3"/>
        <v>0.2485</v>
      </c>
      <c r="X43" s="243">
        <f t="shared" si="4"/>
        <v>-4.0000000000001146E-4</v>
      </c>
      <c r="Y43" s="243"/>
      <c r="Z43" s="248">
        <f t="shared" si="5"/>
        <v>0.2485</v>
      </c>
      <c r="AA43" s="248">
        <f t="shared" si="6"/>
        <v>7.7999999999999996E-3</v>
      </c>
      <c r="AB43" s="248">
        <f t="shared" si="7"/>
        <v>0</v>
      </c>
      <c r="AC43" s="248">
        <f t="shared" si="8"/>
        <v>0</v>
      </c>
      <c r="AD43" s="248">
        <f t="shared" si="9"/>
        <v>0.2485</v>
      </c>
      <c r="AE43" s="248">
        <f t="shared" si="10"/>
        <v>0.2485</v>
      </c>
      <c r="AF43" s="248">
        <f>[9]Permanents!G43</f>
        <v>0.15441999999999997</v>
      </c>
      <c r="AG43" s="247">
        <f t="shared" si="11"/>
        <v>0</v>
      </c>
      <c r="AH43" s="243">
        <f t="shared" si="12"/>
        <v>0</v>
      </c>
      <c r="AI43" s="243">
        <f t="shared" si="13"/>
        <v>0</v>
      </c>
      <c r="AJ43" s="243">
        <f t="shared" si="14"/>
        <v>2.1900000000000001E-3</v>
      </c>
      <c r="AK43" s="243">
        <f t="shared" si="15"/>
        <v>3.5E-4</v>
      </c>
      <c r="AL43" s="243">
        <f t="shared" si="16"/>
        <v>0</v>
      </c>
      <c r="AM43" s="243">
        <f t="shared" si="17"/>
        <v>-3.0000000000000001E-5</v>
      </c>
      <c r="AN43" s="243">
        <f t="shared" si="18"/>
        <v>2.0000000000000002E-5</v>
      </c>
      <c r="AO43" s="243">
        <f>[9]Permanents!F43</f>
        <v>0</v>
      </c>
      <c r="AP43" s="243">
        <f t="shared" si="19"/>
        <v>5.2399999999999999E-3</v>
      </c>
      <c r="AQ43" s="243">
        <f t="shared" si="20"/>
        <v>0.24073</v>
      </c>
      <c r="AR43" s="243"/>
      <c r="AS43" s="243"/>
      <c r="AT43" s="243">
        <f t="shared" si="21"/>
        <v>0</v>
      </c>
      <c r="AU43" s="243">
        <f t="shared" si="22"/>
        <v>0</v>
      </c>
      <c r="AV43" s="243">
        <f t="shared" si="23"/>
        <v>0</v>
      </c>
      <c r="AW43" s="246">
        <f>[32]Temporaries!Q43</f>
        <v>0</v>
      </c>
      <c r="AX43" s="246">
        <f>SUM([32]Temporaries!K43:M43)</f>
        <v>0</v>
      </c>
      <c r="AY43" s="246">
        <f>SUM([32]Temporaries!N43:O43)</f>
        <v>0</v>
      </c>
      <c r="AZ43" s="245">
        <f>[32]Temporaries!R43</f>
        <v>1.9300000000000001E-3</v>
      </c>
      <c r="BA43" s="245">
        <f t="shared" si="24"/>
        <v>0</v>
      </c>
      <c r="BB43" s="255">
        <f>[32]Temporaries!P43</f>
        <v>-1.4999999999999999E-4</v>
      </c>
      <c r="BC43" s="245">
        <f>[32]Temporaries!S43</f>
        <v>1.0300000000000001E-3</v>
      </c>
      <c r="BD43" s="245">
        <f>[32]Temporaries!T43</f>
        <v>1.2E-4</v>
      </c>
      <c r="BE43" s="245">
        <f>[32]Temporaries!U43</f>
        <v>5.2399999999999999E-3</v>
      </c>
      <c r="BF43" s="245">
        <v>0.24073</v>
      </c>
      <c r="BG43" s="245"/>
      <c r="BH43" s="244">
        <f t="shared" si="25"/>
        <v>0</v>
      </c>
      <c r="BI43" s="243">
        <f t="shared" si="26"/>
        <v>0.2485</v>
      </c>
      <c r="BJ43" s="243">
        <f t="shared" si="27"/>
        <v>0.2485</v>
      </c>
    </row>
    <row r="44" spans="1:62" x14ac:dyDescent="0.35">
      <c r="A44" s="233">
        <f t="shared" si="28"/>
        <v>38</v>
      </c>
      <c r="B44" s="233"/>
      <c r="C44" s="261" t="s">
        <v>62</v>
      </c>
      <c r="D44" s="259">
        <v>0.24815999999999999</v>
      </c>
      <c r="E44" s="259">
        <v>0</v>
      </c>
      <c r="F44" s="259">
        <f>+' Increments  equal ¢ per therm'!H44</f>
        <v>0</v>
      </c>
      <c r="G44" s="259">
        <f>+' Increments  equal ¢ per therm'!K44</f>
        <v>0</v>
      </c>
      <c r="H44" s="259">
        <f>+' Increments  equal ¢ per therm'!N44</f>
        <v>0</v>
      </c>
      <c r="I44" s="259">
        <f t="shared" si="1"/>
        <v>0</v>
      </c>
      <c r="J44" s="259">
        <f t="shared" si="2"/>
        <v>0</v>
      </c>
      <c r="K44" s="243">
        <f>+'[9]Allocation = % of margin'!P44</f>
        <v>0</v>
      </c>
      <c r="L44" s="243">
        <f>+'[9]Allocation = % of margin'!S44</f>
        <v>0</v>
      </c>
      <c r="M44" s="243">
        <f>+'[9]Allocation = % of margin'!V44</f>
        <v>0</v>
      </c>
      <c r="N44" s="243">
        <f>+'[9]Allocation = % of margin'!Y44</f>
        <v>0</v>
      </c>
      <c r="O44" s="243">
        <f>+'[9]Allocation = % of margin'!AB44</f>
        <v>0</v>
      </c>
      <c r="P44" s="243">
        <f>'[9]Allocation = % of margin'!AE44</f>
        <v>-2.0000000000000002E-5</v>
      </c>
      <c r="Q44" s="243">
        <f>' Increments  equal ¢ per therm'!Q44</f>
        <v>0</v>
      </c>
      <c r="R44" s="243">
        <f>'[9]Allocation = % of margin'!AH44</f>
        <v>1.9599999999999999E-3</v>
      </c>
      <c r="S44" s="243">
        <f>' Increments  equal ¢ per therm'!T44</f>
        <v>3.5E-4</v>
      </c>
      <c r="T44" s="243">
        <f>'[9]Allocation = % of revenue'!M44</f>
        <v>2.0000000000000002E-5</v>
      </c>
      <c r="U44" s="243">
        <f>'[9]Allocation = % of margin'!AK44</f>
        <v>4.6899999999999997E-3</v>
      </c>
      <c r="V44" s="243">
        <f>' Increments  equal ¢ per therm'!W44</f>
        <v>0.24073</v>
      </c>
      <c r="W44" s="243">
        <f t="shared" si="3"/>
        <v>0.24773000000000001</v>
      </c>
      <c r="X44" s="243">
        <f t="shared" si="4"/>
        <v>-4.2999999999998595E-4</v>
      </c>
      <c r="Y44" s="243"/>
      <c r="Z44" s="248">
        <f t="shared" si="5"/>
        <v>0.24773000000000001</v>
      </c>
      <c r="AA44" s="248">
        <f t="shared" si="6"/>
        <v>7.0200000000000002E-3</v>
      </c>
      <c r="AB44" s="248">
        <f t="shared" si="7"/>
        <v>0</v>
      </c>
      <c r="AC44" s="248">
        <f t="shared" si="8"/>
        <v>0</v>
      </c>
      <c r="AD44" s="248">
        <f t="shared" si="9"/>
        <v>0.24773000000000001</v>
      </c>
      <c r="AE44" s="248">
        <f t="shared" si="10"/>
        <v>0.24773000000000001</v>
      </c>
      <c r="AF44" s="248">
        <f>[9]Permanents!G44</f>
        <v>0.13824</v>
      </c>
      <c r="AG44" s="247">
        <f t="shared" si="11"/>
        <v>0</v>
      </c>
      <c r="AH44" s="243">
        <f t="shared" si="12"/>
        <v>0</v>
      </c>
      <c r="AI44" s="243">
        <f t="shared" si="13"/>
        <v>0</v>
      </c>
      <c r="AJ44" s="243">
        <f t="shared" si="14"/>
        <v>1.9599999999999999E-3</v>
      </c>
      <c r="AK44" s="243">
        <f t="shared" si="15"/>
        <v>3.5E-4</v>
      </c>
      <c r="AL44" s="243">
        <f t="shared" si="16"/>
        <v>0</v>
      </c>
      <c r="AM44" s="243">
        <f t="shared" si="17"/>
        <v>-2.0000000000000002E-5</v>
      </c>
      <c r="AN44" s="243">
        <f t="shared" si="18"/>
        <v>2.0000000000000002E-5</v>
      </c>
      <c r="AO44" s="243">
        <f>[9]Permanents!F44</f>
        <v>0</v>
      </c>
      <c r="AP44" s="243">
        <f t="shared" si="19"/>
        <v>4.6899999999999997E-3</v>
      </c>
      <c r="AQ44" s="243">
        <f t="shared" si="20"/>
        <v>0.24073</v>
      </c>
      <c r="AR44" s="243"/>
      <c r="AS44" s="243"/>
      <c r="AT44" s="243">
        <f t="shared" si="21"/>
        <v>0</v>
      </c>
      <c r="AU44" s="243">
        <f t="shared" si="22"/>
        <v>0</v>
      </c>
      <c r="AV44" s="243">
        <f t="shared" si="23"/>
        <v>0</v>
      </c>
      <c r="AW44" s="246">
        <f>[32]Temporaries!Q44</f>
        <v>0</v>
      </c>
      <c r="AX44" s="246">
        <f>SUM([32]Temporaries!K44:M44)</f>
        <v>0</v>
      </c>
      <c r="AY44" s="246">
        <f>SUM([32]Temporaries!N44:O44)</f>
        <v>0</v>
      </c>
      <c r="AZ44" s="245">
        <f>[32]Temporaries!R44</f>
        <v>1.73E-3</v>
      </c>
      <c r="BA44" s="245">
        <f t="shared" si="24"/>
        <v>0</v>
      </c>
      <c r="BB44" s="255">
        <f>[32]Temporaries!P44</f>
        <v>-1.3999999999999999E-4</v>
      </c>
      <c r="BC44" s="245">
        <f>[32]Temporaries!S44</f>
        <v>1.0300000000000001E-3</v>
      </c>
      <c r="BD44" s="245">
        <f>[32]Temporaries!T44</f>
        <v>1.2E-4</v>
      </c>
      <c r="BE44" s="245">
        <f>[32]Temporaries!U44</f>
        <v>4.6899999999999997E-3</v>
      </c>
      <c r="BF44" s="245">
        <v>0.24073</v>
      </c>
      <c r="BG44" s="245"/>
      <c r="BH44" s="244">
        <f t="shared" si="25"/>
        <v>0</v>
      </c>
      <c r="BI44" s="243">
        <f t="shared" si="26"/>
        <v>0.24773000000000001</v>
      </c>
      <c r="BJ44" s="243">
        <f t="shared" si="27"/>
        <v>0.24773000000000001</v>
      </c>
    </row>
    <row r="45" spans="1:62" x14ac:dyDescent="0.35">
      <c r="A45" s="233">
        <f t="shared" si="28"/>
        <v>39</v>
      </c>
      <c r="B45" s="233"/>
      <c r="C45" s="261" t="s">
        <v>69</v>
      </c>
      <c r="D45" s="259">
        <v>0.24668999999999999</v>
      </c>
      <c r="E45" s="259">
        <v>0</v>
      </c>
      <c r="F45" s="259">
        <f>+' Increments  equal ¢ per therm'!H45</f>
        <v>0</v>
      </c>
      <c r="G45" s="259">
        <f>+' Increments  equal ¢ per therm'!K45</f>
        <v>0</v>
      </c>
      <c r="H45" s="259">
        <f>+' Increments  equal ¢ per therm'!N45</f>
        <v>0</v>
      </c>
      <c r="I45" s="259">
        <f t="shared" ref="I45:I76" si="29">SUM(F45:H45)</f>
        <v>0</v>
      </c>
      <c r="J45" s="259">
        <f t="shared" ref="J45:J76" si="30">I45-E45</f>
        <v>0</v>
      </c>
      <c r="K45" s="243">
        <f>+'[9]Allocation = % of margin'!P45</f>
        <v>0</v>
      </c>
      <c r="L45" s="243">
        <f>+'[9]Allocation = % of margin'!S45</f>
        <v>0</v>
      </c>
      <c r="M45" s="243">
        <f>+'[9]Allocation = % of margin'!V45</f>
        <v>0</v>
      </c>
      <c r="N45" s="243">
        <f>+'[9]Allocation = % of margin'!Y45</f>
        <v>0</v>
      </c>
      <c r="O45" s="243">
        <f>+'[9]Allocation = % of margin'!AB45</f>
        <v>0</v>
      </c>
      <c r="P45" s="243">
        <f>'[9]Allocation = % of margin'!AE45</f>
        <v>-2.0000000000000002E-5</v>
      </c>
      <c r="Q45" s="243">
        <f>' Increments  equal ¢ per therm'!Q45</f>
        <v>0</v>
      </c>
      <c r="R45" s="243">
        <f>'[9]Allocation = % of margin'!AH45</f>
        <v>1.5E-3</v>
      </c>
      <c r="S45" s="243">
        <f>' Increments  equal ¢ per therm'!T45</f>
        <v>3.5E-4</v>
      </c>
      <c r="T45" s="243">
        <f>'[9]Allocation = % of revenue'!M45</f>
        <v>2.0000000000000002E-5</v>
      </c>
      <c r="U45" s="243">
        <f>'[9]Allocation = % of margin'!AK45</f>
        <v>3.5999999999999999E-3</v>
      </c>
      <c r="V45" s="243">
        <f>' Increments  equal ¢ per therm'!W45</f>
        <v>0.24073</v>
      </c>
      <c r="W45" s="243">
        <f t="shared" ref="W45:W76" si="31">I45+SUM(K45:V45)</f>
        <v>0.24618000000000001</v>
      </c>
      <c r="X45" s="243">
        <f t="shared" ref="X45:X76" si="32">+W45-D45</f>
        <v>-5.0999999999998269E-4</v>
      </c>
      <c r="Y45" s="243"/>
      <c r="Z45" s="248">
        <f t="shared" ref="Z45:Z81" si="33">+W45-K45-M45-L45</f>
        <v>0.24618000000000001</v>
      </c>
      <c r="AA45" s="248">
        <f t="shared" ref="AA45:AA81" si="34">+Q45+O45+N45+R45+S45+T45+U45</f>
        <v>5.47E-3</v>
      </c>
      <c r="AB45" s="248">
        <f t="shared" ref="AB45:AB81" si="35">+F45</f>
        <v>0</v>
      </c>
      <c r="AC45" s="248">
        <f t="shared" ref="AC45:AC81" si="36">+G45+H45</f>
        <v>0</v>
      </c>
      <c r="AD45" s="248">
        <f t="shared" ref="AD45:AD81" si="37">SUM(K45:V45)</f>
        <v>0.24618000000000001</v>
      </c>
      <c r="AE45" s="248">
        <f t="shared" ref="AE45:AE76" si="38">SUM(AB45:AD45)</f>
        <v>0.24618000000000001</v>
      </c>
      <c r="AF45" s="248">
        <f>[9]Permanents!G45</f>
        <v>0.106</v>
      </c>
      <c r="AG45" s="247">
        <f t="shared" ref="AG45:AG81" si="39">+AD45-AI45-AL45-AV45-AJ45-AK45-AN45-AM45-AP45-AQ45</f>
        <v>0</v>
      </c>
      <c r="AH45" s="243">
        <f t="shared" ref="AH45:AH81" si="40">+AB45+AC45</f>
        <v>0</v>
      </c>
      <c r="AI45" s="243">
        <f t="shared" ref="AI45:AI81" si="41">+Q45</f>
        <v>0</v>
      </c>
      <c r="AJ45" s="243">
        <f t="shared" ref="AJ45:AJ81" si="42">R45</f>
        <v>1.5E-3</v>
      </c>
      <c r="AK45" s="243">
        <f t="shared" ref="AK45:AK81" si="43">S45</f>
        <v>3.5E-4</v>
      </c>
      <c r="AL45" s="243">
        <f t="shared" ref="AL45:AL81" si="44">+K45+M45+L45</f>
        <v>0</v>
      </c>
      <c r="AM45" s="243">
        <f t="shared" ref="AM45:AM81" si="45">P45</f>
        <v>-2.0000000000000002E-5</v>
      </c>
      <c r="AN45" s="243">
        <f t="shared" ref="AN45:AN81" si="46">T45</f>
        <v>2.0000000000000002E-5</v>
      </c>
      <c r="AO45" s="243">
        <f>[9]Permanents!F45</f>
        <v>0</v>
      </c>
      <c r="AP45" s="243">
        <f t="shared" ref="AP45:AP81" si="47">U45</f>
        <v>3.5999999999999999E-3</v>
      </c>
      <c r="AQ45" s="243">
        <f t="shared" ref="AQ45:AQ81" si="48">V45</f>
        <v>0.24073</v>
      </c>
      <c r="AR45" s="243"/>
      <c r="AS45" s="243"/>
      <c r="AT45" s="243">
        <f t="shared" ref="AT45:AT81" si="49">+N45</f>
        <v>0</v>
      </c>
      <c r="AU45" s="243">
        <f t="shared" ref="AU45:AU81" si="50">+O45</f>
        <v>0</v>
      </c>
      <c r="AV45" s="243">
        <f t="shared" ref="AV45:AV76" si="51">SUM(AS45:AU45)</f>
        <v>0</v>
      </c>
      <c r="AW45" s="246">
        <f>[32]Temporaries!Q45</f>
        <v>0</v>
      </c>
      <c r="AX45" s="246">
        <f>SUM([32]Temporaries!K45:M45)</f>
        <v>0</v>
      </c>
      <c r="AY45" s="246">
        <f>SUM([32]Temporaries!N45:O45)</f>
        <v>0</v>
      </c>
      <c r="AZ45" s="245">
        <f>[32]Temporaries!R45</f>
        <v>1.33E-3</v>
      </c>
      <c r="BA45" s="245">
        <f t="shared" ref="BA45:BA81" si="52">E45</f>
        <v>0</v>
      </c>
      <c r="BB45" s="255">
        <f>[32]Temporaries!P45</f>
        <v>-1.1E-4</v>
      </c>
      <c r="BC45" s="245">
        <f>[32]Temporaries!S45</f>
        <v>1.0300000000000001E-3</v>
      </c>
      <c r="BD45" s="245">
        <f>[32]Temporaries!T45</f>
        <v>1.1E-4</v>
      </c>
      <c r="BE45" s="245">
        <f>[32]Temporaries!U45</f>
        <v>3.5999999999999999E-3</v>
      </c>
      <c r="BF45" s="245">
        <v>0.24073</v>
      </c>
      <c r="BG45" s="245"/>
      <c r="BH45" s="244">
        <f t="shared" ref="BH45:BH76" si="53">SUM(AW45:BG45)-D45</f>
        <v>0</v>
      </c>
      <c r="BI45" s="243">
        <f t="shared" ref="BI45:BI81" si="54">+AD45-K45-M45-L45</f>
        <v>0.24618000000000001</v>
      </c>
      <c r="BJ45" s="243">
        <f t="shared" ref="BJ45:BJ81" si="55">+AE45-K45-M45-L45</f>
        <v>0.24618000000000001</v>
      </c>
    </row>
    <row r="46" spans="1:62" x14ac:dyDescent="0.35">
      <c r="A46" s="233">
        <f t="shared" si="28"/>
        <v>40</v>
      </c>
      <c r="B46" s="233"/>
      <c r="C46" s="261" t="s">
        <v>70</v>
      </c>
      <c r="D46" s="259">
        <v>0.24573</v>
      </c>
      <c r="E46" s="259">
        <v>0</v>
      </c>
      <c r="F46" s="259">
        <f>+' Increments  equal ¢ per therm'!H46</f>
        <v>0</v>
      </c>
      <c r="G46" s="259">
        <f>+' Increments  equal ¢ per therm'!K46</f>
        <v>0</v>
      </c>
      <c r="H46" s="259">
        <f>+' Increments  equal ¢ per therm'!N46</f>
        <v>0</v>
      </c>
      <c r="I46" s="259">
        <f t="shared" si="29"/>
        <v>0</v>
      </c>
      <c r="J46" s="259">
        <f t="shared" si="30"/>
        <v>0</v>
      </c>
      <c r="K46" s="243">
        <f>+'[9]Allocation = % of margin'!P46</f>
        <v>0</v>
      </c>
      <c r="L46" s="243">
        <f>+'[9]Allocation = % of margin'!S46</f>
        <v>0</v>
      </c>
      <c r="M46" s="243">
        <f>+'[9]Allocation = % of margin'!V46</f>
        <v>0</v>
      </c>
      <c r="N46" s="243">
        <f>+'[9]Allocation = % of margin'!Y46</f>
        <v>0</v>
      </c>
      <c r="O46" s="243">
        <f>+'[9]Allocation = % of margin'!AB46</f>
        <v>0</v>
      </c>
      <c r="P46" s="243">
        <f>'[9]Allocation = % of margin'!AE46</f>
        <v>-2.0000000000000002E-5</v>
      </c>
      <c r="Q46" s="243">
        <f>' Increments  equal ¢ per therm'!Q46</f>
        <v>0</v>
      </c>
      <c r="R46" s="243">
        <f>'[9]Allocation = % of margin'!AH46</f>
        <v>1.1999999999999999E-3</v>
      </c>
      <c r="S46" s="243">
        <f>' Increments  equal ¢ per therm'!T46</f>
        <v>3.5E-4</v>
      </c>
      <c r="T46" s="243">
        <f>'[9]Allocation = % of revenue'!M46</f>
        <v>1.0000000000000001E-5</v>
      </c>
      <c r="U46" s="243">
        <f>'[9]Allocation = % of margin'!AK46</f>
        <v>2.8800000000000002E-3</v>
      </c>
      <c r="V46" s="243">
        <f>' Increments  equal ¢ per therm'!W46</f>
        <v>0.24073</v>
      </c>
      <c r="W46" s="243">
        <f t="shared" si="31"/>
        <v>0.24515000000000001</v>
      </c>
      <c r="X46" s="243">
        <f t="shared" si="32"/>
        <v>-5.7999999999999718E-4</v>
      </c>
      <c r="Y46" s="243"/>
      <c r="Z46" s="248">
        <f t="shared" si="33"/>
        <v>0.24515000000000001</v>
      </c>
      <c r="AA46" s="248">
        <f t="shared" si="34"/>
        <v>4.4400000000000004E-3</v>
      </c>
      <c r="AB46" s="248">
        <f t="shared" si="35"/>
        <v>0</v>
      </c>
      <c r="AC46" s="248">
        <f t="shared" si="36"/>
        <v>0</v>
      </c>
      <c r="AD46" s="248">
        <f t="shared" si="37"/>
        <v>0.24515000000000001</v>
      </c>
      <c r="AE46" s="248">
        <f t="shared" si="38"/>
        <v>0.24515000000000001</v>
      </c>
      <c r="AF46" s="248">
        <f>[9]Permanents!G46</f>
        <v>8.481000000000001E-2</v>
      </c>
      <c r="AG46" s="247">
        <f t="shared" si="39"/>
        <v>0</v>
      </c>
      <c r="AH46" s="243">
        <f t="shared" si="40"/>
        <v>0</v>
      </c>
      <c r="AI46" s="243">
        <f t="shared" si="41"/>
        <v>0</v>
      </c>
      <c r="AJ46" s="243">
        <f t="shared" si="42"/>
        <v>1.1999999999999999E-3</v>
      </c>
      <c r="AK46" s="243">
        <f t="shared" si="43"/>
        <v>3.5E-4</v>
      </c>
      <c r="AL46" s="243">
        <f t="shared" si="44"/>
        <v>0</v>
      </c>
      <c r="AM46" s="243">
        <f t="shared" si="45"/>
        <v>-2.0000000000000002E-5</v>
      </c>
      <c r="AN46" s="243">
        <f t="shared" si="46"/>
        <v>1.0000000000000001E-5</v>
      </c>
      <c r="AO46" s="243">
        <f>[9]Permanents!F46</f>
        <v>0</v>
      </c>
      <c r="AP46" s="243">
        <f t="shared" si="47"/>
        <v>2.8800000000000002E-3</v>
      </c>
      <c r="AQ46" s="243">
        <f t="shared" si="48"/>
        <v>0.24073</v>
      </c>
      <c r="AR46" s="243"/>
      <c r="AS46" s="243"/>
      <c r="AT46" s="243">
        <f t="shared" si="49"/>
        <v>0</v>
      </c>
      <c r="AU46" s="243">
        <f t="shared" si="50"/>
        <v>0</v>
      </c>
      <c r="AV46" s="243">
        <f t="shared" si="51"/>
        <v>0</v>
      </c>
      <c r="AW46" s="246">
        <f>[32]Temporaries!Q46</f>
        <v>0</v>
      </c>
      <c r="AX46" s="246">
        <f>SUM([32]Temporaries!K46:M46)</f>
        <v>0</v>
      </c>
      <c r="AY46" s="246">
        <f>SUM([32]Temporaries!N46:O46)</f>
        <v>0</v>
      </c>
      <c r="AZ46" s="245">
        <f>[32]Temporaries!R46</f>
        <v>1.06E-3</v>
      </c>
      <c r="BA46" s="245">
        <f t="shared" si="52"/>
        <v>0</v>
      </c>
      <c r="BB46" s="255">
        <f>[32]Temporaries!P46</f>
        <v>-8.0000000000000007E-5</v>
      </c>
      <c r="BC46" s="245">
        <f>[32]Temporaries!S46</f>
        <v>1.0300000000000001E-3</v>
      </c>
      <c r="BD46" s="245">
        <f>[32]Temporaries!T46</f>
        <v>1.1E-4</v>
      </c>
      <c r="BE46" s="245">
        <f>[32]Temporaries!U46</f>
        <v>2.8800000000000002E-3</v>
      </c>
      <c r="BF46" s="245">
        <v>0.24073</v>
      </c>
      <c r="BG46" s="245"/>
      <c r="BH46" s="244">
        <f t="shared" si="53"/>
        <v>0</v>
      </c>
      <c r="BI46" s="243">
        <f t="shared" si="54"/>
        <v>0.24515000000000001</v>
      </c>
      <c r="BJ46" s="243">
        <f t="shared" si="55"/>
        <v>0.24515000000000001</v>
      </c>
    </row>
    <row r="47" spans="1:62" x14ac:dyDescent="0.35">
      <c r="A47" s="233">
        <f t="shared" si="28"/>
        <v>41</v>
      </c>
      <c r="B47" s="233"/>
      <c r="C47" s="261" t="s">
        <v>71</v>
      </c>
      <c r="D47" s="259">
        <v>0.24443000000000001</v>
      </c>
      <c r="E47" s="259">
        <v>0</v>
      </c>
      <c r="F47" s="259">
        <f>+' Increments  equal ¢ per therm'!H47</f>
        <v>0</v>
      </c>
      <c r="G47" s="259">
        <f>+' Increments  equal ¢ per therm'!K47</f>
        <v>0</v>
      </c>
      <c r="H47" s="259">
        <f>+' Increments  equal ¢ per therm'!N47</f>
        <v>0</v>
      </c>
      <c r="I47" s="259">
        <f t="shared" si="29"/>
        <v>0</v>
      </c>
      <c r="J47" s="259">
        <f t="shared" si="30"/>
        <v>0</v>
      </c>
      <c r="K47" s="243">
        <f>+'[9]Allocation = % of margin'!P47</f>
        <v>0</v>
      </c>
      <c r="L47" s="243">
        <f>+'[9]Allocation = % of margin'!S47</f>
        <v>0</v>
      </c>
      <c r="M47" s="243">
        <f>+'[9]Allocation = % of margin'!V47</f>
        <v>0</v>
      </c>
      <c r="N47" s="243">
        <f>+'[9]Allocation = % of margin'!Y47</f>
        <v>0</v>
      </c>
      <c r="O47" s="243">
        <f>+'[9]Allocation = % of margin'!AB47</f>
        <v>0</v>
      </c>
      <c r="P47" s="243">
        <f>'[9]Allocation = % of margin'!AE47</f>
        <v>-1.0000000000000001E-5</v>
      </c>
      <c r="Q47" s="243">
        <f>' Increments  equal ¢ per therm'!Q47</f>
        <v>0</v>
      </c>
      <c r="R47" s="243">
        <f>'[9]Allocation = % of margin'!AH47</f>
        <v>8.0000000000000004E-4</v>
      </c>
      <c r="S47" s="243">
        <f>' Increments  equal ¢ per therm'!T47</f>
        <v>3.5E-4</v>
      </c>
      <c r="T47" s="243">
        <f>'[9]Allocation = % of revenue'!M47</f>
        <v>1.0000000000000001E-5</v>
      </c>
      <c r="U47" s="243">
        <f>'[9]Allocation = % of margin'!AK47</f>
        <v>1.92E-3</v>
      </c>
      <c r="V47" s="243">
        <f>' Increments  equal ¢ per therm'!W47</f>
        <v>0.24073</v>
      </c>
      <c r="W47" s="243">
        <f t="shared" si="31"/>
        <v>0.24379999999999999</v>
      </c>
      <c r="X47" s="243">
        <f t="shared" si="32"/>
        <v>-6.3000000000001943E-4</v>
      </c>
      <c r="Y47" s="243"/>
      <c r="Z47" s="248">
        <f t="shared" si="33"/>
        <v>0.24379999999999999</v>
      </c>
      <c r="AA47" s="248">
        <f t="shared" si="34"/>
        <v>3.0800000000000003E-3</v>
      </c>
      <c r="AB47" s="248">
        <f t="shared" si="35"/>
        <v>0</v>
      </c>
      <c r="AC47" s="248">
        <f t="shared" si="36"/>
        <v>0</v>
      </c>
      <c r="AD47" s="248">
        <f t="shared" si="37"/>
        <v>0.24379999999999999</v>
      </c>
      <c r="AE47" s="248">
        <f t="shared" si="38"/>
        <v>0.24379999999999999</v>
      </c>
      <c r="AF47" s="248">
        <f>[9]Permanents!G47</f>
        <v>5.654E-2</v>
      </c>
      <c r="AG47" s="247">
        <f t="shared" si="39"/>
        <v>0</v>
      </c>
      <c r="AH47" s="243">
        <f t="shared" si="40"/>
        <v>0</v>
      </c>
      <c r="AI47" s="243">
        <f t="shared" si="41"/>
        <v>0</v>
      </c>
      <c r="AJ47" s="243">
        <f t="shared" si="42"/>
        <v>8.0000000000000004E-4</v>
      </c>
      <c r="AK47" s="243">
        <f t="shared" si="43"/>
        <v>3.5E-4</v>
      </c>
      <c r="AL47" s="243">
        <f t="shared" si="44"/>
        <v>0</v>
      </c>
      <c r="AM47" s="243">
        <f t="shared" si="45"/>
        <v>-1.0000000000000001E-5</v>
      </c>
      <c r="AN47" s="243">
        <f t="shared" si="46"/>
        <v>1.0000000000000001E-5</v>
      </c>
      <c r="AO47" s="243">
        <f>[9]Permanents!F47</f>
        <v>0</v>
      </c>
      <c r="AP47" s="243">
        <f t="shared" si="47"/>
        <v>1.92E-3</v>
      </c>
      <c r="AQ47" s="243">
        <f t="shared" si="48"/>
        <v>0.24073</v>
      </c>
      <c r="AR47" s="243"/>
      <c r="AS47" s="243"/>
      <c r="AT47" s="243">
        <f t="shared" si="49"/>
        <v>0</v>
      </c>
      <c r="AU47" s="243">
        <f t="shared" si="50"/>
        <v>0</v>
      </c>
      <c r="AV47" s="243">
        <f t="shared" si="51"/>
        <v>0</v>
      </c>
      <c r="AW47" s="246">
        <f>[32]Temporaries!Q47</f>
        <v>0</v>
      </c>
      <c r="AX47" s="246">
        <f>SUM([32]Temporaries!K47:M47)</f>
        <v>0</v>
      </c>
      <c r="AY47" s="246">
        <f>SUM([32]Temporaries!N47:O47)</f>
        <v>0</v>
      </c>
      <c r="AZ47" s="245">
        <f>[32]Temporaries!R47</f>
        <v>7.1000000000000002E-4</v>
      </c>
      <c r="BA47" s="245">
        <f t="shared" si="52"/>
        <v>0</v>
      </c>
      <c r="BB47" s="255">
        <f>[32]Temporaries!P47</f>
        <v>-6.0000000000000002E-5</v>
      </c>
      <c r="BC47" s="245">
        <f>[32]Temporaries!S47</f>
        <v>1.0300000000000001E-3</v>
      </c>
      <c r="BD47" s="245">
        <f>[32]Temporaries!T47</f>
        <v>1E-4</v>
      </c>
      <c r="BE47" s="245">
        <f>[32]Temporaries!U47</f>
        <v>1.92E-3</v>
      </c>
      <c r="BF47" s="245">
        <v>0.24073</v>
      </c>
      <c r="BG47" s="245"/>
      <c r="BH47" s="244">
        <f t="shared" si="53"/>
        <v>0</v>
      </c>
      <c r="BI47" s="243">
        <f t="shared" si="54"/>
        <v>0.24379999999999999</v>
      </c>
      <c r="BJ47" s="243">
        <f t="shared" si="55"/>
        <v>0.24379999999999999</v>
      </c>
    </row>
    <row r="48" spans="1:62" x14ac:dyDescent="0.35">
      <c r="A48" s="233">
        <f t="shared" si="28"/>
        <v>42</v>
      </c>
      <c r="B48" s="258"/>
      <c r="C48" s="260" t="s">
        <v>72</v>
      </c>
      <c r="D48" s="251">
        <v>0.24282999999999999</v>
      </c>
      <c r="E48" s="251">
        <v>0</v>
      </c>
      <c r="F48" s="251">
        <f>+' Increments  equal ¢ per therm'!H48</f>
        <v>0</v>
      </c>
      <c r="G48" s="251">
        <f>+' Increments  equal ¢ per therm'!K48</f>
        <v>0</v>
      </c>
      <c r="H48" s="251">
        <f>+' Increments  equal ¢ per therm'!N48</f>
        <v>0</v>
      </c>
      <c r="I48" s="251">
        <f t="shared" si="29"/>
        <v>0</v>
      </c>
      <c r="J48" s="251">
        <f t="shared" si="30"/>
        <v>0</v>
      </c>
      <c r="K48" s="249">
        <f>+'[9]Allocation = % of margin'!P48</f>
        <v>0</v>
      </c>
      <c r="L48" s="249">
        <f>+'[9]Allocation = % of margin'!S48</f>
        <v>0</v>
      </c>
      <c r="M48" s="249">
        <f>+'[9]Allocation = % of margin'!V48</f>
        <v>0</v>
      </c>
      <c r="N48" s="249">
        <f>+'[9]Allocation = % of margin'!Y48</f>
        <v>0</v>
      </c>
      <c r="O48" s="249">
        <f>+'[9]Allocation = % of margin'!AB48</f>
        <v>0</v>
      </c>
      <c r="P48" s="249">
        <f>'[9]Allocation = % of margin'!AE48</f>
        <v>0</v>
      </c>
      <c r="Q48" s="249">
        <f>' Increments  equal ¢ per therm'!Q48</f>
        <v>0</v>
      </c>
      <c r="R48" s="249">
        <f>'[9]Allocation = % of margin'!AH48</f>
        <v>2.9999999999999997E-4</v>
      </c>
      <c r="S48" s="249">
        <f>' Increments  equal ¢ per therm'!T48</f>
        <v>3.5E-4</v>
      </c>
      <c r="T48" s="249">
        <f>'[9]Allocation = % of revenue'!M48</f>
        <v>1.0000000000000001E-5</v>
      </c>
      <c r="U48" s="249">
        <f>'[9]Allocation = % of margin'!AK48</f>
        <v>7.2000000000000005E-4</v>
      </c>
      <c r="V48" s="249">
        <f>' Increments  equal ¢ per therm'!W48</f>
        <v>0.24073</v>
      </c>
      <c r="W48" s="249">
        <f t="shared" si="31"/>
        <v>0.24210999999999999</v>
      </c>
      <c r="X48" s="249">
        <f t="shared" si="32"/>
        <v>-7.1999999999999842E-4</v>
      </c>
      <c r="Y48" s="243"/>
      <c r="Z48" s="248">
        <f t="shared" si="33"/>
        <v>0.24210999999999999</v>
      </c>
      <c r="AA48" s="248">
        <f t="shared" si="34"/>
        <v>1.3800000000000002E-3</v>
      </c>
      <c r="AB48" s="248">
        <f t="shared" si="35"/>
        <v>0</v>
      </c>
      <c r="AC48" s="248">
        <f t="shared" si="36"/>
        <v>0</v>
      </c>
      <c r="AD48" s="248">
        <f t="shared" si="37"/>
        <v>0.24210999999999999</v>
      </c>
      <c r="AE48" s="248">
        <f t="shared" si="38"/>
        <v>0.24210999999999999</v>
      </c>
      <c r="AF48" s="248">
        <f>[9]Permanents!G48</f>
        <v>2.12E-2</v>
      </c>
      <c r="AG48" s="247">
        <f t="shared" si="39"/>
        <v>0</v>
      </c>
      <c r="AH48" s="243">
        <f t="shared" si="40"/>
        <v>0</v>
      </c>
      <c r="AI48" s="243">
        <f t="shared" si="41"/>
        <v>0</v>
      </c>
      <c r="AJ48" s="243">
        <f t="shared" si="42"/>
        <v>2.9999999999999997E-4</v>
      </c>
      <c r="AK48" s="243">
        <f t="shared" si="43"/>
        <v>3.5E-4</v>
      </c>
      <c r="AL48" s="243">
        <f t="shared" si="44"/>
        <v>0</v>
      </c>
      <c r="AM48" s="243">
        <f t="shared" si="45"/>
        <v>0</v>
      </c>
      <c r="AN48" s="243">
        <f t="shared" si="46"/>
        <v>1.0000000000000001E-5</v>
      </c>
      <c r="AO48" s="243">
        <f>[9]Permanents!F48</f>
        <v>0</v>
      </c>
      <c r="AP48" s="243">
        <f t="shared" si="47"/>
        <v>7.2000000000000005E-4</v>
      </c>
      <c r="AQ48" s="243">
        <f t="shared" si="48"/>
        <v>0.24073</v>
      </c>
      <c r="AR48" s="243"/>
      <c r="AS48" s="243"/>
      <c r="AT48" s="243">
        <f t="shared" si="49"/>
        <v>0</v>
      </c>
      <c r="AU48" s="243">
        <f t="shared" si="50"/>
        <v>0</v>
      </c>
      <c r="AV48" s="243">
        <f t="shared" si="51"/>
        <v>0</v>
      </c>
      <c r="AW48" s="246">
        <f>[32]Temporaries!Q48</f>
        <v>0</v>
      </c>
      <c r="AX48" s="246">
        <f>SUM([32]Temporaries!K48:M48)</f>
        <v>0</v>
      </c>
      <c r="AY48" s="246">
        <f>SUM([32]Temporaries!N48:O48)</f>
        <v>0</v>
      </c>
      <c r="AZ48" s="245">
        <f>[32]Temporaries!R48</f>
        <v>2.7E-4</v>
      </c>
      <c r="BA48" s="245">
        <f t="shared" si="52"/>
        <v>0</v>
      </c>
      <c r="BB48" s="255">
        <f>[32]Temporaries!P48</f>
        <v>-2.0000000000000002E-5</v>
      </c>
      <c r="BC48" s="245">
        <f>[32]Temporaries!S48</f>
        <v>1.0300000000000001E-3</v>
      </c>
      <c r="BD48" s="245">
        <f>[32]Temporaries!T48</f>
        <v>1E-4</v>
      </c>
      <c r="BE48" s="245">
        <f>[32]Temporaries!U48</f>
        <v>7.2000000000000005E-4</v>
      </c>
      <c r="BF48" s="245">
        <v>0.24073</v>
      </c>
      <c r="BG48" s="245"/>
      <c r="BH48" s="244">
        <f t="shared" si="53"/>
        <v>0</v>
      </c>
      <c r="BI48" s="243">
        <f t="shared" si="54"/>
        <v>0.24210999999999999</v>
      </c>
      <c r="BJ48" s="243">
        <f t="shared" si="55"/>
        <v>0.24210999999999999</v>
      </c>
    </row>
    <row r="49" spans="1:62" x14ac:dyDescent="0.35">
      <c r="A49" s="233">
        <f t="shared" si="28"/>
        <v>43</v>
      </c>
      <c r="B49" s="233" t="s">
        <v>75</v>
      </c>
      <c r="C49" s="261" t="s">
        <v>61</v>
      </c>
      <c r="D49" s="259">
        <v>0.24934999999999999</v>
      </c>
      <c r="E49" s="259">
        <v>0</v>
      </c>
      <c r="F49" s="259">
        <f>+' Increments  equal ¢ per therm'!H49</f>
        <v>0</v>
      </c>
      <c r="G49" s="256">
        <f>+' Increments  equal ¢ per therm'!K49</f>
        <v>0</v>
      </c>
      <c r="H49" s="256">
        <f>+' Increments  equal ¢ per therm'!N49</f>
        <v>0</v>
      </c>
      <c r="I49" s="259">
        <f t="shared" si="29"/>
        <v>0</v>
      </c>
      <c r="J49" s="259">
        <f t="shared" si="30"/>
        <v>0</v>
      </c>
      <c r="K49" s="262">
        <f>+'[9]Allocation = % of margin'!P49</f>
        <v>0</v>
      </c>
      <c r="L49" s="262">
        <f>+'[9]Allocation = % of margin'!S49</f>
        <v>0</v>
      </c>
      <c r="M49" s="262">
        <f>+'[9]Allocation = % of margin'!V49</f>
        <v>0</v>
      </c>
      <c r="N49" s="262">
        <f>+'[9]Allocation = % of margin'!Y49</f>
        <v>0</v>
      </c>
      <c r="O49" s="262">
        <f>+'[9]Allocation = % of margin'!AB49</f>
        <v>0</v>
      </c>
      <c r="P49" s="243">
        <f>'[9]Allocation = % of margin'!AE49</f>
        <v>-3.0000000000000001E-5</v>
      </c>
      <c r="Q49" s="243">
        <f>' Increments  equal ¢ per therm'!Q49</f>
        <v>0</v>
      </c>
      <c r="R49" s="243">
        <f>'[9]Allocation = % of margin'!AH49</f>
        <v>2.31E-3</v>
      </c>
      <c r="S49" s="243">
        <f>' Increments  equal ¢ per therm'!T49</f>
        <v>3.5E-4</v>
      </c>
      <c r="T49" s="243">
        <f>'[9]Allocation = % of revenue'!M49</f>
        <v>1.0000000000000001E-5</v>
      </c>
      <c r="U49" s="243">
        <f>'[9]Allocation = % of margin'!AK49</f>
        <v>5.5900000000000004E-3</v>
      </c>
      <c r="V49" s="243">
        <f>' Increments  equal ¢ per therm'!W49</f>
        <v>0.24073</v>
      </c>
      <c r="W49" s="243">
        <f t="shared" si="31"/>
        <v>0.24896000000000001</v>
      </c>
      <c r="X49" s="243">
        <f t="shared" si="32"/>
        <v>-3.899999999999737E-4</v>
      </c>
      <c r="Y49" s="243"/>
      <c r="Z49" s="248">
        <f t="shared" si="33"/>
        <v>0.24896000000000001</v>
      </c>
      <c r="AA49" s="248">
        <f t="shared" si="34"/>
        <v>8.26E-3</v>
      </c>
      <c r="AB49" s="248">
        <f t="shared" si="35"/>
        <v>0</v>
      </c>
      <c r="AC49" s="248">
        <f t="shared" si="36"/>
        <v>0</v>
      </c>
      <c r="AD49" s="248">
        <f t="shared" si="37"/>
        <v>0.24896000000000001</v>
      </c>
      <c r="AE49" s="248">
        <f t="shared" si="38"/>
        <v>0.24896000000000001</v>
      </c>
      <c r="AF49" s="248">
        <f>[9]Permanents!G49</f>
        <v>0.15161000000000002</v>
      </c>
      <c r="AG49" s="247">
        <f t="shared" si="39"/>
        <v>0</v>
      </c>
      <c r="AH49" s="243">
        <f t="shared" si="40"/>
        <v>0</v>
      </c>
      <c r="AI49" s="243">
        <f t="shared" si="41"/>
        <v>0</v>
      </c>
      <c r="AJ49" s="243">
        <f t="shared" si="42"/>
        <v>2.31E-3</v>
      </c>
      <c r="AK49" s="243">
        <f t="shared" si="43"/>
        <v>3.5E-4</v>
      </c>
      <c r="AL49" s="243">
        <f t="shared" si="44"/>
        <v>0</v>
      </c>
      <c r="AM49" s="243">
        <f t="shared" si="45"/>
        <v>-3.0000000000000001E-5</v>
      </c>
      <c r="AN49" s="243">
        <f t="shared" si="46"/>
        <v>1.0000000000000001E-5</v>
      </c>
      <c r="AO49" s="243">
        <f>[9]Permanents!F49</f>
        <v>0</v>
      </c>
      <c r="AP49" s="243">
        <f t="shared" si="47"/>
        <v>5.5900000000000004E-3</v>
      </c>
      <c r="AQ49" s="243">
        <f t="shared" si="48"/>
        <v>0.24073</v>
      </c>
      <c r="AR49" s="243"/>
      <c r="AS49" s="243"/>
      <c r="AT49" s="243">
        <f t="shared" si="49"/>
        <v>0</v>
      </c>
      <c r="AU49" s="243">
        <f t="shared" si="50"/>
        <v>0</v>
      </c>
      <c r="AV49" s="243">
        <f t="shared" si="51"/>
        <v>0</v>
      </c>
      <c r="AW49" s="246">
        <f>[32]Temporaries!Q49</f>
        <v>0</v>
      </c>
      <c r="AX49" s="246">
        <f>SUM([32]Temporaries!K49:M49)</f>
        <v>0</v>
      </c>
      <c r="AY49" s="246">
        <f>SUM([32]Temporaries!N49:O49)</f>
        <v>0</v>
      </c>
      <c r="AZ49" s="245">
        <f>[32]Temporaries!R49</f>
        <v>2.0600000000000002E-3</v>
      </c>
      <c r="BA49" s="245">
        <f t="shared" si="52"/>
        <v>0</v>
      </c>
      <c r="BB49" s="255">
        <f>[32]Temporaries!P49</f>
        <v>-1.6000000000000001E-4</v>
      </c>
      <c r="BC49" s="245">
        <f>[32]Temporaries!S49</f>
        <v>1.0300000000000001E-3</v>
      </c>
      <c r="BD49" s="245">
        <f>[32]Temporaries!T49</f>
        <v>1E-4</v>
      </c>
      <c r="BE49" s="245">
        <f>[32]Temporaries!U49</f>
        <v>5.5900000000000004E-3</v>
      </c>
      <c r="BF49" s="245">
        <v>0.24073</v>
      </c>
      <c r="BG49" s="245"/>
      <c r="BH49" s="244">
        <f t="shared" si="53"/>
        <v>0</v>
      </c>
      <c r="BI49" s="243">
        <f t="shared" si="54"/>
        <v>0.24896000000000001</v>
      </c>
      <c r="BJ49" s="243">
        <f t="shared" si="55"/>
        <v>0.24896000000000001</v>
      </c>
    </row>
    <row r="50" spans="1:62" x14ac:dyDescent="0.35">
      <c r="A50" s="233">
        <f t="shared" si="28"/>
        <v>44</v>
      </c>
      <c r="B50" s="233"/>
      <c r="C50" s="261" t="s">
        <v>62</v>
      </c>
      <c r="D50" s="259">
        <v>0.24856</v>
      </c>
      <c r="E50" s="259">
        <v>0</v>
      </c>
      <c r="F50" s="259">
        <f>+' Increments  equal ¢ per therm'!H50</f>
        <v>0</v>
      </c>
      <c r="G50" s="259">
        <f>+' Increments  equal ¢ per therm'!K50</f>
        <v>0</v>
      </c>
      <c r="H50" s="259">
        <f>+' Increments  equal ¢ per therm'!N50</f>
        <v>0</v>
      </c>
      <c r="I50" s="259">
        <f t="shared" si="29"/>
        <v>0</v>
      </c>
      <c r="J50" s="259">
        <f t="shared" si="30"/>
        <v>0</v>
      </c>
      <c r="K50" s="243">
        <f>+'[9]Allocation = % of margin'!P50</f>
        <v>0</v>
      </c>
      <c r="L50" s="243">
        <f>+'[9]Allocation = % of margin'!S50</f>
        <v>0</v>
      </c>
      <c r="M50" s="243">
        <f>+'[9]Allocation = % of margin'!V50</f>
        <v>0</v>
      </c>
      <c r="N50" s="243">
        <f>+'[9]Allocation = % of margin'!Y50</f>
        <v>0</v>
      </c>
      <c r="O50" s="243">
        <f>+'[9]Allocation = % of margin'!AB50</f>
        <v>0</v>
      </c>
      <c r="P50" s="243">
        <f>'[9]Allocation = % of margin'!AE50</f>
        <v>-3.0000000000000001E-5</v>
      </c>
      <c r="Q50" s="243">
        <f>' Increments  equal ¢ per therm'!Q50</f>
        <v>0</v>
      </c>
      <c r="R50" s="243">
        <f>'[9]Allocation = % of margin'!AH50</f>
        <v>2.0699999999999998E-3</v>
      </c>
      <c r="S50" s="243">
        <f>' Increments  equal ¢ per therm'!T50</f>
        <v>3.5E-4</v>
      </c>
      <c r="T50" s="243">
        <f>'[9]Allocation = % of revenue'!M50</f>
        <v>1.0000000000000001E-5</v>
      </c>
      <c r="U50" s="243">
        <f>'[9]Allocation = % of margin'!AK50</f>
        <v>5.0099999999999997E-3</v>
      </c>
      <c r="V50" s="243">
        <f>' Increments  equal ¢ per therm'!W50</f>
        <v>0.24073</v>
      </c>
      <c r="W50" s="243">
        <f t="shared" si="31"/>
        <v>0.24814</v>
      </c>
      <c r="X50" s="243">
        <f t="shared" si="32"/>
        <v>-4.200000000000037E-4</v>
      </c>
      <c r="Y50" s="243"/>
      <c r="Z50" s="248">
        <f t="shared" si="33"/>
        <v>0.24814</v>
      </c>
      <c r="AA50" s="248">
        <f t="shared" si="34"/>
        <v>7.4399999999999996E-3</v>
      </c>
      <c r="AB50" s="248">
        <f t="shared" si="35"/>
        <v>0</v>
      </c>
      <c r="AC50" s="248">
        <f t="shared" si="36"/>
        <v>0</v>
      </c>
      <c r="AD50" s="248">
        <f t="shared" si="37"/>
        <v>0.24814</v>
      </c>
      <c r="AE50" s="248">
        <f t="shared" si="38"/>
        <v>0.24814</v>
      </c>
      <c r="AF50" s="248">
        <f>[9]Permanents!G50</f>
        <v>0.13570999999999994</v>
      </c>
      <c r="AG50" s="247">
        <f t="shared" si="39"/>
        <v>0</v>
      </c>
      <c r="AH50" s="243">
        <f t="shared" si="40"/>
        <v>0</v>
      </c>
      <c r="AI50" s="243">
        <f t="shared" si="41"/>
        <v>0</v>
      </c>
      <c r="AJ50" s="243">
        <f t="shared" si="42"/>
        <v>2.0699999999999998E-3</v>
      </c>
      <c r="AK50" s="243">
        <f t="shared" si="43"/>
        <v>3.5E-4</v>
      </c>
      <c r="AL50" s="243">
        <f t="shared" si="44"/>
        <v>0</v>
      </c>
      <c r="AM50" s="243">
        <f t="shared" si="45"/>
        <v>-3.0000000000000001E-5</v>
      </c>
      <c r="AN50" s="243">
        <f t="shared" si="46"/>
        <v>1.0000000000000001E-5</v>
      </c>
      <c r="AO50" s="243">
        <f>[9]Permanents!F50</f>
        <v>0</v>
      </c>
      <c r="AP50" s="243">
        <f t="shared" si="47"/>
        <v>5.0099999999999997E-3</v>
      </c>
      <c r="AQ50" s="243">
        <f t="shared" si="48"/>
        <v>0.24073</v>
      </c>
      <c r="AR50" s="243"/>
      <c r="AS50" s="243"/>
      <c r="AT50" s="243">
        <f t="shared" si="49"/>
        <v>0</v>
      </c>
      <c r="AU50" s="243">
        <f t="shared" si="50"/>
        <v>0</v>
      </c>
      <c r="AV50" s="243">
        <f t="shared" si="51"/>
        <v>0</v>
      </c>
      <c r="AW50" s="246">
        <f>[32]Temporaries!Q50</f>
        <v>0</v>
      </c>
      <c r="AX50" s="246">
        <f>SUM([32]Temporaries!K50:M50)</f>
        <v>0</v>
      </c>
      <c r="AY50" s="246">
        <f>SUM([32]Temporaries!N50:O50)</f>
        <v>0</v>
      </c>
      <c r="AZ50" s="245">
        <f>[32]Temporaries!R50</f>
        <v>1.8400000000000001E-3</v>
      </c>
      <c r="BA50" s="245">
        <f t="shared" si="52"/>
        <v>0</v>
      </c>
      <c r="BB50" s="255">
        <f>[32]Temporaries!P50</f>
        <v>-1.4999999999999999E-4</v>
      </c>
      <c r="BC50" s="245">
        <f>[32]Temporaries!S50</f>
        <v>1.0300000000000001E-3</v>
      </c>
      <c r="BD50" s="245">
        <f>[32]Temporaries!T50</f>
        <v>1E-4</v>
      </c>
      <c r="BE50" s="245">
        <f>[32]Temporaries!U50</f>
        <v>5.0099999999999997E-3</v>
      </c>
      <c r="BF50" s="245">
        <v>0.24073</v>
      </c>
      <c r="BG50" s="245"/>
      <c r="BH50" s="244">
        <f t="shared" si="53"/>
        <v>0</v>
      </c>
      <c r="BI50" s="243">
        <f t="shared" si="54"/>
        <v>0.24814</v>
      </c>
      <c r="BJ50" s="243">
        <f t="shared" si="55"/>
        <v>0.24814</v>
      </c>
    </row>
    <row r="51" spans="1:62" x14ac:dyDescent="0.35">
      <c r="A51" s="233">
        <f t="shared" si="28"/>
        <v>45</v>
      </c>
      <c r="B51" s="233"/>
      <c r="C51" s="261" t="s">
        <v>69</v>
      </c>
      <c r="D51" s="259">
        <v>0.24698999999999999</v>
      </c>
      <c r="E51" s="259">
        <v>0</v>
      </c>
      <c r="F51" s="259">
        <f>+' Increments  equal ¢ per therm'!H51</f>
        <v>0</v>
      </c>
      <c r="G51" s="259">
        <f>+' Increments  equal ¢ per therm'!K51</f>
        <v>0</v>
      </c>
      <c r="H51" s="259">
        <f>+' Increments  equal ¢ per therm'!N51</f>
        <v>0</v>
      </c>
      <c r="I51" s="259">
        <f t="shared" si="29"/>
        <v>0</v>
      </c>
      <c r="J51" s="259">
        <f t="shared" si="30"/>
        <v>0</v>
      </c>
      <c r="K51" s="243">
        <f>+'[9]Allocation = % of margin'!P51</f>
        <v>0</v>
      </c>
      <c r="L51" s="243">
        <f>+'[9]Allocation = % of margin'!S51</f>
        <v>0</v>
      </c>
      <c r="M51" s="243">
        <f>+'[9]Allocation = % of margin'!V51</f>
        <v>0</v>
      </c>
      <c r="N51" s="243">
        <f>+'[9]Allocation = % of margin'!Y51</f>
        <v>0</v>
      </c>
      <c r="O51" s="243">
        <f>+'[9]Allocation = % of margin'!AB51</f>
        <v>0</v>
      </c>
      <c r="P51" s="243">
        <f>'[9]Allocation = % of margin'!AE51</f>
        <v>-2.0000000000000002E-5</v>
      </c>
      <c r="Q51" s="243">
        <f>' Increments  equal ¢ per therm'!Q51</f>
        <v>0</v>
      </c>
      <c r="R51" s="243">
        <f>'[9]Allocation = % of margin'!AH51</f>
        <v>1.5900000000000001E-3</v>
      </c>
      <c r="S51" s="243">
        <f>' Increments  equal ¢ per therm'!T51</f>
        <v>3.5E-4</v>
      </c>
      <c r="T51" s="243">
        <f>'[9]Allocation = % of revenue'!M51</f>
        <v>1.0000000000000001E-5</v>
      </c>
      <c r="U51" s="243">
        <f>'[9]Allocation = % of margin'!AK51</f>
        <v>3.8400000000000001E-3</v>
      </c>
      <c r="V51" s="243">
        <f>' Increments  equal ¢ per therm'!W51</f>
        <v>0.24073</v>
      </c>
      <c r="W51" s="243">
        <f t="shared" si="31"/>
        <v>0.2465</v>
      </c>
      <c r="X51" s="243">
        <f t="shared" si="32"/>
        <v>-4.8999999999999044E-4</v>
      </c>
      <c r="Y51" s="243"/>
      <c r="Z51" s="248">
        <f t="shared" si="33"/>
        <v>0.2465</v>
      </c>
      <c r="AA51" s="248">
        <f t="shared" si="34"/>
        <v>5.79E-3</v>
      </c>
      <c r="AB51" s="248">
        <f t="shared" si="35"/>
        <v>0</v>
      </c>
      <c r="AC51" s="248">
        <f t="shared" si="36"/>
        <v>0</v>
      </c>
      <c r="AD51" s="248">
        <f t="shared" si="37"/>
        <v>0.2465</v>
      </c>
      <c r="AE51" s="248">
        <f t="shared" si="38"/>
        <v>0.2465</v>
      </c>
      <c r="AF51" s="248">
        <f>[9]Permanents!G51</f>
        <v>0.10406000000000001</v>
      </c>
      <c r="AG51" s="247">
        <f t="shared" si="39"/>
        <v>0</v>
      </c>
      <c r="AH51" s="243">
        <f t="shared" si="40"/>
        <v>0</v>
      </c>
      <c r="AI51" s="243">
        <f t="shared" si="41"/>
        <v>0</v>
      </c>
      <c r="AJ51" s="243">
        <f t="shared" si="42"/>
        <v>1.5900000000000001E-3</v>
      </c>
      <c r="AK51" s="243">
        <f t="shared" si="43"/>
        <v>3.5E-4</v>
      </c>
      <c r="AL51" s="243">
        <f t="shared" si="44"/>
        <v>0</v>
      </c>
      <c r="AM51" s="243">
        <f t="shared" si="45"/>
        <v>-2.0000000000000002E-5</v>
      </c>
      <c r="AN51" s="243">
        <f t="shared" si="46"/>
        <v>1.0000000000000001E-5</v>
      </c>
      <c r="AO51" s="243">
        <f>[9]Permanents!F51</f>
        <v>0</v>
      </c>
      <c r="AP51" s="243">
        <f t="shared" si="47"/>
        <v>3.8400000000000001E-3</v>
      </c>
      <c r="AQ51" s="243">
        <f t="shared" si="48"/>
        <v>0.24073</v>
      </c>
      <c r="AR51" s="243"/>
      <c r="AS51" s="243"/>
      <c r="AT51" s="243">
        <f t="shared" si="49"/>
        <v>0</v>
      </c>
      <c r="AU51" s="243">
        <f t="shared" si="50"/>
        <v>0</v>
      </c>
      <c r="AV51" s="243">
        <f t="shared" si="51"/>
        <v>0</v>
      </c>
      <c r="AW51" s="246">
        <f>[32]Temporaries!Q51</f>
        <v>0</v>
      </c>
      <c r="AX51" s="246">
        <f>SUM([32]Temporaries!K51:M51)</f>
        <v>0</v>
      </c>
      <c r="AY51" s="246">
        <f>SUM([32]Temporaries!N51:O51)</f>
        <v>0</v>
      </c>
      <c r="AZ51" s="245">
        <f>[32]Temporaries!R51</f>
        <v>1.41E-3</v>
      </c>
      <c r="BA51" s="245">
        <f t="shared" si="52"/>
        <v>0</v>
      </c>
      <c r="BB51" s="255">
        <f>[32]Temporaries!P51</f>
        <v>-1.1E-4</v>
      </c>
      <c r="BC51" s="245">
        <f>[32]Temporaries!S51</f>
        <v>1.0300000000000001E-3</v>
      </c>
      <c r="BD51" s="245">
        <f>[32]Temporaries!T51</f>
        <v>9.0000000000000006E-5</v>
      </c>
      <c r="BE51" s="245">
        <f>[32]Temporaries!U51</f>
        <v>3.8400000000000001E-3</v>
      </c>
      <c r="BF51" s="245">
        <v>0.24073</v>
      </c>
      <c r="BG51" s="245"/>
      <c r="BH51" s="244">
        <f t="shared" si="53"/>
        <v>0</v>
      </c>
      <c r="BI51" s="243">
        <f t="shared" si="54"/>
        <v>0.2465</v>
      </c>
      <c r="BJ51" s="243">
        <f t="shared" si="55"/>
        <v>0.2465</v>
      </c>
    </row>
    <row r="52" spans="1:62" x14ac:dyDescent="0.35">
      <c r="A52" s="233">
        <f t="shared" si="28"/>
        <v>46</v>
      </c>
      <c r="B52" s="233"/>
      <c r="C52" s="261" t="s">
        <v>70</v>
      </c>
      <c r="D52" s="259">
        <v>0.24596000000000001</v>
      </c>
      <c r="E52" s="259">
        <v>0</v>
      </c>
      <c r="F52" s="259">
        <f>+' Increments  equal ¢ per therm'!H52</f>
        <v>0</v>
      </c>
      <c r="G52" s="259">
        <f>+' Increments  equal ¢ per therm'!K52</f>
        <v>0</v>
      </c>
      <c r="H52" s="259">
        <f>+' Increments  equal ¢ per therm'!N52</f>
        <v>0</v>
      </c>
      <c r="I52" s="259">
        <f t="shared" si="29"/>
        <v>0</v>
      </c>
      <c r="J52" s="259">
        <f t="shared" si="30"/>
        <v>0</v>
      </c>
      <c r="K52" s="243">
        <f>+'[9]Allocation = % of margin'!P52</f>
        <v>0</v>
      </c>
      <c r="L52" s="243">
        <f>+'[9]Allocation = % of margin'!S52</f>
        <v>0</v>
      </c>
      <c r="M52" s="243">
        <f>+'[9]Allocation = % of margin'!V52</f>
        <v>0</v>
      </c>
      <c r="N52" s="243">
        <f>+'[9]Allocation = % of margin'!Y52</f>
        <v>0</v>
      </c>
      <c r="O52" s="243">
        <f>+'[9]Allocation = % of margin'!AB52</f>
        <v>0</v>
      </c>
      <c r="P52" s="243">
        <f>'[9]Allocation = % of margin'!AE52</f>
        <v>-2.0000000000000002E-5</v>
      </c>
      <c r="Q52" s="243">
        <f>' Increments  equal ¢ per therm'!Q52</f>
        <v>0</v>
      </c>
      <c r="R52" s="243">
        <f>'[9]Allocation = % of margin'!AH52</f>
        <v>1.2700000000000001E-3</v>
      </c>
      <c r="S52" s="243">
        <f>' Increments  equal ¢ per therm'!T52</f>
        <v>3.5E-4</v>
      </c>
      <c r="T52" s="243">
        <f>'[9]Allocation = % of revenue'!M52</f>
        <v>1.0000000000000001E-5</v>
      </c>
      <c r="U52" s="243">
        <f>'[9]Allocation = % of margin'!AK52</f>
        <v>3.0699999999999998E-3</v>
      </c>
      <c r="V52" s="243">
        <f>' Increments  equal ¢ per therm'!W52</f>
        <v>0.24073</v>
      </c>
      <c r="W52" s="243">
        <f t="shared" si="31"/>
        <v>0.24540999999999999</v>
      </c>
      <c r="X52" s="243">
        <f t="shared" si="32"/>
        <v>-5.5000000000002269E-4</v>
      </c>
      <c r="Y52" s="243"/>
      <c r="Z52" s="248">
        <f t="shared" si="33"/>
        <v>0.24540999999999999</v>
      </c>
      <c r="AA52" s="248">
        <f t="shared" si="34"/>
        <v>4.7000000000000002E-3</v>
      </c>
      <c r="AB52" s="248">
        <f t="shared" si="35"/>
        <v>0</v>
      </c>
      <c r="AC52" s="248">
        <f t="shared" si="36"/>
        <v>0</v>
      </c>
      <c r="AD52" s="248">
        <f t="shared" si="37"/>
        <v>0.24540999999999999</v>
      </c>
      <c r="AE52" s="248">
        <f t="shared" si="38"/>
        <v>0.24540999999999999</v>
      </c>
      <c r="AF52" s="248">
        <f>[9]Permanents!G52</f>
        <v>8.3260000000000015E-2</v>
      </c>
      <c r="AG52" s="247">
        <f t="shared" si="39"/>
        <v>0</v>
      </c>
      <c r="AH52" s="243">
        <f t="shared" si="40"/>
        <v>0</v>
      </c>
      <c r="AI52" s="243">
        <f t="shared" si="41"/>
        <v>0</v>
      </c>
      <c r="AJ52" s="243">
        <f t="shared" si="42"/>
        <v>1.2700000000000001E-3</v>
      </c>
      <c r="AK52" s="243">
        <f t="shared" si="43"/>
        <v>3.5E-4</v>
      </c>
      <c r="AL52" s="243">
        <f t="shared" si="44"/>
        <v>0</v>
      </c>
      <c r="AM52" s="243">
        <f t="shared" si="45"/>
        <v>-2.0000000000000002E-5</v>
      </c>
      <c r="AN52" s="243">
        <f t="shared" si="46"/>
        <v>1.0000000000000001E-5</v>
      </c>
      <c r="AO52" s="243">
        <f>[9]Permanents!F52</f>
        <v>0</v>
      </c>
      <c r="AP52" s="243">
        <f t="shared" si="47"/>
        <v>3.0699999999999998E-3</v>
      </c>
      <c r="AQ52" s="243">
        <f t="shared" si="48"/>
        <v>0.24073</v>
      </c>
      <c r="AR52" s="243"/>
      <c r="AS52" s="243"/>
      <c r="AT52" s="243">
        <f t="shared" si="49"/>
        <v>0</v>
      </c>
      <c r="AU52" s="243">
        <f t="shared" si="50"/>
        <v>0</v>
      </c>
      <c r="AV52" s="243">
        <f t="shared" si="51"/>
        <v>0</v>
      </c>
      <c r="AW52" s="246">
        <f>[32]Temporaries!Q52</f>
        <v>0</v>
      </c>
      <c r="AX52" s="246">
        <f>SUM([32]Temporaries!K52:M52)</f>
        <v>0</v>
      </c>
      <c r="AY52" s="246">
        <f>SUM([32]Temporaries!N52:O52)</f>
        <v>0</v>
      </c>
      <c r="AZ52" s="245">
        <f>[32]Temporaries!R52</f>
        <v>1.1299999999999999E-3</v>
      </c>
      <c r="BA52" s="245">
        <f t="shared" si="52"/>
        <v>0</v>
      </c>
      <c r="BB52" s="255">
        <f>[32]Temporaries!P52</f>
        <v>-9.0000000000000006E-5</v>
      </c>
      <c r="BC52" s="245">
        <f>[32]Temporaries!S52</f>
        <v>1.0300000000000001E-3</v>
      </c>
      <c r="BD52" s="245">
        <f>[32]Temporaries!T52</f>
        <v>9.0000000000000006E-5</v>
      </c>
      <c r="BE52" s="245">
        <f>[32]Temporaries!U52</f>
        <v>3.0699999999999998E-3</v>
      </c>
      <c r="BF52" s="245">
        <v>0.24073</v>
      </c>
      <c r="BG52" s="245"/>
      <c r="BH52" s="244">
        <f t="shared" si="53"/>
        <v>0</v>
      </c>
      <c r="BI52" s="243">
        <f t="shared" si="54"/>
        <v>0.24540999999999999</v>
      </c>
      <c r="BJ52" s="243">
        <f t="shared" si="55"/>
        <v>0.24540999999999999</v>
      </c>
    </row>
    <row r="53" spans="1:62" x14ac:dyDescent="0.35">
      <c r="A53" s="233">
        <f t="shared" si="28"/>
        <v>47</v>
      </c>
      <c r="B53" s="233"/>
      <c r="C53" s="261" t="s">
        <v>71</v>
      </c>
      <c r="D53" s="259">
        <v>0.24459</v>
      </c>
      <c r="E53" s="259">
        <v>0</v>
      </c>
      <c r="F53" s="259">
        <f>+' Increments  equal ¢ per therm'!H53</f>
        <v>0</v>
      </c>
      <c r="G53" s="259">
        <f>+' Increments  equal ¢ per therm'!K53</f>
        <v>0</v>
      </c>
      <c r="H53" s="259">
        <f>+' Increments  equal ¢ per therm'!N53</f>
        <v>0</v>
      </c>
      <c r="I53" s="259">
        <f t="shared" si="29"/>
        <v>0</v>
      </c>
      <c r="J53" s="259">
        <f t="shared" si="30"/>
        <v>0</v>
      </c>
      <c r="K53" s="243">
        <f>+'[9]Allocation = % of margin'!P53</f>
        <v>0</v>
      </c>
      <c r="L53" s="243">
        <f>+'[9]Allocation = % of margin'!S53</f>
        <v>0</v>
      </c>
      <c r="M53" s="243">
        <f>+'[9]Allocation = % of margin'!V53</f>
        <v>0</v>
      </c>
      <c r="N53" s="243">
        <f>+'[9]Allocation = % of margin'!Y53</f>
        <v>0</v>
      </c>
      <c r="O53" s="243">
        <f>+'[9]Allocation = % of margin'!AB53</f>
        <v>0</v>
      </c>
      <c r="P53" s="243">
        <f>'[9]Allocation = % of margin'!AE53</f>
        <v>-1.0000000000000001E-5</v>
      </c>
      <c r="Q53" s="243">
        <f>' Increments  equal ¢ per therm'!Q53</f>
        <v>0</v>
      </c>
      <c r="R53" s="243">
        <f>'[9]Allocation = % of margin'!AH53</f>
        <v>8.4999999999999995E-4</v>
      </c>
      <c r="S53" s="243">
        <f>' Increments  equal ¢ per therm'!T53</f>
        <v>3.5E-4</v>
      </c>
      <c r="T53" s="243">
        <f>'[9]Allocation = % of revenue'!M53</f>
        <v>1.0000000000000001E-5</v>
      </c>
      <c r="U53" s="243">
        <f>'[9]Allocation = % of margin'!AK53</f>
        <v>2.0500000000000002E-3</v>
      </c>
      <c r="V53" s="243">
        <f>' Increments  equal ¢ per therm'!W53</f>
        <v>0.24073</v>
      </c>
      <c r="W53" s="243">
        <f t="shared" si="31"/>
        <v>0.24398</v>
      </c>
      <c r="X53" s="243">
        <f t="shared" si="32"/>
        <v>-6.0999999999999943E-4</v>
      </c>
      <c r="Y53" s="243"/>
      <c r="Z53" s="248">
        <f t="shared" si="33"/>
        <v>0.24398</v>
      </c>
      <c r="AA53" s="248">
        <f t="shared" si="34"/>
        <v>3.2599999999999999E-3</v>
      </c>
      <c r="AB53" s="248">
        <f t="shared" si="35"/>
        <v>0</v>
      </c>
      <c r="AC53" s="248">
        <f t="shared" si="36"/>
        <v>0</v>
      </c>
      <c r="AD53" s="248">
        <f t="shared" si="37"/>
        <v>0.24398</v>
      </c>
      <c r="AE53" s="248">
        <f t="shared" si="38"/>
        <v>0.24398</v>
      </c>
      <c r="AF53" s="248">
        <f>[9]Permanents!G53</f>
        <v>5.5500000000000001E-2</v>
      </c>
      <c r="AG53" s="247">
        <f t="shared" si="39"/>
        <v>0</v>
      </c>
      <c r="AH53" s="243">
        <f t="shared" si="40"/>
        <v>0</v>
      </c>
      <c r="AI53" s="243">
        <f t="shared" si="41"/>
        <v>0</v>
      </c>
      <c r="AJ53" s="243">
        <f t="shared" si="42"/>
        <v>8.4999999999999995E-4</v>
      </c>
      <c r="AK53" s="243">
        <f t="shared" si="43"/>
        <v>3.5E-4</v>
      </c>
      <c r="AL53" s="243">
        <f t="shared" si="44"/>
        <v>0</v>
      </c>
      <c r="AM53" s="243">
        <f t="shared" si="45"/>
        <v>-1.0000000000000001E-5</v>
      </c>
      <c r="AN53" s="243">
        <f t="shared" si="46"/>
        <v>1.0000000000000001E-5</v>
      </c>
      <c r="AO53" s="243">
        <f>[9]Permanents!F53</f>
        <v>0</v>
      </c>
      <c r="AP53" s="243">
        <f t="shared" si="47"/>
        <v>2.0500000000000002E-3</v>
      </c>
      <c r="AQ53" s="243">
        <f t="shared" si="48"/>
        <v>0.24073</v>
      </c>
      <c r="AR53" s="243"/>
      <c r="AS53" s="243"/>
      <c r="AT53" s="243">
        <f t="shared" si="49"/>
        <v>0</v>
      </c>
      <c r="AU53" s="243">
        <f t="shared" si="50"/>
        <v>0</v>
      </c>
      <c r="AV53" s="243">
        <f t="shared" si="51"/>
        <v>0</v>
      </c>
      <c r="AW53" s="246">
        <f>[32]Temporaries!Q53</f>
        <v>0</v>
      </c>
      <c r="AX53" s="246">
        <f>SUM([32]Temporaries!K53:M53)</f>
        <v>0</v>
      </c>
      <c r="AY53" s="246">
        <f>SUM([32]Temporaries!N53:O53)</f>
        <v>0</v>
      </c>
      <c r="AZ53" s="245">
        <f>[32]Temporaries!R53</f>
        <v>7.5000000000000002E-4</v>
      </c>
      <c r="BA53" s="245">
        <f t="shared" si="52"/>
        <v>0</v>
      </c>
      <c r="BB53" s="255">
        <f>[32]Temporaries!P53</f>
        <v>-6.0000000000000002E-5</v>
      </c>
      <c r="BC53" s="245">
        <f>[32]Temporaries!S53</f>
        <v>1.0300000000000001E-3</v>
      </c>
      <c r="BD53" s="245">
        <f>[32]Temporaries!T53</f>
        <v>9.0000000000000006E-5</v>
      </c>
      <c r="BE53" s="245">
        <f>[32]Temporaries!U53</f>
        <v>2.0500000000000002E-3</v>
      </c>
      <c r="BF53" s="245">
        <v>0.24073</v>
      </c>
      <c r="BG53" s="245"/>
      <c r="BH53" s="244">
        <f t="shared" si="53"/>
        <v>0</v>
      </c>
      <c r="BI53" s="243">
        <f t="shared" si="54"/>
        <v>0.24398</v>
      </c>
      <c r="BJ53" s="243">
        <f t="shared" si="55"/>
        <v>0.24398</v>
      </c>
    </row>
    <row r="54" spans="1:62" x14ac:dyDescent="0.35">
      <c r="A54" s="233">
        <f t="shared" si="28"/>
        <v>48</v>
      </c>
      <c r="B54" s="258"/>
      <c r="C54" s="260" t="s">
        <v>72</v>
      </c>
      <c r="D54" s="251">
        <v>0.24287</v>
      </c>
      <c r="E54" s="251">
        <v>0</v>
      </c>
      <c r="F54" s="251">
        <f>+' Increments  equal ¢ per therm'!H54</f>
        <v>0</v>
      </c>
      <c r="G54" s="251">
        <f>+' Increments  equal ¢ per therm'!K54</f>
        <v>0</v>
      </c>
      <c r="H54" s="251">
        <f>+' Increments  equal ¢ per therm'!N54</f>
        <v>0</v>
      </c>
      <c r="I54" s="251">
        <f t="shared" si="29"/>
        <v>0</v>
      </c>
      <c r="J54" s="251">
        <f t="shared" si="30"/>
        <v>0</v>
      </c>
      <c r="K54" s="249">
        <f>+'[9]Allocation = % of margin'!P54</f>
        <v>0</v>
      </c>
      <c r="L54" s="249">
        <f>+'[9]Allocation = % of margin'!S54</f>
        <v>0</v>
      </c>
      <c r="M54" s="249">
        <f>+'[9]Allocation = % of margin'!V54</f>
        <v>0</v>
      </c>
      <c r="N54" s="249">
        <f>+'[9]Allocation = % of margin'!Y54</f>
        <v>0</v>
      </c>
      <c r="O54" s="249">
        <f>+'[9]Allocation = % of margin'!AB54</f>
        <v>0</v>
      </c>
      <c r="P54" s="249">
        <f>'[9]Allocation = % of margin'!AE54</f>
        <v>0</v>
      </c>
      <c r="Q54" s="249">
        <f>' Increments  equal ¢ per therm'!Q54</f>
        <v>0</v>
      </c>
      <c r="R54" s="249">
        <f>'[9]Allocation = % of margin'!AH54</f>
        <v>3.2000000000000003E-4</v>
      </c>
      <c r="S54" s="249">
        <f>' Increments  equal ¢ per therm'!T54</f>
        <v>3.5E-4</v>
      </c>
      <c r="T54" s="249">
        <f>'[9]Allocation = % of revenue'!M54</f>
        <v>1.0000000000000001E-5</v>
      </c>
      <c r="U54" s="249">
        <f>'[9]Allocation = % of margin'!AK54</f>
        <v>7.6999999999999996E-4</v>
      </c>
      <c r="V54" s="249">
        <f>' Increments  equal ¢ per therm'!W54</f>
        <v>0.24073</v>
      </c>
      <c r="W54" s="249">
        <f t="shared" si="31"/>
        <v>0.24218000000000001</v>
      </c>
      <c r="X54" s="249">
        <f t="shared" si="32"/>
        <v>-6.8999999999999617E-4</v>
      </c>
      <c r="Y54" s="243"/>
      <c r="Z54" s="248">
        <f t="shared" si="33"/>
        <v>0.24218000000000001</v>
      </c>
      <c r="AA54" s="248">
        <f t="shared" si="34"/>
        <v>1.4499999999999999E-3</v>
      </c>
      <c r="AB54" s="248">
        <f t="shared" si="35"/>
        <v>0</v>
      </c>
      <c r="AC54" s="248">
        <f t="shared" si="36"/>
        <v>0</v>
      </c>
      <c r="AD54" s="248">
        <f t="shared" si="37"/>
        <v>0.24218000000000001</v>
      </c>
      <c r="AE54" s="248">
        <f t="shared" si="38"/>
        <v>0.24218000000000001</v>
      </c>
      <c r="AF54" s="248">
        <f>[9]Permanents!G54</f>
        <v>2.0820000000000002E-2</v>
      </c>
      <c r="AG54" s="247">
        <f t="shared" si="39"/>
        <v>0</v>
      </c>
      <c r="AH54" s="243">
        <f t="shared" si="40"/>
        <v>0</v>
      </c>
      <c r="AI54" s="243">
        <f t="shared" si="41"/>
        <v>0</v>
      </c>
      <c r="AJ54" s="243">
        <f t="shared" si="42"/>
        <v>3.2000000000000003E-4</v>
      </c>
      <c r="AK54" s="243">
        <f t="shared" si="43"/>
        <v>3.5E-4</v>
      </c>
      <c r="AL54" s="243">
        <f t="shared" si="44"/>
        <v>0</v>
      </c>
      <c r="AM54" s="243">
        <f t="shared" si="45"/>
        <v>0</v>
      </c>
      <c r="AN54" s="243">
        <f t="shared" si="46"/>
        <v>1.0000000000000001E-5</v>
      </c>
      <c r="AO54" s="243">
        <f>[9]Permanents!F54</f>
        <v>0</v>
      </c>
      <c r="AP54" s="243">
        <f t="shared" si="47"/>
        <v>7.6999999999999996E-4</v>
      </c>
      <c r="AQ54" s="243">
        <f t="shared" si="48"/>
        <v>0.24073</v>
      </c>
      <c r="AR54" s="243"/>
      <c r="AS54" s="243"/>
      <c r="AT54" s="243">
        <f t="shared" si="49"/>
        <v>0</v>
      </c>
      <c r="AU54" s="243">
        <f t="shared" si="50"/>
        <v>0</v>
      </c>
      <c r="AV54" s="243">
        <f t="shared" si="51"/>
        <v>0</v>
      </c>
      <c r="AW54" s="246">
        <f>[32]Temporaries!Q54</f>
        <v>0</v>
      </c>
      <c r="AX54" s="246">
        <f>SUM([32]Temporaries!K54:M54)</f>
        <v>0</v>
      </c>
      <c r="AY54" s="246">
        <f>SUM([32]Temporaries!N54:O54)</f>
        <v>0</v>
      </c>
      <c r="AZ54" s="245">
        <f>[32]Temporaries!R54</f>
        <v>2.7999999999999998E-4</v>
      </c>
      <c r="BA54" s="245">
        <f t="shared" si="52"/>
        <v>0</v>
      </c>
      <c r="BB54" s="255">
        <f>[32]Temporaries!P54</f>
        <v>-2.0000000000000002E-5</v>
      </c>
      <c r="BC54" s="245">
        <f>[32]Temporaries!S54</f>
        <v>1.0300000000000001E-3</v>
      </c>
      <c r="BD54" s="245">
        <f>[32]Temporaries!T54</f>
        <v>8.0000000000000007E-5</v>
      </c>
      <c r="BE54" s="245">
        <f>[32]Temporaries!U54</f>
        <v>7.6999999999999996E-4</v>
      </c>
      <c r="BF54" s="245">
        <v>0.24073</v>
      </c>
      <c r="BG54" s="245"/>
      <c r="BH54" s="244">
        <f t="shared" si="53"/>
        <v>0</v>
      </c>
      <c r="BI54" s="243">
        <f t="shared" si="54"/>
        <v>0.24218000000000001</v>
      </c>
      <c r="BJ54" s="243">
        <f t="shared" si="55"/>
        <v>0.24218000000000001</v>
      </c>
    </row>
    <row r="55" spans="1:62" x14ac:dyDescent="0.35">
      <c r="A55" s="233">
        <f t="shared" si="28"/>
        <v>49</v>
      </c>
      <c r="B55" s="233" t="s">
        <v>76</v>
      </c>
      <c r="C55" s="261" t="s">
        <v>61</v>
      </c>
      <c r="D55" s="259">
        <v>0.10987</v>
      </c>
      <c r="E55" s="259">
        <v>-0.16173000000000001</v>
      </c>
      <c r="F55" s="259">
        <f>+' Increments  equal ¢ per therm'!H55</f>
        <v>-0.14299000000000001</v>
      </c>
      <c r="G55" s="259">
        <f>+' Increments  equal ¢ per therm'!K55</f>
        <v>0</v>
      </c>
      <c r="H55" s="259">
        <f>+' Increments  equal ¢ per therm'!N55</f>
        <v>-3.1469999999999998E-2</v>
      </c>
      <c r="I55" s="259">
        <f t="shared" si="29"/>
        <v>-0.17446</v>
      </c>
      <c r="J55" s="259">
        <f t="shared" si="30"/>
        <v>-1.2729999999999991E-2</v>
      </c>
      <c r="K55" s="243">
        <f>+'[9]Allocation = % of margin'!P55</f>
        <v>1.9529999999999999E-2</v>
      </c>
      <c r="L55" s="243">
        <f>+'[9]Allocation = % of margin'!S55</f>
        <v>-2.4000000000000001E-4</v>
      </c>
      <c r="M55" s="243">
        <f>+'[9]Allocation = % of margin'!V55</f>
        <v>0</v>
      </c>
      <c r="N55" s="243">
        <f>+'[9]Allocation = % of margin'!Y55</f>
        <v>2.7200000000000002E-3</v>
      </c>
      <c r="O55" s="243">
        <f>+'[9]Allocation = % of margin'!AB55</f>
        <v>4.4000000000000002E-4</v>
      </c>
      <c r="P55" s="243">
        <f>'[9]Allocation = % of margin'!AE55</f>
        <v>-3.0000000000000001E-5</v>
      </c>
      <c r="Q55" s="243">
        <f>' Increments  equal ¢ per therm'!Q55</f>
        <v>0</v>
      </c>
      <c r="R55" s="243">
        <f>'[9]Allocation = % of margin'!AH55</f>
        <v>2.5200000000000001E-3</v>
      </c>
      <c r="S55" s="243">
        <f>' Increments  equal ¢ per therm'!T55</f>
        <v>0</v>
      </c>
      <c r="T55" s="243">
        <f>'[9]Allocation = % of revenue'!M55</f>
        <v>1.0000000000000001E-5</v>
      </c>
      <c r="U55" s="243">
        <f>'[9]Allocation = % of margin'!AK55</f>
        <v>6.4200000000000004E-3</v>
      </c>
      <c r="V55" s="243">
        <f>' Increments  equal ¢ per therm'!W55</f>
        <v>0.24073</v>
      </c>
      <c r="W55" s="243">
        <f t="shared" si="31"/>
        <v>9.7640000000000005E-2</v>
      </c>
      <c r="X55" s="243">
        <f t="shared" si="32"/>
        <v>-1.2229999999999991E-2</v>
      </c>
      <c r="Y55" s="243"/>
      <c r="Z55" s="248">
        <f t="shared" si="33"/>
        <v>7.8350000000000017E-2</v>
      </c>
      <c r="AA55" s="248">
        <f t="shared" si="34"/>
        <v>1.2109999999999999E-2</v>
      </c>
      <c r="AB55" s="248">
        <f t="shared" si="35"/>
        <v>-0.14299000000000001</v>
      </c>
      <c r="AC55" s="248">
        <f t="shared" si="36"/>
        <v>-3.1469999999999998E-2</v>
      </c>
      <c r="AD55" s="248">
        <f t="shared" si="37"/>
        <v>0.27210000000000001</v>
      </c>
      <c r="AE55" s="248">
        <f t="shared" si="38"/>
        <v>9.7640000000000005E-2</v>
      </c>
      <c r="AF55" s="248">
        <f>[9]Permanents!G55</f>
        <v>0.16875000000000009</v>
      </c>
      <c r="AG55" s="247">
        <f t="shared" si="39"/>
        <v>0</v>
      </c>
      <c r="AH55" s="243">
        <f t="shared" si="40"/>
        <v>-0.17446</v>
      </c>
      <c r="AI55" s="243">
        <f t="shared" si="41"/>
        <v>0</v>
      </c>
      <c r="AJ55" s="243">
        <f t="shared" si="42"/>
        <v>2.5200000000000001E-3</v>
      </c>
      <c r="AK55" s="243">
        <f t="shared" si="43"/>
        <v>0</v>
      </c>
      <c r="AL55" s="243">
        <f t="shared" si="44"/>
        <v>1.9289999999999998E-2</v>
      </c>
      <c r="AM55" s="243">
        <f t="shared" si="45"/>
        <v>-3.0000000000000001E-5</v>
      </c>
      <c r="AN55" s="243">
        <f t="shared" si="46"/>
        <v>1.0000000000000001E-5</v>
      </c>
      <c r="AO55" s="243">
        <f>[9]Permanents!F55</f>
        <v>3.0000000000000001E-5</v>
      </c>
      <c r="AP55" s="243">
        <f t="shared" si="47"/>
        <v>6.4200000000000004E-3</v>
      </c>
      <c r="AQ55" s="243">
        <f t="shared" si="48"/>
        <v>0.24073</v>
      </c>
      <c r="AR55" s="243"/>
      <c r="AS55" s="243"/>
      <c r="AT55" s="243">
        <f t="shared" si="49"/>
        <v>2.7200000000000002E-3</v>
      </c>
      <c r="AU55" s="243">
        <f t="shared" si="50"/>
        <v>4.4000000000000002E-4</v>
      </c>
      <c r="AV55" s="243">
        <f t="shared" si="51"/>
        <v>3.16E-3</v>
      </c>
      <c r="AW55" s="246">
        <f>[32]Temporaries!Q55</f>
        <v>0</v>
      </c>
      <c r="AX55" s="246">
        <f>SUM([32]Temporaries!K55:M55)</f>
        <v>1.8700000000000001E-2</v>
      </c>
      <c r="AY55" s="246">
        <f>SUM([32]Temporaries!N55:O55)</f>
        <v>3.4000000000000002E-3</v>
      </c>
      <c r="AZ55" s="245">
        <f>[32]Temporaries!R55</f>
        <v>2.3600000000000001E-3</v>
      </c>
      <c r="BA55" s="245">
        <f t="shared" si="52"/>
        <v>-0.16173000000000001</v>
      </c>
      <c r="BB55" s="255">
        <f>[32]Temporaries!P55</f>
        <v>-1.9000000000000001E-4</v>
      </c>
      <c r="BC55" s="245">
        <f>[32]Temporaries!S55</f>
        <v>0</v>
      </c>
      <c r="BD55" s="245">
        <f>[32]Temporaries!T55</f>
        <v>1.8000000000000001E-4</v>
      </c>
      <c r="BE55" s="245">
        <f>[32]Temporaries!U55</f>
        <v>6.4200000000000004E-3</v>
      </c>
      <c r="BF55" s="245">
        <v>0.24073</v>
      </c>
      <c r="BG55" s="245"/>
      <c r="BH55" s="244">
        <f t="shared" si="53"/>
        <v>0</v>
      </c>
      <c r="BI55" s="243">
        <f t="shared" si="54"/>
        <v>0.25281000000000003</v>
      </c>
      <c r="BJ55" s="243">
        <f t="shared" si="55"/>
        <v>7.8350000000000017E-2</v>
      </c>
    </row>
    <row r="56" spans="1:62" x14ac:dyDescent="0.35">
      <c r="A56" s="233">
        <f t="shared" si="28"/>
        <v>50</v>
      </c>
      <c r="B56" s="233"/>
      <c r="C56" s="261" t="s">
        <v>62</v>
      </c>
      <c r="D56" s="259">
        <v>0.10666</v>
      </c>
      <c r="E56" s="259">
        <v>-0.16173000000000001</v>
      </c>
      <c r="F56" s="259">
        <f>+' Increments  equal ¢ per therm'!H56</f>
        <v>-0.14299000000000001</v>
      </c>
      <c r="G56" s="259">
        <f>+' Increments  equal ¢ per therm'!K56</f>
        <v>0</v>
      </c>
      <c r="H56" s="259">
        <f>+' Increments  equal ¢ per therm'!N56</f>
        <v>-3.1469999999999998E-2</v>
      </c>
      <c r="I56" s="259">
        <f t="shared" si="29"/>
        <v>-0.17446</v>
      </c>
      <c r="J56" s="259">
        <f t="shared" si="30"/>
        <v>-1.2729999999999991E-2</v>
      </c>
      <c r="K56" s="243">
        <f>+'[9]Allocation = % of margin'!P56</f>
        <v>1.7479999999999999E-2</v>
      </c>
      <c r="L56" s="243">
        <f>+'[9]Allocation = % of margin'!S56</f>
        <v>-2.2000000000000001E-4</v>
      </c>
      <c r="M56" s="243">
        <f>+'[9]Allocation = % of margin'!V56</f>
        <v>0</v>
      </c>
      <c r="N56" s="243">
        <f>+'[9]Allocation = % of margin'!Y56</f>
        <v>2.4399999999999999E-3</v>
      </c>
      <c r="O56" s="243">
        <f>+'[9]Allocation = % of margin'!AB56</f>
        <v>3.8999999999999999E-4</v>
      </c>
      <c r="P56" s="243">
        <f>'[9]Allocation = % of margin'!AE56</f>
        <v>-3.0000000000000001E-5</v>
      </c>
      <c r="Q56" s="243">
        <f>' Increments  equal ¢ per therm'!Q56</f>
        <v>0</v>
      </c>
      <c r="R56" s="243">
        <f>'[9]Allocation = % of margin'!AH56</f>
        <v>2.2599999999999999E-3</v>
      </c>
      <c r="S56" s="243">
        <f>' Increments  equal ¢ per therm'!T56</f>
        <v>0</v>
      </c>
      <c r="T56" s="243">
        <f>'[9]Allocation = % of revenue'!M56</f>
        <v>1.0000000000000001E-5</v>
      </c>
      <c r="U56" s="243">
        <f>'[9]Allocation = % of margin'!AK56</f>
        <v>5.7499999999999999E-3</v>
      </c>
      <c r="V56" s="243">
        <f>' Increments  equal ¢ per therm'!W56</f>
        <v>0.24073</v>
      </c>
      <c r="W56" s="243">
        <f t="shared" si="31"/>
        <v>9.4349999999999989E-2</v>
      </c>
      <c r="X56" s="243">
        <f t="shared" si="32"/>
        <v>-1.2310000000000015E-2</v>
      </c>
      <c r="Y56" s="243"/>
      <c r="Z56" s="248">
        <f t="shared" si="33"/>
        <v>7.7089999999999992E-2</v>
      </c>
      <c r="AA56" s="248">
        <f t="shared" si="34"/>
        <v>1.0849999999999999E-2</v>
      </c>
      <c r="AB56" s="248">
        <f t="shared" si="35"/>
        <v>-0.14299000000000001</v>
      </c>
      <c r="AC56" s="248">
        <f t="shared" si="36"/>
        <v>-3.1469999999999998E-2</v>
      </c>
      <c r="AD56" s="248">
        <f t="shared" si="37"/>
        <v>0.26880999999999999</v>
      </c>
      <c r="AE56" s="248">
        <f t="shared" si="38"/>
        <v>9.4349999999999989E-2</v>
      </c>
      <c r="AF56" s="248">
        <f>[9]Permanents!G56</f>
        <v>0.15105999999999983</v>
      </c>
      <c r="AG56" s="247">
        <f t="shared" si="39"/>
        <v>0</v>
      </c>
      <c r="AH56" s="243">
        <f t="shared" si="40"/>
        <v>-0.17446</v>
      </c>
      <c r="AI56" s="243">
        <f t="shared" si="41"/>
        <v>0</v>
      </c>
      <c r="AJ56" s="243">
        <f t="shared" si="42"/>
        <v>2.2599999999999999E-3</v>
      </c>
      <c r="AK56" s="243">
        <f t="shared" si="43"/>
        <v>0</v>
      </c>
      <c r="AL56" s="243">
        <f t="shared" si="44"/>
        <v>1.7259999999999998E-2</v>
      </c>
      <c r="AM56" s="243">
        <f t="shared" si="45"/>
        <v>-3.0000000000000001E-5</v>
      </c>
      <c r="AN56" s="243">
        <f t="shared" si="46"/>
        <v>1.0000000000000001E-5</v>
      </c>
      <c r="AO56" s="243">
        <f>[9]Permanents!F56</f>
        <v>3.0000000000000001E-5</v>
      </c>
      <c r="AP56" s="243">
        <f t="shared" si="47"/>
        <v>5.7499999999999999E-3</v>
      </c>
      <c r="AQ56" s="243">
        <f t="shared" si="48"/>
        <v>0.24073</v>
      </c>
      <c r="AR56" s="243"/>
      <c r="AS56" s="243"/>
      <c r="AT56" s="243">
        <f t="shared" si="49"/>
        <v>2.4399999999999999E-3</v>
      </c>
      <c r="AU56" s="243">
        <f t="shared" si="50"/>
        <v>3.8999999999999999E-4</v>
      </c>
      <c r="AV56" s="243">
        <f t="shared" si="51"/>
        <v>2.8300000000000001E-3</v>
      </c>
      <c r="AW56" s="246">
        <f>[32]Temporaries!Q56</f>
        <v>0</v>
      </c>
      <c r="AX56" s="246">
        <f>SUM([32]Temporaries!K56:M56)</f>
        <v>1.6740000000000001E-2</v>
      </c>
      <c r="AY56" s="246">
        <f>SUM([32]Temporaries!N56:O56)</f>
        <v>3.0400000000000002E-3</v>
      </c>
      <c r="AZ56" s="245">
        <f>[32]Temporaries!R56</f>
        <v>2.1199999999999999E-3</v>
      </c>
      <c r="BA56" s="245">
        <f t="shared" si="52"/>
        <v>-0.16173000000000001</v>
      </c>
      <c r="BB56" s="255">
        <f>[32]Temporaries!P56</f>
        <v>-1.7000000000000001E-4</v>
      </c>
      <c r="BC56" s="245">
        <f>[32]Temporaries!S56</f>
        <v>0</v>
      </c>
      <c r="BD56" s="245">
        <f>[32]Temporaries!T56</f>
        <v>1.8000000000000001E-4</v>
      </c>
      <c r="BE56" s="245">
        <f>[32]Temporaries!U56</f>
        <v>5.7499999999999999E-3</v>
      </c>
      <c r="BF56" s="245">
        <v>0.24073</v>
      </c>
      <c r="BG56" s="245"/>
      <c r="BH56" s="244">
        <f t="shared" si="53"/>
        <v>0</v>
      </c>
      <c r="BI56" s="243">
        <f t="shared" si="54"/>
        <v>0.25155</v>
      </c>
      <c r="BJ56" s="243">
        <f t="shared" si="55"/>
        <v>7.7089999999999992E-2</v>
      </c>
    </row>
    <row r="57" spans="1:62" x14ac:dyDescent="0.35">
      <c r="A57" s="233">
        <f t="shared" si="28"/>
        <v>51</v>
      </c>
      <c r="B57" s="233"/>
      <c r="C57" s="261" t="s">
        <v>69</v>
      </c>
      <c r="D57" s="259">
        <v>0.10023999999999997</v>
      </c>
      <c r="E57" s="259">
        <v>-0.16173000000000001</v>
      </c>
      <c r="F57" s="259">
        <f>+' Increments  equal ¢ per therm'!H57</f>
        <v>-0.14299000000000001</v>
      </c>
      <c r="G57" s="259">
        <f>+' Increments  equal ¢ per therm'!K57</f>
        <v>0</v>
      </c>
      <c r="H57" s="259">
        <f>+' Increments  equal ¢ per therm'!N57</f>
        <v>-3.1469999999999998E-2</v>
      </c>
      <c r="I57" s="259">
        <f t="shared" si="29"/>
        <v>-0.17446</v>
      </c>
      <c r="J57" s="259">
        <f t="shared" si="30"/>
        <v>-1.2729999999999991E-2</v>
      </c>
      <c r="K57" s="243">
        <f>+'[9]Allocation = % of margin'!P57</f>
        <v>1.34E-2</v>
      </c>
      <c r="L57" s="243">
        <f>+'[9]Allocation = % of margin'!S57</f>
        <v>-1.7000000000000001E-4</v>
      </c>
      <c r="M57" s="243">
        <f>+'[9]Allocation = % of margin'!V57</f>
        <v>0</v>
      </c>
      <c r="N57" s="243">
        <f>+'[9]Allocation = % of margin'!Y57</f>
        <v>1.8699999999999999E-3</v>
      </c>
      <c r="O57" s="243">
        <f>+'[9]Allocation = % of margin'!AB57</f>
        <v>2.9999999999999997E-4</v>
      </c>
      <c r="P57" s="243">
        <f>'[9]Allocation = % of margin'!AE57</f>
        <v>-2.0000000000000002E-5</v>
      </c>
      <c r="Q57" s="243">
        <f>' Increments  equal ¢ per therm'!Q57</f>
        <v>0</v>
      </c>
      <c r="R57" s="243">
        <f>'[9]Allocation = % of margin'!AH57</f>
        <v>1.73E-3</v>
      </c>
      <c r="S57" s="243">
        <f>' Increments  equal ¢ per therm'!T57</f>
        <v>0</v>
      </c>
      <c r="T57" s="243">
        <f>'[9]Allocation = % of revenue'!M57</f>
        <v>1.0000000000000001E-5</v>
      </c>
      <c r="U57" s="243">
        <f>'[9]Allocation = % of margin'!AK57</f>
        <v>4.4099999999999999E-3</v>
      </c>
      <c r="V57" s="243">
        <f>' Increments  equal ¢ per therm'!W57</f>
        <v>0.24073</v>
      </c>
      <c r="W57" s="243">
        <f t="shared" si="31"/>
        <v>8.7799999999999989E-2</v>
      </c>
      <c r="X57" s="243">
        <f t="shared" si="32"/>
        <v>-1.2439999999999979E-2</v>
      </c>
      <c r="Y57" s="243"/>
      <c r="Z57" s="248">
        <f t="shared" si="33"/>
        <v>7.4569999999999997E-2</v>
      </c>
      <c r="AA57" s="248">
        <f t="shared" si="34"/>
        <v>8.3199999999999993E-3</v>
      </c>
      <c r="AB57" s="248">
        <f t="shared" si="35"/>
        <v>-0.14299000000000001</v>
      </c>
      <c r="AC57" s="248">
        <f t="shared" si="36"/>
        <v>-3.1469999999999998E-2</v>
      </c>
      <c r="AD57" s="248">
        <f t="shared" si="37"/>
        <v>0.26225999999999999</v>
      </c>
      <c r="AE57" s="248">
        <f t="shared" si="38"/>
        <v>8.7799999999999989E-2</v>
      </c>
      <c r="AF57" s="248">
        <f>[9]Permanents!G57</f>
        <v>0.11582000000000012</v>
      </c>
      <c r="AG57" s="247">
        <f t="shared" si="39"/>
        <v>0</v>
      </c>
      <c r="AH57" s="243">
        <f t="shared" si="40"/>
        <v>-0.17446</v>
      </c>
      <c r="AI57" s="243">
        <f t="shared" si="41"/>
        <v>0</v>
      </c>
      <c r="AJ57" s="243">
        <f t="shared" si="42"/>
        <v>1.73E-3</v>
      </c>
      <c r="AK57" s="243">
        <f t="shared" si="43"/>
        <v>0</v>
      </c>
      <c r="AL57" s="243">
        <f t="shared" si="44"/>
        <v>1.323E-2</v>
      </c>
      <c r="AM57" s="243">
        <f t="shared" si="45"/>
        <v>-2.0000000000000002E-5</v>
      </c>
      <c r="AN57" s="243">
        <f t="shared" si="46"/>
        <v>1.0000000000000001E-5</v>
      </c>
      <c r="AO57" s="243">
        <f>[9]Permanents!F57</f>
        <v>2.0000000000000002E-5</v>
      </c>
      <c r="AP57" s="243">
        <f t="shared" si="47"/>
        <v>4.4099999999999999E-3</v>
      </c>
      <c r="AQ57" s="243">
        <f t="shared" si="48"/>
        <v>0.24073</v>
      </c>
      <c r="AR57" s="243"/>
      <c r="AS57" s="243"/>
      <c r="AT57" s="243">
        <f t="shared" si="49"/>
        <v>1.8699999999999999E-3</v>
      </c>
      <c r="AU57" s="243">
        <f t="shared" si="50"/>
        <v>2.9999999999999997E-4</v>
      </c>
      <c r="AV57" s="243">
        <f t="shared" si="51"/>
        <v>2.1700000000000001E-3</v>
      </c>
      <c r="AW57" s="246">
        <f>[32]Temporaries!Q57</f>
        <v>0</v>
      </c>
      <c r="AX57" s="246">
        <f>SUM([32]Temporaries!K57:M57)</f>
        <v>1.2840000000000001E-2</v>
      </c>
      <c r="AY57" s="246">
        <f>SUM([32]Temporaries!N57:O57)</f>
        <v>2.33E-3</v>
      </c>
      <c r="AZ57" s="245">
        <f>[32]Temporaries!R57</f>
        <v>1.6199999999999999E-3</v>
      </c>
      <c r="BA57" s="245">
        <f t="shared" si="52"/>
        <v>-0.16173000000000001</v>
      </c>
      <c r="BB57" s="255">
        <f>[32]Temporaries!P57</f>
        <v>-1.2999999999999999E-4</v>
      </c>
      <c r="BC57" s="245">
        <f>[32]Temporaries!S57</f>
        <v>0</v>
      </c>
      <c r="BD57" s="245">
        <f>[32]Temporaries!T57</f>
        <v>1.7000000000000001E-4</v>
      </c>
      <c r="BE57" s="245">
        <f>[32]Temporaries!U57</f>
        <v>4.4099999999999999E-3</v>
      </c>
      <c r="BF57" s="245">
        <v>0.24073</v>
      </c>
      <c r="BG57" s="245"/>
      <c r="BH57" s="244">
        <f t="shared" si="53"/>
        <v>0</v>
      </c>
      <c r="BI57" s="243">
        <f t="shared" si="54"/>
        <v>0.24903</v>
      </c>
      <c r="BJ57" s="243">
        <f t="shared" si="55"/>
        <v>7.4569999999999997E-2</v>
      </c>
    </row>
    <row r="58" spans="1:62" x14ac:dyDescent="0.35">
      <c r="A58" s="233">
        <f t="shared" si="28"/>
        <v>52</v>
      </c>
      <c r="B58" s="233"/>
      <c r="C58" s="261" t="s">
        <v>70</v>
      </c>
      <c r="D58" s="259">
        <v>9.6029999999999976E-2</v>
      </c>
      <c r="E58" s="259">
        <v>-0.16173000000000001</v>
      </c>
      <c r="F58" s="259">
        <f>+' Increments  equal ¢ per therm'!H58</f>
        <v>-0.14299000000000001</v>
      </c>
      <c r="G58" s="259">
        <f>+' Increments  equal ¢ per therm'!K58</f>
        <v>0</v>
      </c>
      <c r="H58" s="259">
        <f>+' Increments  equal ¢ per therm'!N58</f>
        <v>-3.1469999999999998E-2</v>
      </c>
      <c r="I58" s="259">
        <f t="shared" si="29"/>
        <v>-0.17446</v>
      </c>
      <c r="J58" s="259">
        <f t="shared" si="30"/>
        <v>-1.2729999999999991E-2</v>
      </c>
      <c r="K58" s="243">
        <f>+'[9]Allocation = % of margin'!P58</f>
        <v>1.072E-2</v>
      </c>
      <c r="L58" s="243">
        <f>+'[9]Allocation = % of margin'!S58</f>
        <v>-1.2999999999999999E-4</v>
      </c>
      <c r="M58" s="243">
        <f>+'[9]Allocation = % of margin'!V58</f>
        <v>0</v>
      </c>
      <c r="N58" s="243">
        <f>+'[9]Allocation = % of margin'!Y58</f>
        <v>1.49E-3</v>
      </c>
      <c r="O58" s="243">
        <f>+'[9]Allocation = % of margin'!AB58</f>
        <v>2.4000000000000001E-4</v>
      </c>
      <c r="P58" s="243">
        <f>'[9]Allocation = % of margin'!AE58</f>
        <v>-2.0000000000000002E-5</v>
      </c>
      <c r="Q58" s="243">
        <f>' Increments  equal ¢ per therm'!Q58</f>
        <v>0</v>
      </c>
      <c r="R58" s="243">
        <f>'[9]Allocation = % of margin'!AH58</f>
        <v>1.3799999999999999E-3</v>
      </c>
      <c r="S58" s="243">
        <f>' Increments  equal ¢ per therm'!T58</f>
        <v>0</v>
      </c>
      <c r="T58" s="243">
        <f>'[9]Allocation = % of revenue'!M58</f>
        <v>1.0000000000000001E-5</v>
      </c>
      <c r="U58" s="243">
        <f>'[9]Allocation = % of margin'!AK58</f>
        <v>3.5300000000000002E-3</v>
      </c>
      <c r="V58" s="243">
        <f>' Increments  equal ¢ per therm'!W58</f>
        <v>0.24073</v>
      </c>
      <c r="W58" s="243">
        <f t="shared" si="31"/>
        <v>8.3490000000000009E-2</v>
      </c>
      <c r="X58" s="243">
        <f t="shared" si="32"/>
        <v>-1.2539999999999968E-2</v>
      </c>
      <c r="Y58" s="243"/>
      <c r="Z58" s="248">
        <f t="shared" si="33"/>
        <v>7.2900000000000006E-2</v>
      </c>
      <c r="AA58" s="248">
        <f t="shared" si="34"/>
        <v>6.6499999999999997E-3</v>
      </c>
      <c r="AB58" s="248">
        <f t="shared" si="35"/>
        <v>-0.14299000000000001</v>
      </c>
      <c r="AC58" s="248">
        <f t="shared" si="36"/>
        <v>-3.1469999999999998E-2</v>
      </c>
      <c r="AD58" s="248">
        <f t="shared" si="37"/>
        <v>0.25795000000000001</v>
      </c>
      <c r="AE58" s="248">
        <f t="shared" si="38"/>
        <v>8.3490000000000009E-2</v>
      </c>
      <c r="AF58" s="248">
        <f>[9]Permanents!G58</f>
        <v>9.2659999999999937E-2</v>
      </c>
      <c r="AG58" s="247">
        <f t="shared" si="39"/>
        <v>0</v>
      </c>
      <c r="AH58" s="243">
        <f t="shared" si="40"/>
        <v>-0.17446</v>
      </c>
      <c r="AI58" s="243">
        <f t="shared" si="41"/>
        <v>0</v>
      </c>
      <c r="AJ58" s="243">
        <f t="shared" si="42"/>
        <v>1.3799999999999999E-3</v>
      </c>
      <c r="AK58" s="243">
        <f t="shared" si="43"/>
        <v>0</v>
      </c>
      <c r="AL58" s="243">
        <f t="shared" si="44"/>
        <v>1.059E-2</v>
      </c>
      <c r="AM58" s="243">
        <f t="shared" si="45"/>
        <v>-2.0000000000000002E-5</v>
      </c>
      <c r="AN58" s="243">
        <f t="shared" si="46"/>
        <v>1.0000000000000001E-5</v>
      </c>
      <c r="AO58" s="243">
        <f>[9]Permanents!F58</f>
        <v>2.0000000000000002E-5</v>
      </c>
      <c r="AP58" s="243">
        <f t="shared" si="47"/>
        <v>3.5300000000000002E-3</v>
      </c>
      <c r="AQ58" s="243">
        <f t="shared" si="48"/>
        <v>0.24073</v>
      </c>
      <c r="AR58" s="243"/>
      <c r="AS58" s="243"/>
      <c r="AT58" s="243">
        <f t="shared" si="49"/>
        <v>1.49E-3</v>
      </c>
      <c r="AU58" s="243">
        <f t="shared" si="50"/>
        <v>2.4000000000000001E-4</v>
      </c>
      <c r="AV58" s="243">
        <f t="shared" si="51"/>
        <v>1.73E-3</v>
      </c>
      <c r="AW58" s="246">
        <f>[32]Temporaries!Q58</f>
        <v>0</v>
      </c>
      <c r="AX58" s="246">
        <f>SUM([32]Temporaries!K58:M58)</f>
        <v>1.026E-2</v>
      </c>
      <c r="AY58" s="246">
        <f>SUM([32]Temporaries!N58:O58)</f>
        <v>1.8699999999999999E-3</v>
      </c>
      <c r="AZ58" s="245">
        <f>[32]Temporaries!R58</f>
        <v>1.2999999999999999E-3</v>
      </c>
      <c r="BA58" s="245">
        <f t="shared" si="52"/>
        <v>-0.16173000000000001</v>
      </c>
      <c r="BB58" s="255">
        <f>[32]Temporaries!P58</f>
        <v>-1E-4</v>
      </c>
      <c r="BC58" s="245">
        <f>[32]Temporaries!S58</f>
        <v>0</v>
      </c>
      <c r="BD58" s="245">
        <f>[32]Temporaries!T58</f>
        <v>1.7000000000000001E-4</v>
      </c>
      <c r="BE58" s="245">
        <f>[32]Temporaries!U58</f>
        <v>3.5300000000000002E-3</v>
      </c>
      <c r="BF58" s="245">
        <v>0.24073</v>
      </c>
      <c r="BG58" s="245"/>
      <c r="BH58" s="244">
        <f t="shared" si="53"/>
        <v>0</v>
      </c>
      <c r="BI58" s="243">
        <f t="shared" si="54"/>
        <v>0.24736</v>
      </c>
      <c r="BJ58" s="243">
        <f t="shared" si="55"/>
        <v>7.2900000000000006E-2</v>
      </c>
    </row>
    <row r="59" spans="1:62" x14ac:dyDescent="0.35">
      <c r="A59" s="233">
        <f t="shared" si="28"/>
        <v>53</v>
      </c>
      <c r="B59" s="233"/>
      <c r="C59" s="261" t="s">
        <v>71</v>
      </c>
      <c r="D59" s="259">
        <v>9.0409999999999963E-2</v>
      </c>
      <c r="E59" s="259">
        <v>-0.16173000000000001</v>
      </c>
      <c r="F59" s="259">
        <f>+' Increments  equal ¢ per therm'!H59</f>
        <v>-0.14299000000000001</v>
      </c>
      <c r="G59" s="259">
        <f>+' Increments  equal ¢ per therm'!K59</f>
        <v>0</v>
      </c>
      <c r="H59" s="259">
        <f>+' Increments  equal ¢ per therm'!N59</f>
        <v>-3.1469999999999998E-2</v>
      </c>
      <c r="I59" s="259">
        <f t="shared" si="29"/>
        <v>-0.17446</v>
      </c>
      <c r="J59" s="259">
        <f t="shared" si="30"/>
        <v>-1.2729999999999991E-2</v>
      </c>
      <c r="K59" s="243">
        <f>+'[9]Allocation = % of margin'!P59</f>
        <v>7.1500000000000001E-3</v>
      </c>
      <c r="L59" s="243">
        <f>+'[9]Allocation = % of margin'!S59</f>
        <v>-9.0000000000000006E-5</v>
      </c>
      <c r="M59" s="243">
        <f>+'[9]Allocation = % of margin'!V59</f>
        <v>0</v>
      </c>
      <c r="N59" s="243">
        <f>+'[9]Allocation = % of margin'!Y59</f>
        <v>1E-3</v>
      </c>
      <c r="O59" s="243">
        <f>+'[9]Allocation = % of margin'!AB59</f>
        <v>1.6000000000000001E-4</v>
      </c>
      <c r="P59" s="243">
        <f>'[9]Allocation = % of margin'!AE59</f>
        <v>-1.0000000000000001E-5</v>
      </c>
      <c r="Q59" s="243">
        <f>' Increments  equal ¢ per therm'!Q59</f>
        <v>0</v>
      </c>
      <c r="R59" s="243">
        <f>'[9]Allocation = % of margin'!AH59</f>
        <v>9.2000000000000003E-4</v>
      </c>
      <c r="S59" s="243">
        <f>' Increments  equal ¢ per therm'!T59</f>
        <v>0</v>
      </c>
      <c r="T59" s="243">
        <f>'[9]Allocation = % of revenue'!M59</f>
        <v>1.0000000000000001E-5</v>
      </c>
      <c r="U59" s="243">
        <f>'[9]Allocation = % of margin'!AK59</f>
        <v>2.3500000000000001E-3</v>
      </c>
      <c r="V59" s="243">
        <f>' Increments  equal ¢ per therm'!W59</f>
        <v>0.24073</v>
      </c>
      <c r="W59" s="243">
        <f t="shared" si="31"/>
        <v>7.7759999999999996E-2</v>
      </c>
      <c r="X59" s="243">
        <f t="shared" si="32"/>
        <v>-1.2649999999999967E-2</v>
      </c>
      <c r="Y59" s="243"/>
      <c r="Z59" s="248">
        <f t="shared" si="33"/>
        <v>7.0699999999999999E-2</v>
      </c>
      <c r="AA59" s="248">
        <f t="shared" si="34"/>
        <v>4.4400000000000004E-3</v>
      </c>
      <c r="AB59" s="248">
        <f t="shared" si="35"/>
        <v>-0.14299000000000001</v>
      </c>
      <c r="AC59" s="248">
        <f t="shared" si="36"/>
        <v>-3.1469999999999998E-2</v>
      </c>
      <c r="AD59" s="248">
        <f t="shared" si="37"/>
        <v>0.25222</v>
      </c>
      <c r="AE59" s="248">
        <f t="shared" si="38"/>
        <v>7.7759999999999996E-2</v>
      </c>
      <c r="AF59" s="248">
        <f>[9]Permanents!G59</f>
        <v>6.1790000000000067E-2</v>
      </c>
      <c r="AG59" s="247">
        <f t="shared" si="39"/>
        <v>0</v>
      </c>
      <c r="AH59" s="243">
        <f t="shared" si="40"/>
        <v>-0.17446</v>
      </c>
      <c r="AI59" s="243">
        <f t="shared" si="41"/>
        <v>0</v>
      </c>
      <c r="AJ59" s="243">
        <f t="shared" si="42"/>
        <v>9.2000000000000003E-4</v>
      </c>
      <c r="AK59" s="243">
        <f t="shared" si="43"/>
        <v>0</v>
      </c>
      <c r="AL59" s="243">
        <f t="shared" si="44"/>
        <v>7.0600000000000003E-3</v>
      </c>
      <c r="AM59" s="243">
        <f t="shared" si="45"/>
        <v>-1.0000000000000001E-5</v>
      </c>
      <c r="AN59" s="243">
        <f t="shared" si="46"/>
        <v>1.0000000000000001E-5</v>
      </c>
      <c r="AO59" s="243">
        <f>[9]Permanents!F59</f>
        <v>1.0000000000000001E-5</v>
      </c>
      <c r="AP59" s="243">
        <f t="shared" si="47"/>
        <v>2.3500000000000001E-3</v>
      </c>
      <c r="AQ59" s="243">
        <f t="shared" si="48"/>
        <v>0.24073</v>
      </c>
      <c r="AR59" s="243"/>
      <c r="AS59" s="243"/>
      <c r="AT59" s="243">
        <f t="shared" si="49"/>
        <v>1E-3</v>
      </c>
      <c r="AU59" s="243">
        <f t="shared" si="50"/>
        <v>1.6000000000000001E-4</v>
      </c>
      <c r="AV59" s="243">
        <f t="shared" si="51"/>
        <v>1.16E-3</v>
      </c>
      <c r="AW59" s="246">
        <f>[32]Temporaries!Q59</f>
        <v>0</v>
      </c>
      <c r="AX59" s="246">
        <f>SUM([32]Temporaries!K59:M59)</f>
        <v>6.8499999999999993E-3</v>
      </c>
      <c r="AY59" s="246">
        <f>SUM([32]Temporaries!N59:O59)</f>
        <v>1.25E-3</v>
      </c>
      <c r="AZ59" s="245">
        <f>[32]Temporaries!R59</f>
        <v>8.7000000000000001E-4</v>
      </c>
      <c r="BA59" s="245">
        <f t="shared" si="52"/>
        <v>-0.16173000000000001</v>
      </c>
      <c r="BB59" s="255">
        <f>[32]Temporaries!P59</f>
        <v>-6.9999999999999994E-5</v>
      </c>
      <c r="BC59" s="245">
        <f>[32]Temporaries!S59</f>
        <v>0</v>
      </c>
      <c r="BD59" s="245">
        <f>[32]Temporaries!T59</f>
        <v>1.6000000000000001E-4</v>
      </c>
      <c r="BE59" s="245">
        <f>[32]Temporaries!U59</f>
        <v>2.3500000000000001E-3</v>
      </c>
      <c r="BF59" s="245">
        <v>0.24073</v>
      </c>
      <c r="BG59" s="245"/>
      <c r="BH59" s="244">
        <f t="shared" si="53"/>
        <v>0</v>
      </c>
      <c r="BI59" s="243">
        <f t="shared" si="54"/>
        <v>0.24516000000000002</v>
      </c>
      <c r="BJ59" s="243">
        <f t="shared" si="55"/>
        <v>7.0699999999999999E-2</v>
      </c>
    </row>
    <row r="60" spans="1:62" x14ac:dyDescent="0.35">
      <c r="A60" s="233">
        <f t="shared" si="28"/>
        <v>54</v>
      </c>
      <c r="B60" s="258"/>
      <c r="C60" s="260" t="s">
        <v>72</v>
      </c>
      <c r="D60" s="251">
        <v>8.3339999999999997E-2</v>
      </c>
      <c r="E60" s="251">
        <v>-0.16173000000000001</v>
      </c>
      <c r="F60" s="251">
        <f>+' Increments  equal ¢ per therm'!H60</f>
        <v>-0.14299000000000001</v>
      </c>
      <c r="G60" s="251">
        <f>+' Increments  equal ¢ per therm'!K60</f>
        <v>0</v>
      </c>
      <c r="H60" s="251">
        <f>+' Increments  equal ¢ per therm'!N60</f>
        <v>-3.1469999999999998E-2</v>
      </c>
      <c r="I60" s="251">
        <f t="shared" si="29"/>
        <v>-0.17446</v>
      </c>
      <c r="J60" s="251">
        <f t="shared" si="30"/>
        <v>-1.2729999999999991E-2</v>
      </c>
      <c r="K60" s="249">
        <f>+'[9]Allocation = % of margin'!P60</f>
        <v>2.6800000000000001E-3</v>
      </c>
      <c r="L60" s="249">
        <f>+'[9]Allocation = % of margin'!S60</f>
        <v>-3.0000000000000001E-5</v>
      </c>
      <c r="M60" s="249">
        <f>+'[9]Allocation = % of margin'!V60</f>
        <v>0</v>
      </c>
      <c r="N60" s="249">
        <f>+'[9]Allocation = % of margin'!Y60</f>
        <v>3.6999999999999999E-4</v>
      </c>
      <c r="O60" s="249">
        <f>+'[9]Allocation = % of margin'!AB60</f>
        <v>6.0000000000000002E-5</v>
      </c>
      <c r="P60" s="249">
        <f>'[9]Allocation = % of margin'!AE60</f>
        <v>0</v>
      </c>
      <c r="Q60" s="249">
        <f>' Increments  equal ¢ per therm'!Q60</f>
        <v>0</v>
      </c>
      <c r="R60" s="249">
        <f>'[9]Allocation = % of margin'!AH60</f>
        <v>3.5E-4</v>
      </c>
      <c r="S60" s="249">
        <f>' Increments  equal ¢ per therm'!T60</f>
        <v>0</v>
      </c>
      <c r="T60" s="249">
        <f>'[9]Allocation = % of revenue'!M60</f>
        <v>1.0000000000000001E-5</v>
      </c>
      <c r="U60" s="249">
        <f>'[9]Allocation = % of margin'!AK60</f>
        <v>8.8000000000000003E-4</v>
      </c>
      <c r="V60" s="249">
        <f>' Increments  equal ¢ per therm'!W60</f>
        <v>0.24073</v>
      </c>
      <c r="W60" s="249">
        <f t="shared" si="31"/>
        <v>7.0589999999999986E-2</v>
      </c>
      <c r="X60" s="249">
        <f t="shared" si="32"/>
        <v>-1.2750000000000011E-2</v>
      </c>
      <c r="Y60" s="243"/>
      <c r="Z60" s="248">
        <f t="shared" si="33"/>
        <v>6.7939999999999987E-2</v>
      </c>
      <c r="AA60" s="248">
        <f t="shared" si="34"/>
        <v>1.67E-3</v>
      </c>
      <c r="AB60" s="248">
        <f t="shared" si="35"/>
        <v>-0.14299000000000001</v>
      </c>
      <c r="AC60" s="248">
        <f t="shared" si="36"/>
        <v>-3.1469999999999998E-2</v>
      </c>
      <c r="AD60" s="248">
        <f t="shared" si="37"/>
        <v>0.24504999999999999</v>
      </c>
      <c r="AE60" s="248">
        <f t="shared" si="38"/>
        <v>7.0589999999999986E-2</v>
      </c>
      <c r="AF60" s="248">
        <f>[9]Permanents!G60</f>
        <v>2.316999999999993E-2</v>
      </c>
      <c r="AG60" s="247">
        <f t="shared" si="39"/>
        <v>0</v>
      </c>
      <c r="AH60" s="243">
        <f t="shared" si="40"/>
        <v>-0.17446</v>
      </c>
      <c r="AI60" s="243">
        <f t="shared" si="41"/>
        <v>0</v>
      </c>
      <c r="AJ60" s="243">
        <f t="shared" si="42"/>
        <v>3.5E-4</v>
      </c>
      <c r="AK60" s="243">
        <f t="shared" si="43"/>
        <v>0</v>
      </c>
      <c r="AL60" s="243">
        <f t="shared" si="44"/>
        <v>2.65E-3</v>
      </c>
      <c r="AM60" s="243">
        <f t="shared" si="45"/>
        <v>0</v>
      </c>
      <c r="AN60" s="243">
        <f t="shared" si="46"/>
        <v>1.0000000000000001E-5</v>
      </c>
      <c r="AO60" s="243">
        <f>[9]Permanents!F60</f>
        <v>0</v>
      </c>
      <c r="AP60" s="243">
        <f t="shared" si="47"/>
        <v>8.8000000000000003E-4</v>
      </c>
      <c r="AQ60" s="243">
        <f t="shared" si="48"/>
        <v>0.24073</v>
      </c>
      <c r="AR60" s="243"/>
      <c r="AS60" s="243"/>
      <c r="AT60" s="243">
        <f t="shared" si="49"/>
        <v>3.6999999999999999E-4</v>
      </c>
      <c r="AU60" s="243">
        <f t="shared" si="50"/>
        <v>6.0000000000000002E-5</v>
      </c>
      <c r="AV60" s="243">
        <f t="shared" si="51"/>
        <v>4.2999999999999999E-4</v>
      </c>
      <c r="AW60" s="246">
        <f>[32]Temporaries!Q60</f>
        <v>0</v>
      </c>
      <c r="AX60" s="246">
        <f>SUM([32]Temporaries!K60:M60)</f>
        <v>2.5600000000000002E-3</v>
      </c>
      <c r="AY60" s="246">
        <f>SUM([32]Temporaries!N60:O60)</f>
        <v>4.6000000000000001E-4</v>
      </c>
      <c r="AZ60" s="245">
        <f>[32]Temporaries!R60</f>
        <v>3.2000000000000003E-4</v>
      </c>
      <c r="BA60" s="245">
        <f t="shared" si="52"/>
        <v>-0.16173000000000001</v>
      </c>
      <c r="BB60" s="255">
        <f>[32]Temporaries!P60</f>
        <v>-3.0000000000000001E-5</v>
      </c>
      <c r="BC60" s="245">
        <f>[32]Temporaries!S60</f>
        <v>0</v>
      </c>
      <c r="BD60" s="245">
        <f>[32]Temporaries!T60</f>
        <v>1.4999999999999999E-4</v>
      </c>
      <c r="BE60" s="245">
        <f>[32]Temporaries!U60</f>
        <v>8.8000000000000003E-4</v>
      </c>
      <c r="BF60" s="245">
        <v>0.24073</v>
      </c>
      <c r="BG60" s="245"/>
      <c r="BH60" s="244">
        <f t="shared" si="53"/>
        <v>0</v>
      </c>
      <c r="BI60" s="243">
        <f t="shared" si="54"/>
        <v>0.2424</v>
      </c>
      <c r="BJ60" s="243">
        <f t="shared" si="55"/>
        <v>6.7939999999999987E-2</v>
      </c>
    </row>
    <row r="61" spans="1:62" x14ac:dyDescent="0.35">
      <c r="A61" s="233">
        <f t="shared" si="28"/>
        <v>55</v>
      </c>
      <c r="B61" s="233" t="s">
        <v>77</v>
      </c>
      <c r="C61" s="261" t="s">
        <v>61</v>
      </c>
      <c r="D61" s="259">
        <v>9.4369999999999982E-2</v>
      </c>
      <c r="E61" s="259">
        <v>-0.16173000000000001</v>
      </c>
      <c r="F61" s="259">
        <f>+' Increments  equal ¢ per therm'!H61</f>
        <v>-0.14299000000000001</v>
      </c>
      <c r="G61" s="259">
        <f>+' Increments  equal ¢ per therm'!K61</f>
        <v>0</v>
      </c>
      <c r="H61" s="259">
        <f>+' Increments  equal ¢ per therm'!N61</f>
        <v>-3.1469999999999998E-2</v>
      </c>
      <c r="I61" s="259">
        <f t="shared" si="29"/>
        <v>-0.17446</v>
      </c>
      <c r="J61" s="259">
        <f t="shared" si="30"/>
        <v>-1.2729999999999991E-2</v>
      </c>
      <c r="K61" s="243">
        <f>+'[9]Allocation = % of margin'!P61</f>
        <v>0</v>
      </c>
      <c r="L61" s="243">
        <f>+'[9]Allocation = % of margin'!S61</f>
        <v>0</v>
      </c>
      <c r="M61" s="243">
        <f>+'[9]Allocation = % of margin'!V61</f>
        <v>0</v>
      </c>
      <c r="N61" s="243">
        <f>+'[9]Allocation = % of margin'!Y61</f>
        <v>3.1900000000000001E-3</v>
      </c>
      <c r="O61" s="243">
        <f>+'[9]Allocation = % of margin'!AB61</f>
        <v>5.1999999999999995E-4</v>
      </c>
      <c r="P61" s="243">
        <f>'[9]Allocation = % of margin'!AE61</f>
        <v>-4.0000000000000003E-5</v>
      </c>
      <c r="Q61" s="243">
        <f>' Increments  equal ¢ per therm'!Q61</f>
        <v>0</v>
      </c>
      <c r="R61" s="243">
        <f>'[9]Allocation = % of margin'!AH61</f>
        <v>2.96E-3</v>
      </c>
      <c r="S61" s="243">
        <f>' Increments  equal ¢ per therm'!T61</f>
        <v>3.5E-4</v>
      </c>
      <c r="T61" s="243">
        <f>'[9]Allocation = % of revenue'!M61</f>
        <v>1.0000000000000001E-5</v>
      </c>
      <c r="U61" s="243">
        <f>'[9]Allocation = % of margin'!AK61</f>
        <v>7.6400000000000001E-3</v>
      </c>
      <c r="V61" s="243">
        <f>' Increments  equal ¢ per therm'!W61</f>
        <v>0.24073</v>
      </c>
      <c r="W61" s="243">
        <f t="shared" si="31"/>
        <v>8.0899999999999972E-2</v>
      </c>
      <c r="X61" s="243">
        <f t="shared" si="32"/>
        <v>-1.347000000000001E-2</v>
      </c>
      <c r="Y61" s="243"/>
      <c r="Z61" s="248">
        <f t="shared" si="33"/>
        <v>8.0899999999999972E-2</v>
      </c>
      <c r="AA61" s="248">
        <f t="shared" si="34"/>
        <v>1.4669999999999999E-2</v>
      </c>
      <c r="AB61" s="248">
        <f t="shared" si="35"/>
        <v>-0.14299000000000001</v>
      </c>
      <c r="AC61" s="248">
        <f t="shared" si="36"/>
        <v>-3.1469999999999998E-2</v>
      </c>
      <c r="AD61" s="248">
        <f t="shared" si="37"/>
        <v>0.25535999999999998</v>
      </c>
      <c r="AE61" s="248">
        <f t="shared" si="38"/>
        <v>8.0899999999999972E-2</v>
      </c>
      <c r="AF61" s="248">
        <f>[9]Permanents!G61</f>
        <v>0.16356999999999991</v>
      </c>
      <c r="AG61" s="247">
        <f t="shared" si="39"/>
        <v>0</v>
      </c>
      <c r="AH61" s="243">
        <f t="shared" si="40"/>
        <v>-0.17446</v>
      </c>
      <c r="AI61" s="243">
        <f t="shared" si="41"/>
        <v>0</v>
      </c>
      <c r="AJ61" s="243">
        <f t="shared" si="42"/>
        <v>2.96E-3</v>
      </c>
      <c r="AK61" s="243">
        <f t="shared" si="43"/>
        <v>3.5E-4</v>
      </c>
      <c r="AL61" s="243">
        <f t="shared" si="44"/>
        <v>0</v>
      </c>
      <c r="AM61" s="243">
        <f t="shared" si="45"/>
        <v>-4.0000000000000003E-5</v>
      </c>
      <c r="AN61" s="243">
        <f t="shared" si="46"/>
        <v>1.0000000000000001E-5</v>
      </c>
      <c r="AO61" s="243">
        <f>[9]Permanents!F61</f>
        <v>4.0000000000000003E-5</v>
      </c>
      <c r="AP61" s="243">
        <f t="shared" si="47"/>
        <v>7.6400000000000001E-3</v>
      </c>
      <c r="AQ61" s="243">
        <f t="shared" si="48"/>
        <v>0.24073</v>
      </c>
      <c r="AR61" s="243"/>
      <c r="AS61" s="243"/>
      <c r="AT61" s="243">
        <f t="shared" si="49"/>
        <v>3.1900000000000001E-3</v>
      </c>
      <c r="AU61" s="243">
        <f t="shared" si="50"/>
        <v>5.1999999999999995E-4</v>
      </c>
      <c r="AV61" s="243">
        <f t="shared" si="51"/>
        <v>3.7100000000000002E-3</v>
      </c>
      <c r="AW61" s="246">
        <f>[32]Temporaries!Q61</f>
        <v>0</v>
      </c>
      <c r="AX61" s="246">
        <f>SUM([32]Temporaries!K61:M61)</f>
        <v>0</v>
      </c>
      <c r="AY61" s="246">
        <f>SUM([32]Temporaries!N61:O61)</f>
        <v>4.0400000000000002E-3</v>
      </c>
      <c r="AZ61" s="245">
        <f>[32]Temporaries!R61</f>
        <v>2.81E-3</v>
      </c>
      <c r="BA61" s="245">
        <f t="shared" si="52"/>
        <v>-0.16173000000000001</v>
      </c>
      <c r="BB61" s="255">
        <f>[32]Temporaries!P61</f>
        <v>-2.2000000000000001E-4</v>
      </c>
      <c r="BC61" s="245">
        <f>[32]Temporaries!S61</f>
        <v>1.0300000000000001E-3</v>
      </c>
      <c r="BD61" s="245">
        <f>[32]Temporaries!T61</f>
        <v>6.9999999999999994E-5</v>
      </c>
      <c r="BE61" s="245">
        <f>[32]Temporaries!U61</f>
        <v>7.6400000000000001E-3</v>
      </c>
      <c r="BF61" s="245">
        <v>0.24073</v>
      </c>
      <c r="BG61" s="245"/>
      <c r="BH61" s="244">
        <f t="shared" si="53"/>
        <v>0</v>
      </c>
      <c r="BI61" s="243">
        <f t="shared" si="54"/>
        <v>0.25535999999999998</v>
      </c>
      <c r="BJ61" s="243">
        <f t="shared" si="55"/>
        <v>8.0899999999999972E-2</v>
      </c>
    </row>
    <row r="62" spans="1:62" x14ac:dyDescent="0.35">
      <c r="A62" s="233">
        <f t="shared" si="28"/>
        <v>56</v>
      </c>
      <c r="B62" s="233"/>
      <c r="C62" s="261" t="s">
        <v>62</v>
      </c>
      <c r="D62" s="259">
        <v>9.286999999999998E-2</v>
      </c>
      <c r="E62" s="259">
        <v>-0.16173000000000001</v>
      </c>
      <c r="F62" s="259">
        <f>+' Increments  equal ¢ per therm'!H62</f>
        <v>-0.14299000000000001</v>
      </c>
      <c r="G62" s="259">
        <f>+' Increments  equal ¢ per therm'!K62</f>
        <v>0</v>
      </c>
      <c r="H62" s="259">
        <f>+' Increments  equal ¢ per therm'!N62</f>
        <v>-3.1469999999999998E-2</v>
      </c>
      <c r="I62" s="259">
        <f t="shared" si="29"/>
        <v>-0.17446</v>
      </c>
      <c r="J62" s="259">
        <f t="shared" si="30"/>
        <v>-1.2729999999999991E-2</v>
      </c>
      <c r="K62" s="243">
        <f>+'[9]Allocation = % of margin'!P62</f>
        <v>0</v>
      </c>
      <c r="L62" s="243">
        <f>+'[9]Allocation = % of margin'!S62</f>
        <v>0</v>
      </c>
      <c r="M62" s="243">
        <f>+'[9]Allocation = % of margin'!V62</f>
        <v>0</v>
      </c>
      <c r="N62" s="243">
        <f>+'[9]Allocation = % of margin'!Y62</f>
        <v>2.8600000000000001E-3</v>
      </c>
      <c r="O62" s="243">
        <f>+'[9]Allocation = % of margin'!AB62</f>
        <v>4.6000000000000001E-4</v>
      </c>
      <c r="P62" s="243">
        <f>'[9]Allocation = % of margin'!AE62</f>
        <v>-3.0000000000000001E-5</v>
      </c>
      <c r="Q62" s="243">
        <f>' Increments  equal ¢ per therm'!Q62</f>
        <v>0</v>
      </c>
      <c r="R62" s="243">
        <f>'[9]Allocation = % of margin'!AH62</f>
        <v>2.65E-3</v>
      </c>
      <c r="S62" s="243">
        <f>' Increments  equal ¢ per therm'!T62</f>
        <v>3.5E-4</v>
      </c>
      <c r="T62" s="243">
        <f>'[9]Allocation = % of revenue'!M62</f>
        <v>0</v>
      </c>
      <c r="U62" s="243">
        <f>'[9]Allocation = % of margin'!AK62</f>
        <v>6.8300000000000001E-3</v>
      </c>
      <c r="V62" s="243">
        <f>' Increments  equal ¢ per therm'!W62</f>
        <v>0.24073</v>
      </c>
      <c r="W62" s="243">
        <f t="shared" si="31"/>
        <v>7.9390000000000016E-2</v>
      </c>
      <c r="X62" s="243">
        <f t="shared" si="32"/>
        <v>-1.3479999999999964E-2</v>
      </c>
      <c r="Y62" s="243"/>
      <c r="Z62" s="248">
        <f t="shared" si="33"/>
        <v>7.9390000000000016E-2</v>
      </c>
      <c r="AA62" s="248">
        <f t="shared" si="34"/>
        <v>1.3149999999999998E-2</v>
      </c>
      <c r="AB62" s="248">
        <f t="shared" si="35"/>
        <v>-0.14299000000000001</v>
      </c>
      <c r="AC62" s="248">
        <f t="shared" si="36"/>
        <v>-3.1469999999999998E-2</v>
      </c>
      <c r="AD62" s="248">
        <f t="shared" si="37"/>
        <v>0.25385000000000002</v>
      </c>
      <c r="AE62" s="248">
        <f t="shared" si="38"/>
        <v>7.9390000000000016E-2</v>
      </c>
      <c r="AF62" s="248">
        <f>[9]Permanents!G62</f>
        <v>0.14641999999999997</v>
      </c>
      <c r="AG62" s="247">
        <f t="shared" si="39"/>
        <v>0</v>
      </c>
      <c r="AH62" s="243">
        <f t="shared" si="40"/>
        <v>-0.17446</v>
      </c>
      <c r="AI62" s="243">
        <f t="shared" si="41"/>
        <v>0</v>
      </c>
      <c r="AJ62" s="243">
        <f t="shared" si="42"/>
        <v>2.65E-3</v>
      </c>
      <c r="AK62" s="243">
        <f t="shared" si="43"/>
        <v>3.5E-4</v>
      </c>
      <c r="AL62" s="243">
        <f t="shared" si="44"/>
        <v>0</v>
      </c>
      <c r="AM62" s="243">
        <f t="shared" si="45"/>
        <v>-3.0000000000000001E-5</v>
      </c>
      <c r="AN62" s="243">
        <f t="shared" si="46"/>
        <v>0</v>
      </c>
      <c r="AO62" s="243">
        <f>[9]Permanents!F62</f>
        <v>4.0000000000000003E-5</v>
      </c>
      <c r="AP62" s="243">
        <f t="shared" si="47"/>
        <v>6.8300000000000001E-3</v>
      </c>
      <c r="AQ62" s="243">
        <f t="shared" si="48"/>
        <v>0.24073</v>
      </c>
      <c r="AR62" s="243"/>
      <c r="AS62" s="243"/>
      <c r="AT62" s="243">
        <f t="shared" si="49"/>
        <v>2.8600000000000001E-3</v>
      </c>
      <c r="AU62" s="243">
        <f t="shared" si="50"/>
        <v>4.6000000000000001E-4</v>
      </c>
      <c r="AV62" s="243">
        <f t="shared" si="51"/>
        <v>3.32E-3</v>
      </c>
      <c r="AW62" s="246">
        <f>[32]Temporaries!Q62</f>
        <v>0</v>
      </c>
      <c r="AX62" s="246">
        <f>SUM([32]Temporaries!K62:M62)</f>
        <v>0</v>
      </c>
      <c r="AY62" s="246">
        <f>SUM([32]Temporaries!N62:O62)</f>
        <v>3.62E-3</v>
      </c>
      <c r="AZ62" s="245">
        <f>[32]Temporaries!R62</f>
        <v>2.5200000000000001E-3</v>
      </c>
      <c r="BA62" s="245">
        <f t="shared" si="52"/>
        <v>-0.16173000000000001</v>
      </c>
      <c r="BB62" s="255">
        <f>[32]Temporaries!P62</f>
        <v>-2.0000000000000001E-4</v>
      </c>
      <c r="BC62" s="245">
        <f>[32]Temporaries!S62</f>
        <v>1.0300000000000001E-3</v>
      </c>
      <c r="BD62" s="245">
        <f>[32]Temporaries!T62</f>
        <v>6.9999999999999994E-5</v>
      </c>
      <c r="BE62" s="245">
        <f>[32]Temporaries!U62</f>
        <v>6.8300000000000001E-3</v>
      </c>
      <c r="BF62" s="245">
        <v>0.24073</v>
      </c>
      <c r="BG62" s="245"/>
      <c r="BH62" s="244">
        <f t="shared" si="53"/>
        <v>0</v>
      </c>
      <c r="BI62" s="243">
        <f t="shared" si="54"/>
        <v>0.25385000000000002</v>
      </c>
      <c r="BJ62" s="243">
        <f t="shared" si="55"/>
        <v>7.9390000000000016E-2</v>
      </c>
    </row>
    <row r="63" spans="1:62" x14ac:dyDescent="0.35">
      <c r="A63" s="233">
        <f t="shared" si="28"/>
        <v>57</v>
      </c>
      <c r="B63" s="233"/>
      <c r="C63" s="261" t="s">
        <v>69</v>
      </c>
      <c r="D63" s="259">
        <v>8.9900000000000008E-2</v>
      </c>
      <c r="E63" s="259">
        <v>-0.16173000000000001</v>
      </c>
      <c r="F63" s="259">
        <f>+' Increments  equal ¢ per therm'!H63</f>
        <v>-0.14299000000000001</v>
      </c>
      <c r="G63" s="259">
        <f>+' Increments  equal ¢ per therm'!K63</f>
        <v>0</v>
      </c>
      <c r="H63" s="259">
        <f>+' Increments  equal ¢ per therm'!N63</f>
        <v>-3.1469999999999998E-2</v>
      </c>
      <c r="I63" s="259">
        <f t="shared" si="29"/>
        <v>-0.17446</v>
      </c>
      <c r="J63" s="259">
        <f t="shared" si="30"/>
        <v>-1.2729999999999991E-2</v>
      </c>
      <c r="K63" s="243">
        <f>+'[9]Allocation = % of margin'!P63</f>
        <v>0</v>
      </c>
      <c r="L63" s="243">
        <f>+'[9]Allocation = % of margin'!S63</f>
        <v>0</v>
      </c>
      <c r="M63" s="243">
        <f>+'[9]Allocation = % of margin'!V63</f>
        <v>0</v>
      </c>
      <c r="N63" s="243">
        <f>+'[9]Allocation = % of margin'!Y63</f>
        <v>2.1900000000000001E-3</v>
      </c>
      <c r="O63" s="243">
        <f>+'[9]Allocation = % of margin'!AB63</f>
        <v>3.5E-4</v>
      </c>
      <c r="P63" s="243">
        <f>'[9]Allocation = % of margin'!AE63</f>
        <v>-2.0000000000000002E-5</v>
      </c>
      <c r="Q63" s="243">
        <f>' Increments  equal ¢ per therm'!Q63</f>
        <v>0</v>
      </c>
      <c r="R63" s="243">
        <f>'[9]Allocation = % of margin'!AH63</f>
        <v>2.0300000000000001E-3</v>
      </c>
      <c r="S63" s="243">
        <f>' Increments  equal ¢ per therm'!T63</f>
        <v>3.5E-4</v>
      </c>
      <c r="T63" s="243">
        <f>'[9]Allocation = % of revenue'!M63</f>
        <v>0</v>
      </c>
      <c r="U63" s="243">
        <f>'[9]Allocation = % of margin'!AK63</f>
        <v>5.2399999999999999E-3</v>
      </c>
      <c r="V63" s="243">
        <f>' Increments  equal ¢ per therm'!W63</f>
        <v>0.24073</v>
      </c>
      <c r="W63" s="243">
        <f t="shared" si="31"/>
        <v>7.6409999999999978E-2</v>
      </c>
      <c r="X63" s="243">
        <f t="shared" si="32"/>
        <v>-1.349000000000003E-2</v>
      </c>
      <c r="Y63" s="243"/>
      <c r="Z63" s="248">
        <f t="shared" si="33"/>
        <v>7.6409999999999978E-2</v>
      </c>
      <c r="AA63" s="248">
        <f t="shared" si="34"/>
        <v>1.0159999999999999E-2</v>
      </c>
      <c r="AB63" s="248">
        <f t="shared" si="35"/>
        <v>-0.14299000000000001</v>
      </c>
      <c r="AC63" s="248">
        <f t="shared" si="36"/>
        <v>-3.1469999999999998E-2</v>
      </c>
      <c r="AD63" s="248">
        <f t="shared" si="37"/>
        <v>0.25086999999999998</v>
      </c>
      <c r="AE63" s="248">
        <f t="shared" si="38"/>
        <v>7.6409999999999978E-2</v>
      </c>
      <c r="AF63" s="248">
        <f>[9]Permanents!G63</f>
        <v>0.11228000000000012</v>
      </c>
      <c r="AG63" s="247">
        <f t="shared" si="39"/>
        <v>0</v>
      </c>
      <c r="AH63" s="243">
        <f t="shared" si="40"/>
        <v>-0.17446</v>
      </c>
      <c r="AI63" s="243">
        <f t="shared" si="41"/>
        <v>0</v>
      </c>
      <c r="AJ63" s="243">
        <f t="shared" si="42"/>
        <v>2.0300000000000001E-3</v>
      </c>
      <c r="AK63" s="243">
        <f t="shared" si="43"/>
        <v>3.5E-4</v>
      </c>
      <c r="AL63" s="243">
        <f t="shared" si="44"/>
        <v>0</v>
      </c>
      <c r="AM63" s="243">
        <f t="shared" si="45"/>
        <v>-2.0000000000000002E-5</v>
      </c>
      <c r="AN63" s="243">
        <f t="shared" si="46"/>
        <v>0</v>
      </c>
      <c r="AO63" s="243">
        <f>[9]Permanents!F63</f>
        <v>3.0000000000000001E-5</v>
      </c>
      <c r="AP63" s="243">
        <f t="shared" si="47"/>
        <v>5.2399999999999999E-3</v>
      </c>
      <c r="AQ63" s="243">
        <f t="shared" si="48"/>
        <v>0.24073</v>
      </c>
      <c r="AR63" s="243"/>
      <c r="AS63" s="243"/>
      <c r="AT63" s="243">
        <f t="shared" si="49"/>
        <v>2.1900000000000001E-3</v>
      </c>
      <c r="AU63" s="243">
        <f t="shared" si="50"/>
        <v>3.5E-4</v>
      </c>
      <c r="AV63" s="243">
        <f t="shared" si="51"/>
        <v>2.5400000000000002E-3</v>
      </c>
      <c r="AW63" s="246">
        <f>[32]Temporaries!Q63</f>
        <v>0</v>
      </c>
      <c r="AX63" s="246">
        <f>SUM([32]Temporaries!K63:M63)</f>
        <v>0</v>
      </c>
      <c r="AY63" s="246">
        <f>SUM([32]Temporaries!N63:O63)</f>
        <v>2.7799999999999999E-3</v>
      </c>
      <c r="AZ63" s="245">
        <f>[32]Temporaries!R63</f>
        <v>1.9300000000000001E-3</v>
      </c>
      <c r="BA63" s="245">
        <f t="shared" si="52"/>
        <v>-0.16173000000000001</v>
      </c>
      <c r="BB63" s="255">
        <f>[32]Temporaries!P63</f>
        <v>-1.4999999999999999E-4</v>
      </c>
      <c r="BC63" s="245">
        <f>[32]Temporaries!S63</f>
        <v>1.0300000000000001E-3</v>
      </c>
      <c r="BD63" s="245">
        <f>[32]Temporaries!T63</f>
        <v>6.9999999999999994E-5</v>
      </c>
      <c r="BE63" s="245">
        <f>[32]Temporaries!U63</f>
        <v>5.2399999999999999E-3</v>
      </c>
      <c r="BF63" s="245">
        <v>0.24073</v>
      </c>
      <c r="BG63" s="245"/>
      <c r="BH63" s="244">
        <f t="shared" si="53"/>
        <v>0</v>
      </c>
      <c r="BI63" s="243">
        <f t="shared" si="54"/>
        <v>0.25086999999999998</v>
      </c>
      <c r="BJ63" s="243">
        <f t="shared" si="55"/>
        <v>7.6409999999999978E-2</v>
      </c>
    </row>
    <row r="64" spans="1:62" x14ac:dyDescent="0.35">
      <c r="A64" s="233">
        <f t="shared" si="28"/>
        <v>58</v>
      </c>
      <c r="B64" s="233"/>
      <c r="C64" s="261" t="s">
        <v>70</v>
      </c>
      <c r="D64" s="259">
        <v>8.792999999999998E-2</v>
      </c>
      <c r="E64" s="259">
        <v>-0.16173000000000001</v>
      </c>
      <c r="F64" s="259">
        <f>+' Increments  equal ¢ per therm'!H64</f>
        <v>-0.14299000000000001</v>
      </c>
      <c r="G64" s="259">
        <f>+' Increments  equal ¢ per therm'!K64</f>
        <v>0</v>
      </c>
      <c r="H64" s="259">
        <f>+' Increments  equal ¢ per therm'!N64</f>
        <v>-3.1469999999999998E-2</v>
      </c>
      <c r="I64" s="259">
        <f t="shared" si="29"/>
        <v>-0.17446</v>
      </c>
      <c r="J64" s="259">
        <f t="shared" si="30"/>
        <v>-1.2729999999999991E-2</v>
      </c>
      <c r="K64" s="243">
        <f>+'[9]Allocation = % of margin'!P64</f>
        <v>0</v>
      </c>
      <c r="L64" s="243">
        <f>+'[9]Allocation = % of margin'!S64</f>
        <v>0</v>
      </c>
      <c r="M64" s="243">
        <f>+'[9]Allocation = % of margin'!V64</f>
        <v>0</v>
      </c>
      <c r="N64" s="243">
        <f>+'[9]Allocation = % of margin'!Y64</f>
        <v>1.75E-3</v>
      </c>
      <c r="O64" s="243">
        <f>+'[9]Allocation = % of margin'!AB64</f>
        <v>2.7999999999999998E-4</v>
      </c>
      <c r="P64" s="243">
        <f>'[9]Allocation = % of margin'!AE64</f>
        <v>-2.0000000000000002E-5</v>
      </c>
      <c r="Q64" s="243">
        <f>' Increments  equal ¢ per therm'!Q64</f>
        <v>0</v>
      </c>
      <c r="R64" s="243">
        <f>'[9]Allocation = % of margin'!AH64</f>
        <v>1.6299999999999999E-3</v>
      </c>
      <c r="S64" s="243">
        <f>' Increments  equal ¢ per therm'!T64</f>
        <v>3.5E-4</v>
      </c>
      <c r="T64" s="243">
        <f>'[9]Allocation = % of revenue'!M64</f>
        <v>0</v>
      </c>
      <c r="U64" s="243">
        <f>'[9]Allocation = % of margin'!AK64</f>
        <v>4.1900000000000001E-3</v>
      </c>
      <c r="V64" s="243">
        <f>' Increments  equal ¢ per therm'!W64</f>
        <v>0.24073</v>
      </c>
      <c r="W64" s="243">
        <f t="shared" si="31"/>
        <v>7.4449999999999988E-2</v>
      </c>
      <c r="X64" s="243">
        <f t="shared" si="32"/>
        <v>-1.3479999999999992E-2</v>
      </c>
      <c r="Y64" s="243"/>
      <c r="Z64" s="248">
        <f t="shared" si="33"/>
        <v>7.4449999999999988E-2</v>
      </c>
      <c r="AA64" s="248">
        <f t="shared" si="34"/>
        <v>8.199999999999999E-3</v>
      </c>
      <c r="AB64" s="248">
        <f t="shared" si="35"/>
        <v>-0.14299000000000001</v>
      </c>
      <c r="AC64" s="248">
        <f t="shared" si="36"/>
        <v>-3.1469999999999998E-2</v>
      </c>
      <c r="AD64" s="248">
        <f t="shared" si="37"/>
        <v>0.24890999999999999</v>
      </c>
      <c r="AE64" s="248">
        <f t="shared" si="38"/>
        <v>7.4449999999999988E-2</v>
      </c>
      <c r="AF64" s="248">
        <f>[9]Permanents!G64</f>
        <v>8.9829999999999688E-2</v>
      </c>
      <c r="AG64" s="247">
        <f t="shared" si="39"/>
        <v>0</v>
      </c>
      <c r="AH64" s="243">
        <f t="shared" si="40"/>
        <v>-0.17446</v>
      </c>
      <c r="AI64" s="243">
        <f t="shared" si="41"/>
        <v>0</v>
      </c>
      <c r="AJ64" s="243">
        <f t="shared" si="42"/>
        <v>1.6299999999999999E-3</v>
      </c>
      <c r="AK64" s="243">
        <f t="shared" si="43"/>
        <v>3.5E-4</v>
      </c>
      <c r="AL64" s="243">
        <f t="shared" si="44"/>
        <v>0</v>
      </c>
      <c r="AM64" s="243">
        <f t="shared" si="45"/>
        <v>-2.0000000000000002E-5</v>
      </c>
      <c r="AN64" s="243">
        <f t="shared" si="46"/>
        <v>0</v>
      </c>
      <c r="AO64" s="243">
        <f>[9]Permanents!F64</f>
        <v>2.0000000000000002E-5</v>
      </c>
      <c r="AP64" s="243">
        <f t="shared" si="47"/>
        <v>4.1900000000000001E-3</v>
      </c>
      <c r="AQ64" s="243">
        <f t="shared" si="48"/>
        <v>0.24073</v>
      </c>
      <c r="AR64" s="243"/>
      <c r="AS64" s="243"/>
      <c r="AT64" s="243">
        <f t="shared" si="49"/>
        <v>1.75E-3</v>
      </c>
      <c r="AU64" s="243">
        <f t="shared" si="50"/>
        <v>2.7999999999999998E-4</v>
      </c>
      <c r="AV64" s="243">
        <f t="shared" si="51"/>
        <v>2.0300000000000001E-3</v>
      </c>
      <c r="AW64" s="246">
        <f>[32]Temporaries!Q64</f>
        <v>0</v>
      </c>
      <c r="AX64" s="246">
        <f>SUM([32]Temporaries!K64:M64)</f>
        <v>0</v>
      </c>
      <c r="AY64" s="246">
        <f>SUM([32]Temporaries!N64:O64)</f>
        <v>2.2199999999999998E-3</v>
      </c>
      <c r="AZ64" s="245">
        <f>[32]Temporaries!R64</f>
        <v>1.5399999999999999E-3</v>
      </c>
      <c r="BA64" s="245">
        <f t="shared" si="52"/>
        <v>-0.16173000000000001</v>
      </c>
      <c r="BB64" s="255">
        <f>[32]Temporaries!P64</f>
        <v>-1.2E-4</v>
      </c>
      <c r="BC64" s="245">
        <f>[32]Temporaries!S64</f>
        <v>1.0300000000000001E-3</v>
      </c>
      <c r="BD64" s="245">
        <f>[32]Temporaries!T64</f>
        <v>6.9999999999999994E-5</v>
      </c>
      <c r="BE64" s="245">
        <f>[32]Temporaries!U64</f>
        <v>4.1900000000000001E-3</v>
      </c>
      <c r="BF64" s="245">
        <v>0.24073</v>
      </c>
      <c r="BG64" s="245"/>
      <c r="BH64" s="244">
        <f t="shared" si="53"/>
        <v>0</v>
      </c>
      <c r="BI64" s="243">
        <f t="shared" si="54"/>
        <v>0.24890999999999999</v>
      </c>
      <c r="BJ64" s="243">
        <f t="shared" si="55"/>
        <v>7.4449999999999988E-2</v>
      </c>
    </row>
    <row r="65" spans="1:62" x14ac:dyDescent="0.35">
      <c r="A65" s="233">
        <f t="shared" si="28"/>
        <v>59</v>
      </c>
      <c r="B65" s="233"/>
      <c r="C65" s="261" t="s">
        <v>71</v>
      </c>
      <c r="D65" s="259">
        <v>8.5309999999999997E-2</v>
      </c>
      <c r="E65" s="259">
        <v>-0.16173000000000001</v>
      </c>
      <c r="F65" s="259">
        <f>+' Increments  equal ¢ per therm'!H65</f>
        <v>-0.14299000000000001</v>
      </c>
      <c r="G65" s="259">
        <f>+' Increments  equal ¢ per therm'!K65</f>
        <v>0</v>
      </c>
      <c r="H65" s="259">
        <f>+' Increments  equal ¢ per therm'!N65</f>
        <v>-3.1469999999999998E-2</v>
      </c>
      <c r="I65" s="259">
        <f t="shared" si="29"/>
        <v>-0.17446</v>
      </c>
      <c r="J65" s="259">
        <f t="shared" si="30"/>
        <v>-1.2729999999999991E-2</v>
      </c>
      <c r="K65" s="243">
        <f>+'[9]Allocation = % of margin'!P65</f>
        <v>0</v>
      </c>
      <c r="L65" s="243">
        <f>+'[9]Allocation = % of margin'!S65</f>
        <v>0</v>
      </c>
      <c r="M65" s="243">
        <f>+'[9]Allocation = % of margin'!V65</f>
        <v>0</v>
      </c>
      <c r="N65" s="243">
        <f>+'[9]Allocation = % of margin'!Y65</f>
        <v>1.17E-3</v>
      </c>
      <c r="O65" s="243">
        <f>+'[9]Allocation = % of margin'!AB65</f>
        <v>1.9000000000000001E-4</v>
      </c>
      <c r="P65" s="243">
        <f>'[9]Allocation = % of margin'!AE65</f>
        <v>-1.0000000000000001E-5</v>
      </c>
      <c r="Q65" s="243">
        <f>' Increments  equal ¢ per therm'!Q65</f>
        <v>0</v>
      </c>
      <c r="R65" s="243">
        <f>'[9]Allocation = % of margin'!AH65</f>
        <v>1.08E-3</v>
      </c>
      <c r="S65" s="243">
        <f>' Increments  equal ¢ per therm'!T65</f>
        <v>3.5E-4</v>
      </c>
      <c r="T65" s="243">
        <f>'[9]Allocation = % of revenue'!M65</f>
        <v>0</v>
      </c>
      <c r="U65" s="243">
        <f>'[9]Allocation = % of margin'!AK65</f>
        <v>2.7899999999999999E-3</v>
      </c>
      <c r="V65" s="243">
        <f>' Increments  equal ¢ per therm'!W65</f>
        <v>0.24073</v>
      </c>
      <c r="W65" s="243">
        <f t="shared" si="31"/>
        <v>7.1839999999999987E-2</v>
      </c>
      <c r="X65" s="243">
        <f t="shared" si="32"/>
        <v>-1.347000000000001E-2</v>
      </c>
      <c r="Y65" s="243"/>
      <c r="Z65" s="248">
        <f t="shared" si="33"/>
        <v>7.1839999999999987E-2</v>
      </c>
      <c r="AA65" s="248">
        <f t="shared" si="34"/>
        <v>5.5799999999999999E-3</v>
      </c>
      <c r="AB65" s="248">
        <f t="shared" si="35"/>
        <v>-0.14299000000000001</v>
      </c>
      <c r="AC65" s="248">
        <f t="shared" si="36"/>
        <v>-3.1469999999999998E-2</v>
      </c>
      <c r="AD65" s="248">
        <f t="shared" si="37"/>
        <v>0.24629999999999999</v>
      </c>
      <c r="AE65" s="248">
        <f t="shared" si="38"/>
        <v>7.1839999999999987E-2</v>
      </c>
      <c r="AF65" s="248">
        <f>[9]Permanents!G65</f>
        <v>5.9870000000000007E-2</v>
      </c>
      <c r="AG65" s="247">
        <f t="shared" si="39"/>
        <v>0</v>
      </c>
      <c r="AH65" s="243">
        <f t="shared" si="40"/>
        <v>-0.17446</v>
      </c>
      <c r="AI65" s="243">
        <f t="shared" si="41"/>
        <v>0</v>
      </c>
      <c r="AJ65" s="243">
        <f t="shared" si="42"/>
        <v>1.08E-3</v>
      </c>
      <c r="AK65" s="243">
        <f t="shared" si="43"/>
        <v>3.5E-4</v>
      </c>
      <c r="AL65" s="243">
        <f t="shared" si="44"/>
        <v>0</v>
      </c>
      <c r="AM65" s="243">
        <f t="shared" si="45"/>
        <v>-1.0000000000000001E-5</v>
      </c>
      <c r="AN65" s="243">
        <f t="shared" si="46"/>
        <v>0</v>
      </c>
      <c r="AO65" s="243">
        <f>[9]Permanents!F65</f>
        <v>1.0000000000000001E-5</v>
      </c>
      <c r="AP65" s="243">
        <f t="shared" si="47"/>
        <v>2.7899999999999999E-3</v>
      </c>
      <c r="AQ65" s="243">
        <f t="shared" si="48"/>
        <v>0.24073</v>
      </c>
      <c r="AR65" s="243"/>
      <c r="AS65" s="243"/>
      <c r="AT65" s="243">
        <f t="shared" si="49"/>
        <v>1.17E-3</v>
      </c>
      <c r="AU65" s="243">
        <f t="shared" si="50"/>
        <v>1.9000000000000001E-4</v>
      </c>
      <c r="AV65" s="243">
        <f t="shared" si="51"/>
        <v>1.3600000000000001E-3</v>
      </c>
      <c r="AW65" s="246">
        <f>[32]Temporaries!Q65</f>
        <v>0</v>
      </c>
      <c r="AX65" s="246">
        <f>SUM([32]Temporaries!K65:M65)</f>
        <v>0</v>
      </c>
      <c r="AY65" s="246">
        <f>SUM([32]Temporaries!N65:O65)</f>
        <v>1.47E-3</v>
      </c>
      <c r="AZ65" s="245">
        <f>[32]Temporaries!R65</f>
        <v>1.0300000000000001E-3</v>
      </c>
      <c r="BA65" s="245">
        <f t="shared" si="52"/>
        <v>-0.16173000000000001</v>
      </c>
      <c r="BB65" s="255">
        <f>[32]Temporaries!P65</f>
        <v>-8.0000000000000007E-5</v>
      </c>
      <c r="BC65" s="245">
        <f>[32]Temporaries!S65</f>
        <v>1.0300000000000001E-3</v>
      </c>
      <c r="BD65" s="245">
        <f>[32]Temporaries!T65</f>
        <v>6.9999999999999994E-5</v>
      </c>
      <c r="BE65" s="245">
        <f>[32]Temporaries!U65</f>
        <v>2.7899999999999999E-3</v>
      </c>
      <c r="BF65" s="245">
        <v>0.24073</v>
      </c>
      <c r="BG65" s="245"/>
      <c r="BH65" s="244">
        <f t="shared" si="53"/>
        <v>0</v>
      </c>
      <c r="BI65" s="243">
        <f t="shared" si="54"/>
        <v>0.24629999999999999</v>
      </c>
      <c r="BJ65" s="243">
        <f t="shared" si="55"/>
        <v>7.1839999999999987E-2</v>
      </c>
    </row>
    <row r="66" spans="1:62" x14ac:dyDescent="0.35">
      <c r="A66" s="233">
        <f t="shared" si="28"/>
        <v>60</v>
      </c>
      <c r="B66" s="258"/>
      <c r="C66" s="260" t="s">
        <v>72</v>
      </c>
      <c r="D66" s="251">
        <v>8.2059999999999994E-2</v>
      </c>
      <c r="E66" s="251">
        <v>-0.16173000000000001</v>
      </c>
      <c r="F66" s="251">
        <f>+' Increments  equal ¢ per therm'!H66</f>
        <v>-0.14299000000000001</v>
      </c>
      <c r="G66" s="251">
        <f>+' Increments  equal ¢ per therm'!K66</f>
        <v>0</v>
      </c>
      <c r="H66" s="251">
        <f>+' Increments  equal ¢ per therm'!N66</f>
        <v>-3.1469999999999998E-2</v>
      </c>
      <c r="I66" s="251">
        <f t="shared" si="29"/>
        <v>-0.17446</v>
      </c>
      <c r="J66" s="251">
        <f t="shared" si="30"/>
        <v>-1.2729999999999991E-2</v>
      </c>
      <c r="K66" s="249">
        <f>+'[9]Allocation = % of margin'!P66</f>
        <v>0</v>
      </c>
      <c r="L66" s="249">
        <f>+'[9]Allocation = % of margin'!S66</f>
        <v>0</v>
      </c>
      <c r="M66" s="249">
        <f>+'[9]Allocation = % of margin'!V66</f>
        <v>0</v>
      </c>
      <c r="N66" s="249">
        <f>+'[9]Allocation = % of margin'!Y66</f>
        <v>4.4000000000000002E-4</v>
      </c>
      <c r="O66" s="249">
        <f>+'[9]Allocation = % of margin'!AB66</f>
        <v>6.9999999999999994E-5</v>
      </c>
      <c r="P66" s="249">
        <f>'[9]Allocation = % of margin'!AE66</f>
        <v>0</v>
      </c>
      <c r="Q66" s="249">
        <f>' Increments  equal ¢ per therm'!Q66</f>
        <v>0</v>
      </c>
      <c r="R66" s="249">
        <f>'[9]Allocation = % of margin'!AH66</f>
        <v>4.0999999999999999E-4</v>
      </c>
      <c r="S66" s="249">
        <f>' Increments  equal ¢ per therm'!T66</f>
        <v>3.5E-4</v>
      </c>
      <c r="T66" s="249">
        <f>'[9]Allocation = % of revenue'!M66</f>
        <v>0</v>
      </c>
      <c r="U66" s="249">
        <f>'[9]Allocation = % of margin'!AK66</f>
        <v>1.0499999999999999E-3</v>
      </c>
      <c r="V66" s="249">
        <f>' Increments  equal ¢ per therm'!W66</f>
        <v>0.24073</v>
      </c>
      <c r="W66" s="249">
        <f t="shared" si="31"/>
        <v>6.8589999999999984E-2</v>
      </c>
      <c r="X66" s="249">
        <f t="shared" si="32"/>
        <v>-1.347000000000001E-2</v>
      </c>
      <c r="Y66" s="243"/>
      <c r="Z66" s="248">
        <f t="shared" si="33"/>
        <v>6.8589999999999984E-2</v>
      </c>
      <c r="AA66" s="248">
        <f t="shared" si="34"/>
        <v>2.32E-3</v>
      </c>
      <c r="AB66" s="248">
        <f t="shared" si="35"/>
        <v>-0.14299000000000001</v>
      </c>
      <c r="AC66" s="248">
        <f t="shared" si="36"/>
        <v>-3.1469999999999998E-2</v>
      </c>
      <c r="AD66" s="248">
        <f t="shared" si="37"/>
        <v>0.24304999999999999</v>
      </c>
      <c r="AE66" s="248">
        <f t="shared" si="38"/>
        <v>6.8589999999999984E-2</v>
      </c>
      <c r="AF66" s="248">
        <f>[9]Permanents!G66</f>
        <v>2.2449999999999973E-2</v>
      </c>
      <c r="AG66" s="247">
        <f t="shared" si="39"/>
        <v>0</v>
      </c>
      <c r="AH66" s="243">
        <f t="shared" si="40"/>
        <v>-0.17446</v>
      </c>
      <c r="AI66" s="243">
        <f t="shared" si="41"/>
        <v>0</v>
      </c>
      <c r="AJ66" s="243">
        <f t="shared" si="42"/>
        <v>4.0999999999999999E-4</v>
      </c>
      <c r="AK66" s="243">
        <f t="shared" si="43"/>
        <v>3.5E-4</v>
      </c>
      <c r="AL66" s="243">
        <f t="shared" si="44"/>
        <v>0</v>
      </c>
      <c r="AM66" s="243">
        <f t="shared" si="45"/>
        <v>0</v>
      </c>
      <c r="AN66" s="243">
        <f t="shared" si="46"/>
        <v>0</v>
      </c>
      <c r="AO66" s="243">
        <f>[9]Permanents!F66</f>
        <v>1.0000000000000001E-5</v>
      </c>
      <c r="AP66" s="243">
        <f t="shared" si="47"/>
        <v>1.0499999999999999E-3</v>
      </c>
      <c r="AQ66" s="243">
        <f t="shared" si="48"/>
        <v>0.24073</v>
      </c>
      <c r="AR66" s="243"/>
      <c r="AS66" s="243"/>
      <c r="AT66" s="243">
        <f t="shared" si="49"/>
        <v>4.4000000000000002E-4</v>
      </c>
      <c r="AU66" s="243">
        <f t="shared" si="50"/>
        <v>6.9999999999999994E-5</v>
      </c>
      <c r="AV66" s="243">
        <f t="shared" si="51"/>
        <v>5.1000000000000004E-4</v>
      </c>
      <c r="AW66" s="246">
        <f>[32]Temporaries!Q66</f>
        <v>0</v>
      </c>
      <c r="AX66" s="246">
        <f>SUM([32]Temporaries!K66:M66)</f>
        <v>0</v>
      </c>
      <c r="AY66" s="246">
        <f>SUM([32]Temporaries!N66:O66)</f>
        <v>5.5999999999999995E-4</v>
      </c>
      <c r="AZ66" s="245">
        <f>[32]Temporaries!R66</f>
        <v>3.8999999999999999E-4</v>
      </c>
      <c r="BA66" s="245">
        <f t="shared" si="52"/>
        <v>-0.16173000000000001</v>
      </c>
      <c r="BB66" s="255">
        <f>[32]Temporaries!P66</f>
        <v>-3.0000000000000001E-5</v>
      </c>
      <c r="BC66" s="245">
        <f>[32]Temporaries!S66</f>
        <v>1.0300000000000001E-3</v>
      </c>
      <c r="BD66" s="245">
        <f>[32]Temporaries!T66</f>
        <v>6.0000000000000002E-5</v>
      </c>
      <c r="BE66" s="245">
        <f>[32]Temporaries!U66</f>
        <v>1.0499999999999999E-3</v>
      </c>
      <c r="BF66" s="245">
        <v>0.24073</v>
      </c>
      <c r="BG66" s="245"/>
      <c r="BH66" s="244">
        <f t="shared" si="53"/>
        <v>0</v>
      </c>
      <c r="BI66" s="243">
        <f t="shared" si="54"/>
        <v>0.24304999999999999</v>
      </c>
      <c r="BJ66" s="243">
        <f t="shared" si="55"/>
        <v>6.8589999999999984E-2</v>
      </c>
    </row>
    <row r="67" spans="1:62" x14ac:dyDescent="0.35">
      <c r="A67" s="233">
        <f t="shared" si="28"/>
        <v>61</v>
      </c>
      <c r="B67" s="233" t="s">
        <v>78</v>
      </c>
      <c r="C67" s="261" t="s">
        <v>61</v>
      </c>
      <c r="D67" s="259">
        <v>0.24907000000000001</v>
      </c>
      <c r="E67" s="259">
        <v>0</v>
      </c>
      <c r="F67" s="259">
        <f>+' Increments  equal ¢ per therm'!H67</f>
        <v>0</v>
      </c>
      <c r="G67" s="259">
        <f>+' Increments  equal ¢ per therm'!K67</f>
        <v>0</v>
      </c>
      <c r="H67" s="259">
        <f>+' Increments  equal ¢ per therm'!N67</f>
        <v>0</v>
      </c>
      <c r="I67" s="259">
        <f t="shared" si="29"/>
        <v>0</v>
      </c>
      <c r="J67" s="259">
        <f t="shared" si="30"/>
        <v>0</v>
      </c>
      <c r="K67" s="243">
        <f>+'[9]Allocation = % of margin'!P67</f>
        <v>0</v>
      </c>
      <c r="L67" s="243">
        <f>+'[9]Allocation = % of margin'!S67</f>
        <v>0</v>
      </c>
      <c r="M67" s="243">
        <f>+'[9]Allocation = % of margin'!V67</f>
        <v>0</v>
      </c>
      <c r="N67" s="243">
        <f>+'[9]Allocation = % of margin'!Y67</f>
        <v>0</v>
      </c>
      <c r="O67" s="243">
        <f>+'[9]Allocation = % of margin'!AB67</f>
        <v>0</v>
      </c>
      <c r="P67" s="243">
        <f>'[9]Allocation = % of margin'!AE67</f>
        <v>-3.0000000000000001E-5</v>
      </c>
      <c r="Q67" s="243">
        <f>' Increments  equal ¢ per therm'!Q67</f>
        <v>0</v>
      </c>
      <c r="R67" s="243">
        <f>'[9]Allocation = % of margin'!AH67</f>
        <v>2.1299999999999999E-3</v>
      </c>
      <c r="S67" s="243">
        <f>' Increments  equal ¢ per therm'!T67</f>
        <v>3.5E-4</v>
      </c>
      <c r="T67" s="243">
        <f>'[9]Allocation = % of revenue'!M67</f>
        <v>0</v>
      </c>
      <c r="U67" s="243">
        <f>'[9]Allocation = % of margin'!AK67</f>
        <v>5.4599999999999996E-3</v>
      </c>
      <c r="V67" s="243">
        <f>' Increments  equal ¢ per therm'!W67</f>
        <v>0.24073</v>
      </c>
      <c r="W67" s="243">
        <f t="shared" si="31"/>
        <v>0.24864</v>
      </c>
      <c r="X67" s="243">
        <f t="shared" si="32"/>
        <v>-4.300000000000137E-4</v>
      </c>
      <c r="Y67" s="243"/>
      <c r="Z67" s="248">
        <f t="shared" si="33"/>
        <v>0.24864</v>
      </c>
      <c r="AA67" s="248">
        <f t="shared" si="34"/>
        <v>7.9399999999999991E-3</v>
      </c>
      <c r="AB67" s="248">
        <f t="shared" si="35"/>
        <v>0</v>
      </c>
      <c r="AC67" s="248">
        <f t="shared" si="36"/>
        <v>0</v>
      </c>
      <c r="AD67" s="248">
        <f t="shared" si="37"/>
        <v>0.24864</v>
      </c>
      <c r="AE67" s="248">
        <f t="shared" si="38"/>
        <v>0.24864</v>
      </c>
      <c r="AF67" s="248">
        <f>[9]Permanents!G67</f>
        <v>0.14168999999999998</v>
      </c>
      <c r="AG67" s="247">
        <f t="shared" si="39"/>
        <v>0</v>
      </c>
      <c r="AH67" s="243">
        <f t="shared" si="40"/>
        <v>0</v>
      </c>
      <c r="AI67" s="243">
        <f t="shared" si="41"/>
        <v>0</v>
      </c>
      <c r="AJ67" s="243">
        <f t="shared" si="42"/>
        <v>2.1299999999999999E-3</v>
      </c>
      <c r="AK67" s="243">
        <f t="shared" si="43"/>
        <v>3.5E-4</v>
      </c>
      <c r="AL67" s="243">
        <f t="shared" si="44"/>
        <v>0</v>
      </c>
      <c r="AM67" s="243">
        <f t="shared" si="45"/>
        <v>-3.0000000000000001E-5</v>
      </c>
      <c r="AN67" s="243">
        <f t="shared" si="46"/>
        <v>0</v>
      </c>
      <c r="AO67" s="243">
        <f>[9]Permanents!F67</f>
        <v>0</v>
      </c>
      <c r="AP67" s="243">
        <f t="shared" si="47"/>
        <v>5.4599999999999996E-3</v>
      </c>
      <c r="AQ67" s="243">
        <f t="shared" si="48"/>
        <v>0.24073</v>
      </c>
      <c r="AR67" s="243"/>
      <c r="AS67" s="243"/>
      <c r="AT67" s="243">
        <f t="shared" si="49"/>
        <v>0</v>
      </c>
      <c r="AU67" s="243">
        <f t="shared" si="50"/>
        <v>0</v>
      </c>
      <c r="AV67" s="243">
        <f t="shared" si="51"/>
        <v>0</v>
      </c>
      <c r="AW67" s="246">
        <f>[32]Temporaries!Q67</f>
        <v>0</v>
      </c>
      <c r="AX67" s="246">
        <f>SUM([32]Temporaries!K67:M67)</f>
        <v>0</v>
      </c>
      <c r="AY67" s="246">
        <f>SUM([32]Temporaries!N67:O67)</f>
        <v>0</v>
      </c>
      <c r="AZ67" s="245">
        <f>[32]Temporaries!R67</f>
        <v>2.0100000000000001E-3</v>
      </c>
      <c r="BA67" s="245">
        <f t="shared" si="52"/>
        <v>0</v>
      </c>
      <c r="BB67" s="255">
        <f>[32]Temporaries!P67</f>
        <v>-1.6000000000000001E-4</v>
      </c>
      <c r="BC67" s="245">
        <f>[32]Temporaries!S67</f>
        <v>1.0300000000000001E-3</v>
      </c>
      <c r="BD67" s="245">
        <f>[32]Temporaries!T67</f>
        <v>0</v>
      </c>
      <c r="BE67" s="245">
        <f>[32]Temporaries!U67</f>
        <v>5.4599999999999996E-3</v>
      </c>
      <c r="BF67" s="245">
        <v>0.24073</v>
      </c>
      <c r="BG67" s="245"/>
      <c r="BH67" s="244">
        <f t="shared" si="53"/>
        <v>0</v>
      </c>
      <c r="BI67" s="243">
        <f t="shared" si="54"/>
        <v>0.24864</v>
      </c>
      <c r="BJ67" s="243">
        <f t="shared" si="55"/>
        <v>0.24864</v>
      </c>
    </row>
    <row r="68" spans="1:62" x14ac:dyDescent="0.35">
      <c r="A68" s="233">
        <f t="shared" si="28"/>
        <v>62</v>
      </c>
      <c r="B68" s="233"/>
      <c r="C68" s="261" t="s">
        <v>62</v>
      </c>
      <c r="D68" s="259">
        <v>0.24831</v>
      </c>
      <c r="E68" s="259">
        <v>0</v>
      </c>
      <c r="F68" s="259">
        <f>+' Increments  equal ¢ per therm'!H68</f>
        <v>0</v>
      </c>
      <c r="G68" s="259">
        <f>+' Increments  equal ¢ per therm'!K68</f>
        <v>0</v>
      </c>
      <c r="H68" s="259">
        <f>+' Increments  equal ¢ per therm'!N68</f>
        <v>0</v>
      </c>
      <c r="I68" s="259">
        <f t="shared" si="29"/>
        <v>0</v>
      </c>
      <c r="J68" s="259">
        <f t="shared" si="30"/>
        <v>0</v>
      </c>
      <c r="K68" s="243">
        <f>+'[9]Allocation = % of margin'!P68</f>
        <v>0</v>
      </c>
      <c r="L68" s="243">
        <f>+'[9]Allocation = % of margin'!S68</f>
        <v>0</v>
      </c>
      <c r="M68" s="243">
        <f>+'[9]Allocation = % of margin'!V68</f>
        <v>0</v>
      </c>
      <c r="N68" s="243">
        <f>+'[9]Allocation = % of margin'!Y68</f>
        <v>0</v>
      </c>
      <c r="O68" s="243">
        <f>+'[9]Allocation = % of margin'!AB68</f>
        <v>0</v>
      </c>
      <c r="P68" s="243">
        <f>'[9]Allocation = % of margin'!AE68</f>
        <v>-2.0000000000000002E-5</v>
      </c>
      <c r="Q68" s="243">
        <f>' Increments  equal ¢ per therm'!Q68</f>
        <v>0</v>
      </c>
      <c r="R68" s="243">
        <f>'[9]Allocation = % of margin'!AH68</f>
        <v>1.91E-3</v>
      </c>
      <c r="S68" s="243">
        <f>' Increments  equal ¢ per therm'!T68</f>
        <v>3.5E-4</v>
      </c>
      <c r="T68" s="243">
        <f>'[9]Allocation = % of revenue'!M68</f>
        <v>0</v>
      </c>
      <c r="U68" s="243">
        <f>'[9]Allocation = % of margin'!AK68</f>
        <v>4.8900000000000002E-3</v>
      </c>
      <c r="V68" s="243">
        <f>' Increments  equal ¢ per therm'!W68</f>
        <v>0.24073</v>
      </c>
      <c r="W68" s="243">
        <f t="shared" si="31"/>
        <v>0.24786</v>
      </c>
      <c r="X68" s="243">
        <f t="shared" si="32"/>
        <v>-4.5000000000000595E-4</v>
      </c>
      <c r="Y68" s="243"/>
      <c r="Z68" s="248">
        <f t="shared" si="33"/>
        <v>0.24786</v>
      </c>
      <c r="AA68" s="248">
        <f t="shared" si="34"/>
        <v>7.1500000000000001E-3</v>
      </c>
      <c r="AB68" s="248">
        <f t="shared" si="35"/>
        <v>0</v>
      </c>
      <c r="AC68" s="248">
        <f t="shared" si="36"/>
        <v>0</v>
      </c>
      <c r="AD68" s="248">
        <f t="shared" si="37"/>
        <v>0.24786</v>
      </c>
      <c r="AE68" s="248">
        <f t="shared" si="38"/>
        <v>0.24786</v>
      </c>
      <c r="AF68" s="248">
        <f>[9]Permanents!G68</f>
        <v>0.12684999999999999</v>
      </c>
      <c r="AG68" s="247">
        <f t="shared" si="39"/>
        <v>0</v>
      </c>
      <c r="AH68" s="243">
        <f t="shared" si="40"/>
        <v>0</v>
      </c>
      <c r="AI68" s="243">
        <f t="shared" si="41"/>
        <v>0</v>
      </c>
      <c r="AJ68" s="243">
        <f t="shared" si="42"/>
        <v>1.91E-3</v>
      </c>
      <c r="AK68" s="243">
        <f t="shared" si="43"/>
        <v>3.5E-4</v>
      </c>
      <c r="AL68" s="243">
        <f t="shared" si="44"/>
        <v>0</v>
      </c>
      <c r="AM68" s="243">
        <f t="shared" si="45"/>
        <v>-2.0000000000000002E-5</v>
      </c>
      <c r="AN68" s="243">
        <f t="shared" si="46"/>
        <v>0</v>
      </c>
      <c r="AO68" s="243">
        <f>[9]Permanents!F68</f>
        <v>0</v>
      </c>
      <c r="AP68" s="243">
        <f t="shared" si="47"/>
        <v>4.8900000000000002E-3</v>
      </c>
      <c r="AQ68" s="243">
        <f t="shared" si="48"/>
        <v>0.24073</v>
      </c>
      <c r="AR68" s="243"/>
      <c r="AS68" s="243"/>
      <c r="AT68" s="243">
        <f t="shared" si="49"/>
        <v>0</v>
      </c>
      <c r="AU68" s="243">
        <f t="shared" si="50"/>
        <v>0</v>
      </c>
      <c r="AV68" s="243">
        <f t="shared" si="51"/>
        <v>0</v>
      </c>
      <c r="AW68" s="246">
        <f>[32]Temporaries!Q68</f>
        <v>0</v>
      </c>
      <c r="AX68" s="246">
        <f>SUM([32]Temporaries!K68:M68)</f>
        <v>0</v>
      </c>
      <c r="AY68" s="246">
        <f>SUM([32]Temporaries!N68:O68)</f>
        <v>0</v>
      </c>
      <c r="AZ68" s="245">
        <f>[32]Temporaries!R68</f>
        <v>1.8E-3</v>
      </c>
      <c r="BA68" s="245">
        <f t="shared" si="52"/>
        <v>0</v>
      </c>
      <c r="BB68" s="255">
        <f>[32]Temporaries!P68</f>
        <v>-1.3999999999999999E-4</v>
      </c>
      <c r="BC68" s="245">
        <f>[32]Temporaries!S68</f>
        <v>1.0300000000000001E-3</v>
      </c>
      <c r="BD68" s="245">
        <f>[32]Temporaries!T68</f>
        <v>0</v>
      </c>
      <c r="BE68" s="245">
        <f>[32]Temporaries!U68</f>
        <v>4.8900000000000002E-3</v>
      </c>
      <c r="BF68" s="245">
        <v>0.24073</v>
      </c>
      <c r="BG68" s="245"/>
      <c r="BH68" s="244">
        <f t="shared" si="53"/>
        <v>0</v>
      </c>
      <c r="BI68" s="243">
        <f t="shared" si="54"/>
        <v>0.24786</v>
      </c>
      <c r="BJ68" s="243">
        <f t="shared" si="55"/>
        <v>0.24786</v>
      </c>
    </row>
    <row r="69" spans="1:62" x14ac:dyDescent="0.35">
      <c r="A69" s="233">
        <f t="shared" si="28"/>
        <v>63</v>
      </c>
      <c r="B69" s="233"/>
      <c r="C69" s="261" t="s">
        <v>69</v>
      </c>
      <c r="D69" s="259">
        <v>0.24678</v>
      </c>
      <c r="E69" s="259">
        <v>0</v>
      </c>
      <c r="F69" s="259">
        <f>+' Increments  equal ¢ per therm'!H69</f>
        <v>0</v>
      </c>
      <c r="G69" s="259">
        <f>+' Increments  equal ¢ per therm'!K69</f>
        <v>0</v>
      </c>
      <c r="H69" s="259">
        <f>+' Increments  equal ¢ per therm'!N69</f>
        <v>0</v>
      </c>
      <c r="I69" s="259">
        <f t="shared" si="29"/>
        <v>0</v>
      </c>
      <c r="J69" s="259">
        <f t="shared" si="30"/>
        <v>0</v>
      </c>
      <c r="K69" s="243">
        <f>+'[9]Allocation = % of margin'!P69</f>
        <v>0</v>
      </c>
      <c r="L69" s="243">
        <f>+'[9]Allocation = % of margin'!S69</f>
        <v>0</v>
      </c>
      <c r="M69" s="243">
        <f>+'[9]Allocation = % of margin'!V69</f>
        <v>0</v>
      </c>
      <c r="N69" s="243">
        <f>+'[9]Allocation = % of margin'!Y69</f>
        <v>0</v>
      </c>
      <c r="O69" s="243">
        <f>+'[9]Allocation = % of margin'!AB69</f>
        <v>0</v>
      </c>
      <c r="P69" s="243">
        <f>'[9]Allocation = % of margin'!AE69</f>
        <v>-2.0000000000000002E-5</v>
      </c>
      <c r="Q69" s="243">
        <f>' Increments  equal ¢ per therm'!Q69</f>
        <v>0</v>
      </c>
      <c r="R69" s="243">
        <f>'[9]Allocation = % of margin'!AH69</f>
        <v>1.4599999999999999E-3</v>
      </c>
      <c r="S69" s="243">
        <f>' Increments  equal ¢ per therm'!T69</f>
        <v>3.5E-4</v>
      </c>
      <c r="T69" s="243">
        <f>'[9]Allocation = % of revenue'!M69</f>
        <v>0</v>
      </c>
      <c r="U69" s="243">
        <f>'[9]Allocation = % of margin'!AK69</f>
        <v>3.7499999999999999E-3</v>
      </c>
      <c r="V69" s="243">
        <f>' Increments  equal ¢ per therm'!W69</f>
        <v>0.24073</v>
      </c>
      <c r="W69" s="243">
        <f t="shared" si="31"/>
        <v>0.24626999999999999</v>
      </c>
      <c r="X69" s="243">
        <f t="shared" si="32"/>
        <v>-5.1000000000001044E-4</v>
      </c>
      <c r="Y69" s="243"/>
      <c r="Z69" s="248">
        <f t="shared" si="33"/>
        <v>0.24626999999999999</v>
      </c>
      <c r="AA69" s="248">
        <f t="shared" si="34"/>
        <v>5.5599999999999998E-3</v>
      </c>
      <c r="AB69" s="248">
        <f t="shared" si="35"/>
        <v>0</v>
      </c>
      <c r="AC69" s="248">
        <f t="shared" si="36"/>
        <v>0</v>
      </c>
      <c r="AD69" s="248">
        <f t="shared" si="37"/>
        <v>0.24626999999999999</v>
      </c>
      <c r="AE69" s="248">
        <f t="shared" si="38"/>
        <v>0.24626999999999999</v>
      </c>
      <c r="AF69" s="248">
        <f>[9]Permanents!G69</f>
        <v>9.7269999999999995E-2</v>
      </c>
      <c r="AG69" s="247">
        <f t="shared" si="39"/>
        <v>0</v>
      </c>
      <c r="AH69" s="243">
        <f t="shared" si="40"/>
        <v>0</v>
      </c>
      <c r="AI69" s="243">
        <f t="shared" si="41"/>
        <v>0</v>
      </c>
      <c r="AJ69" s="243">
        <f t="shared" si="42"/>
        <v>1.4599999999999999E-3</v>
      </c>
      <c r="AK69" s="243">
        <f t="shared" si="43"/>
        <v>3.5E-4</v>
      </c>
      <c r="AL69" s="243">
        <f t="shared" si="44"/>
        <v>0</v>
      </c>
      <c r="AM69" s="243">
        <f t="shared" si="45"/>
        <v>-2.0000000000000002E-5</v>
      </c>
      <c r="AN69" s="243">
        <f t="shared" si="46"/>
        <v>0</v>
      </c>
      <c r="AO69" s="243">
        <f>[9]Permanents!F69</f>
        <v>0</v>
      </c>
      <c r="AP69" s="243">
        <f t="shared" si="47"/>
        <v>3.7499999999999999E-3</v>
      </c>
      <c r="AQ69" s="243">
        <f t="shared" si="48"/>
        <v>0.24073</v>
      </c>
      <c r="AR69" s="243"/>
      <c r="AS69" s="243"/>
      <c r="AT69" s="243">
        <f t="shared" si="49"/>
        <v>0</v>
      </c>
      <c r="AU69" s="243">
        <f t="shared" si="50"/>
        <v>0</v>
      </c>
      <c r="AV69" s="243">
        <f t="shared" si="51"/>
        <v>0</v>
      </c>
      <c r="AW69" s="246">
        <f>[32]Temporaries!Q69</f>
        <v>0</v>
      </c>
      <c r="AX69" s="246">
        <f>SUM([32]Temporaries!K69:M69)</f>
        <v>0</v>
      </c>
      <c r="AY69" s="246">
        <f>SUM([32]Temporaries!N69:O69)</f>
        <v>0</v>
      </c>
      <c r="AZ69" s="245">
        <f>[32]Temporaries!R69</f>
        <v>1.3799999999999999E-3</v>
      </c>
      <c r="BA69" s="245">
        <f t="shared" si="52"/>
        <v>0</v>
      </c>
      <c r="BB69" s="255">
        <f>[32]Temporaries!P69</f>
        <v>-1.1E-4</v>
      </c>
      <c r="BC69" s="245">
        <f>[32]Temporaries!S69</f>
        <v>1.0300000000000001E-3</v>
      </c>
      <c r="BD69" s="245">
        <f>[32]Temporaries!T69</f>
        <v>0</v>
      </c>
      <c r="BE69" s="245">
        <f>[32]Temporaries!U69</f>
        <v>3.7499999999999999E-3</v>
      </c>
      <c r="BF69" s="245">
        <v>0.24073</v>
      </c>
      <c r="BG69" s="245"/>
      <c r="BH69" s="244">
        <f t="shared" si="53"/>
        <v>0</v>
      </c>
      <c r="BI69" s="243">
        <f t="shared" si="54"/>
        <v>0.24626999999999999</v>
      </c>
      <c r="BJ69" s="243">
        <f t="shared" si="55"/>
        <v>0.24626999999999999</v>
      </c>
    </row>
    <row r="70" spans="1:62" x14ac:dyDescent="0.35">
      <c r="A70" s="233">
        <f t="shared" si="28"/>
        <v>64</v>
      </c>
      <c r="B70" s="233"/>
      <c r="C70" s="261" t="s">
        <v>70</v>
      </c>
      <c r="D70" s="259">
        <v>0.24578</v>
      </c>
      <c r="E70" s="259">
        <v>0</v>
      </c>
      <c r="F70" s="259">
        <f>+' Increments  equal ¢ per therm'!H70</f>
        <v>0</v>
      </c>
      <c r="G70" s="259">
        <f>+' Increments  equal ¢ per therm'!K70</f>
        <v>0</v>
      </c>
      <c r="H70" s="259">
        <f>+' Increments  equal ¢ per therm'!N70</f>
        <v>0</v>
      </c>
      <c r="I70" s="259">
        <f t="shared" si="29"/>
        <v>0</v>
      </c>
      <c r="J70" s="259">
        <f t="shared" si="30"/>
        <v>0</v>
      </c>
      <c r="K70" s="243">
        <f>+'[9]Allocation = % of margin'!P70</f>
        <v>0</v>
      </c>
      <c r="L70" s="243">
        <f>+'[9]Allocation = % of margin'!S70</f>
        <v>0</v>
      </c>
      <c r="M70" s="243">
        <f>+'[9]Allocation = % of margin'!V70</f>
        <v>0</v>
      </c>
      <c r="N70" s="243">
        <f>+'[9]Allocation = % of margin'!Y70</f>
        <v>0</v>
      </c>
      <c r="O70" s="243">
        <f>+'[9]Allocation = % of margin'!AB70</f>
        <v>0</v>
      </c>
      <c r="P70" s="243">
        <f>'[9]Allocation = % of margin'!AE70</f>
        <v>-1.0000000000000001E-5</v>
      </c>
      <c r="Q70" s="243">
        <f>' Increments  equal ¢ per therm'!Q70</f>
        <v>0</v>
      </c>
      <c r="R70" s="243">
        <f>'[9]Allocation = % of margin'!AH70</f>
        <v>1.17E-3</v>
      </c>
      <c r="S70" s="243">
        <f>' Increments  equal ¢ per therm'!T70</f>
        <v>3.5E-4</v>
      </c>
      <c r="T70" s="243">
        <f>'[9]Allocation = % of revenue'!M70</f>
        <v>0</v>
      </c>
      <c r="U70" s="243">
        <f>'[9]Allocation = % of margin'!AK70</f>
        <v>3.0000000000000001E-3</v>
      </c>
      <c r="V70" s="243">
        <f>' Increments  equal ¢ per therm'!W70</f>
        <v>0.24073</v>
      </c>
      <c r="W70" s="243">
        <f t="shared" si="31"/>
        <v>0.24524000000000001</v>
      </c>
      <c r="X70" s="243">
        <f t="shared" si="32"/>
        <v>-5.3999999999998494E-4</v>
      </c>
      <c r="Y70" s="243"/>
      <c r="Z70" s="248">
        <f t="shared" si="33"/>
        <v>0.24524000000000001</v>
      </c>
      <c r="AA70" s="248">
        <f t="shared" si="34"/>
        <v>4.5199999999999997E-3</v>
      </c>
      <c r="AB70" s="248">
        <f t="shared" si="35"/>
        <v>0</v>
      </c>
      <c r="AC70" s="248">
        <f t="shared" si="36"/>
        <v>0</v>
      </c>
      <c r="AD70" s="248">
        <f t="shared" si="37"/>
        <v>0.24524000000000001</v>
      </c>
      <c r="AE70" s="248">
        <f t="shared" si="38"/>
        <v>0.24524000000000001</v>
      </c>
      <c r="AF70" s="248">
        <f>[9]Permanents!G70</f>
        <v>7.782E-2</v>
      </c>
      <c r="AG70" s="247">
        <f t="shared" si="39"/>
        <v>0</v>
      </c>
      <c r="AH70" s="243">
        <f t="shared" si="40"/>
        <v>0</v>
      </c>
      <c r="AI70" s="243">
        <f t="shared" si="41"/>
        <v>0</v>
      </c>
      <c r="AJ70" s="243">
        <f t="shared" si="42"/>
        <v>1.17E-3</v>
      </c>
      <c r="AK70" s="243">
        <f t="shared" si="43"/>
        <v>3.5E-4</v>
      </c>
      <c r="AL70" s="243">
        <f t="shared" si="44"/>
        <v>0</v>
      </c>
      <c r="AM70" s="243">
        <f t="shared" si="45"/>
        <v>-1.0000000000000001E-5</v>
      </c>
      <c r="AN70" s="243">
        <f t="shared" si="46"/>
        <v>0</v>
      </c>
      <c r="AO70" s="243">
        <f>[9]Permanents!F70</f>
        <v>0</v>
      </c>
      <c r="AP70" s="243">
        <f t="shared" si="47"/>
        <v>3.0000000000000001E-3</v>
      </c>
      <c r="AQ70" s="243">
        <f t="shared" si="48"/>
        <v>0.24073</v>
      </c>
      <c r="AR70" s="243"/>
      <c r="AS70" s="243"/>
      <c r="AT70" s="243">
        <f t="shared" si="49"/>
        <v>0</v>
      </c>
      <c r="AU70" s="243">
        <f t="shared" si="50"/>
        <v>0</v>
      </c>
      <c r="AV70" s="243">
        <f t="shared" si="51"/>
        <v>0</v>
      </c>
      <c r="AW70" s="246">
        <f>[32]Temporaries!Q70</f>
        <v>0</v>
      </c>
      <c r="AX70" s="246">
        <f>SUM([32]Temporaries!K70:M70)</f>
        <v>0</v>
      </c>
      <c r="AY70" s="246">
        <f>SUM([32]Temporaries!N70:O70)</f>
        <v>0</v>
      </c>
      <c r="AZ70" s="245">
        <f>[32]Temporaries!R70</f>
        <v>1.1100000000000001E-3</v>
      </c>
      <c r="BA70" s="245">
        <f t="shared" si="52"/>
        <v>0</v>
      </c>
      <c r="BB70" s="255">
        <f>[32]Temporaries!P70</f>
        <v>-9.0000000000000006E-5</v>
      </c>
      <c r="BC70" s="245">
        <f>[32]Temporaries!S70</f>
        <v>1.0300000000000001E-3</v>
      </c>
      <c r="BD70" s="245">
        <f>[32]Temporaries!T70</f>
        <v>0</v>
      </c>
      <c r="BE70" s="245">
        <f>[32]Temporaries!U70</f>
        <v>3.0000000000000001E-3</v>
      </c>
      <c r="BF70" s="245">
        <v>0.24073</v>
      </c>
      <c r="BG70" s="245"/>
      <c r="BH70" s="244">
        <f t="shared" si="53"/>
        <v>0</v>
      </c>
      <c r="BI70" s="243">
        <f t="shared" si="54"/>
        <v>0.24524000000000001</v>
      </c>
      <c r="BJ70" s="243">
        <f t="shared" si="55"/>
        <v>0.24524000000000001</v>
      </c>
    </row>
    <row r="71" spans="1:62" x14ac:dyDescent="0.35">
      <c r="A71" s="233">
        <f t="shared" si="28"/>
        <v>65</v>
      </c>
      <c r="B71" s="233"/>
      <c r="C71" s="261" t="s">
        <v>71</v>
      </c>
      <c r="D71" s="259">
        <v>0.24443999999999999</v>
      </c>
      <c r="E71" s="259">
        <v>0</v>
      </c>
      <c r="F71" s="259">
        <f>+' Increments  equal ¢ per therm'!H71</f>
        <v>0</v>
      </c>
      <c r="G71" s="259">
        <f>+' Increments  equal ¢ per therm'!K71</f>
        <v>0</v>
      </c>
      <c r="H71" s="259">
        <f>+' Increments  equal ¢ per therm'!N71</f>
        <v>0</v>
      </c>
      <c r="I71" s="259">
        <f t="shared" si="29"/>
        <v>0</v>
      </c>
      <c r="J71" s="259">
        <f t="shared" si="30"/>
        <v>0</v>
      </c>
      <c r="K71" s="243">
        <f>+'[9]Allocation = % of margin'!P71</f>
        <v>0</v>
      </c>
      <c r="L71" s="243">
        <f>+'[9]Allocation = % of margin'!S71</f>
        <v>0</v>
      </c>
      <c r="M71" s="243">
        <f>+'[9]Allocation = % of margin'!V71</f>
        <v>0</v>
      </c>
      <c r="N71" s="243">
        <f>+'[9]Allocation = % of margin'!Y71</f>
        <v>0</v>
      </c>
      <c r="O71" s="243">
        <f>+'[9]Allocation = % of margin'!AB71</f>
        <v>0</v>
      </c>
      <c r="P71" s="243">
        <f>'[9]Allocation = % of margin'!AE71</f>
        <v>-1.0000000000000001E-5</v>
      </c>
      <c r="Q71" s="243">
        <f>' Increments  equal ¢ per therm'!Q71</f>
        <v>0</v>
      </c>
      <c r="R71" s="243">
        <f>'[9]Allocation = % of margin'!AH71</f>
        <v>7.7999999999999999E-4</v>
      </c>
      <c r="S71" s="243">
        <f>' Increments  equal ¢ per therm'!T71</f>
        <v>3.5E-4</v>
      </c>
      <c r="T71" s="243">
        <f>'[9]Allocation = % of revenue'!M71</f>
        <v>0</v>
      </c>
      <c r="U71" s="243">
        <f>'[9]Allocation = % of margin'!AK71</f>
        <v>2E-3</v>
      </c>
      <c r="V71" s="243">
        <f>' Increments  equal ¢ per therm'!W71</f>
        <v>0.24073</v>
      </c>
      <c r="W71" s="243">
        <f t="shared" si="31"/>
        <v>0.24385000000000001</v>
      </c>
      <c r="X71" s="243">
        <f t="shared" si="32"/>
        <v>-5.8999999999997943E-4</v>
      </c>
      <c r="Y71" s="243"/>
      <c r="Z71" s="248">
        <f t="shared" si="33"/>
        <v>0.24385000000000001</v>
      </c>
      <c r="AA71" s="248">
        <f t="shared" si="34"/>
        <v>3.13E-3</v>
      </c>
      <c r="AB71" s="248">
        <f t="shared" si="35"/>
        <v>0</v>
      </c>
      <c r="AC71" s="248">
        <f t="shared" si="36"/>
        <v>0</v>
      </c>
      <c r="AD71" s="248">
        <f t="shared" si="37"/>
        <v>0.24385000000000001</v>
      </c>
      <c r="AE71" s="248">
        <f t="shared" si="38"/>
        <v>0.24385000000000001</v>
      </c>
      <c r="AF71" s="248">
        <f>[9]Permanents!G71</f>
        <v>5.1889999999999999E-2</v>
      </c>
      <c r="AG71" s="247">
        <f t="shared" si="39"/>
        <v>0</v>
      </c>
      <c r="AH71" s="243">
        <f t="shared" si="40"/>
        <v>0</v>
      </c>
      <c r="AI71" s="243">
        <f t="shared" si="41"/>
        <v>0</v>
      </c>
      <c r="AJ71" s="243">
        <f t="shared" si="42"/>
        <v>7.7999999999999999E-4</v>
      </c>
      <c r="AK71" s="243">
        <f t="shared" si="43"/>
        <v>3.5E-4</v>
      </c>
      <c r="AL71" s="243">
        <f t="shared" si="44"/>
        <v>0</v>
      </c>
      <c r="AM71" s="243">
        <f t="shared" si="45"/>
        <v>-1.0000000000000001E-5</v>
      </c>
      <c r="AN71" s="243">
        <f t="shared" si="46"/>
        <v>0</v>
      </c>
      <c r="AO71" s="243">
        <f>[9]Permanents!F71</f>
        <v>0</v>
      </c>
      <c r="AP71" s="243">
        <f t="shared" si="47"/>
        <v>2E-3</v>
      </c>
      <c r="AQ71" s="243">
        <f t="shared" si="48"/>
        <v>0.24073</v>
      </c>
      <c r="AR71" s="243"/>
      <c r="AS71" s="243"/>
      <c r="AT71" s="243">
        <f t="shared" si="49"/>
        <v>0</v>
      </c>
      <c r="AU71" s="243">
        <f t="shared" si="50"/>
        <v>0</v>
      </c>
      <c r="AV71" s="243">
        <f t="shared" si="51"/>
        <v>0</v>
      </c>
      <c r="AW71" s="246">
        <f>[32]Temporaries!Q71</f>
        <v>0</v>
      </c>
      <c r="AX71" s="246">
        <f>SUM([32]Temporaries!K71:M71)</f>
        <v>0</v>
      </c>
      <c r="AY71" s="246">
        <f>SUM([32]Temporaries!N71:O71)</f>
        <v>0</v>
      </c>
      <c r="AZ71" s="245">
        <f>[32]Temporaries!R71</f>
        <v>7.3999999999999999E-4</v>
      </c>
      <c r="BA71" s="245">
        <f t="shared" si="52"/>
        <v>0</v>
      </c>
      <c r="BB71" s="255">
        <f>[32]Temporaries!P71</f>
        <v>-6.0000000000000002E-5</v>
      </c>
      <c r="BC71" s="245">
        <f>[32]Temporaries!S71</f>
        <v>1.0300000000000001E-3</v>
      </c>
      <c r="BD71" s="245">
        <f>[32]Temporaries!T71</f>
        <v>0</v>
      </c>
      <c r="BE71" s="245">
        <f>[32]Temporaries!U71</f>
        <v>2E-3</v>
      </c>
      <c r="BF71" s="245">
        <v>0.24073</v>
      </c>
      <c r="BG71" s="245"/>
      <c r="BH71" s="244">
        <f t="shared" si="53"/>
        <v>0</v>
      </c>
      <c r="BI71" s="243">
        <f t="shared" si="54"/>
        <v>0.24385000000000001</v>
      </c>
      <c r="BJ71" s="243">
        <f t="shared" si="55"/>
        <v>0.24385000000000001</v>
      </c>
    </row>
    <row r="72" spans="1:62" x14ac:dyDescent="0.35">
      <c r="A72" s="233">
        <f t="shared" ref="A72:A90" si="56">+A71+1</f>
        <v>66</v>
      </c>
      <c r="B72" s="258"/>
      <c r="C72" s="260" t="s">
        <v>72</v>
      </c>
      <c r="D72" s="251">
        <v>0.24276999999999999</v>
      </c>
      <c r="E72" s="259">
        <v>0</v>
      </c>
      <c r="F72" s="251">
        <f>+' Increments  equal ¢ per therm'!H72</f>
        <v>0</v>
      </c>
      <c r="G72" s="251">
        <f>+' Increments  equal ¢ per therm'!K72</f>
        <v>0</v>
      </c>
      <c r="H72" s="251">
        <f>+' Increments  equal ¢ per therm'!N72</f>
        <v>0</v>
      </c>
      <c r="I72" s="251">
        <f t="shared" si="29"/>
        <v>0</v>
      </c>
      <c r="J72" s="251">
        <f t="shared" si="30"/>
        <v>0</v>
      </c>
      <c r="K72" s="249">
        <f>+'[9]Allocation = % of margin'!P72</f>
        <v>0</v>
      </c>
      <c r="L72" s="249">
        <f>+'[9]Allocation = % of margin'!S72</f>
        <v>0</v>
      </c>
      <c r="M72" s="249">
        <f>+'[9]Allocation = % of margin'!V72</f>
        <v>0</v>
      </c>
      <c r="N72" s="249">
        <f>+'[9]Allocation = % of margin'!Y72</f>
        <v>0</v>
      </c>
      <c r="O72" s="249">
        <f>+'[9]Allocation = % of margin'!AB72</f>
        <v>0</v>
      </c>
      <c r="P72" s="249">
        <f>'[9]Allocation = % of margin'!AE72</f>
        <v>0</v>
      </c>
      <c r="Q72" s="249">
        <f>' Increments  equal ¢ per therm'!Q72</f>
        <v>0</v>
      </c>
      <c r="R72" s="249">
        <f>'[9]Allocation = % of margin'!AH72</f>
        <v>2.9E-4</v>
      </c>
      <c r="S72" s="249">
        <f>' Increments  equal ¢ per therm'!T72</f>
        <v>3.5E-4</v>
      </c>
      <c r="T72" s="249">
        <f>'[9]Allocation = % of revenue'!M72</f>
        <v>0</v>
      </c>
      <c r="U72" s="249">
        <f>'[9]Allocation = % of margin'!AK72</f>
        <v>7.5000000000000002E-4</v>
      </c>
      <c r="V72" s="249">
        <f>' Increments  equal ¢ per therm'!W72</f>
        <v>0.24073</v>
      </c>
      <c r="W72" s="249">
        <f t="shared" si="31"/>
        <v>0.24212</v>
      </c>
      <c r="X72" s="249">
        <f t="shared" si="32"/>
        <v>-6.4999999999998392E-4</v>
      </c>
      <c r="Y72" s="243"/>
      <c r="Z72" s="248">
        <f t="shared" si="33"/>
        <v>0.24212</v>
      </c>
      <c r="AA72" s="248">
        <f t="shared" si="34"/>
        <v>1.39E-3</v>
      </c>
      <c r="AB72" s="248">
        <f t="shared" si="35"/>
        <v>0</v>
      </c>
      <c r="AC72" s="248">
        <f t="shared" si="36"/>
        <v>0</v>
      </c>
      <c r="AD72" s="248">
        <f t="shared" si="37"/>
        <v>0.24212</v>
      </c>
      <c r="AE72" s="248">
        <f t="shared" si="38"/>
        <v>0.24212</v>
      </c>
      <c r="AF72" s="248">
        <f>[9]Permanents!G72</f>
        <v>1.9439999999999999E-2</v>
      </c>
      <c r="AG72" s="247">
        <f t="shared" si="39"/>
        <v>0</v>
      </c>
      <c r="AH72" s="243">
        <f t="shared" si="40"/>
        <v>0</v>
      </c>
      <c r="AI72" s="243">
        <f t="shared" si="41"/>
        <v>0</v>
      </c>
      <c r="AJ72" s="243">
        <f t="shared" si="42"/>
        <v>2.9E-4</v>
      </c>
      <c r="AK72" s="243">
        <f t="shared" si="43"/>
        <v>3.5E-4</v>
      </c>
      <c r="AL72" s="243">
        <f t="shared" si="44"/>
        <v>0</v>
      </c>
      <c r="AM72" s="243">
        <f t="shared" si="45"/>
        <v>0</v>
      </c>
      <c r="AN72" s="243">
        <f t="shared" si="46"/>
        <v>0</v>
      </c>
      <c r="AO72" s="243">
        <f>[9]Permanents!F72</f>
        <v>0</v>
      </c>
      <c r="AP72" s="243">
        <f t="shared" si="47"/>
        <v>7.5000000000000002E-4</v>
      </c>
      <c r="AQ72" s="243">
        <f t="shared" si="48"/>
        <v>0.24073</v>
      </c>
      <c r="AR72" s="243"/>
      <c r="AS72" s="243"/>
      <c r="AT72" s="243">
        <f t="shared" si="49"/>
        <v>0</v>
      </c>
      <c r="AU72" s="243">
        <f t="shared" si="50"/>
        <v>0</v>
      </c>
      <c r="AV72" s="243">
        <f t="shared" si="51"/>
        <v>0</v>
      </c>
      <c r="AW72" s="246">
        <f>[32]Temporaries!Q72</f>
        <v>0</v>
      </c>
      <c r="AX72" s="246">
        <f>SUM([32]Temporaries!K72:M72)</f>
        <v>0</v>
      </c>
      <c r="AY72" s="246">
        <f>SUM([32]Temporaries!N72:O72)</f>
        <v>0</v>
      </c>
      <c r="AZ72" s="245">
        <f>[32]Temporaries!R72</f>
        <v>2.7999999999999998E-4</v>
      </c>
      <c r="BA72" s="245">
        <f t="shared" si="52"/>
        <v>0</v>
      </c>
      <c r="BB72" s="255">
        <f>[32]Temporaries!P72</f>
        <v>-2.0000000000000002E-5</v>
      </c>
      <c r="BC72" s="245">
        <f>[32]Temporaries!S72</f>
        <v>1.0300000000000001E-3</v>
      </c>
      <c r="BD72" s="245">
        <f>[32]Temporaries!T72</f>
        <v>0</v>
      </c>
      <c r="BE72" s="245">
        <f>[32]Temporaries!U72</f>
        <v>7.5000000000000002E-4</v>
      </c>
      <c r="BF72" s="245">
        <v>0.24073</v>
      </c>
      <c r="BG72" s="245"/>
      <c r="BH72" s="244">
        <f t="shared" si="53"/>
        <v>0</v>
      </c>
      <c r="BI72" s="243">
        <f t="shared" si="54"/>
        <v>0.24212</v>
      </c>
      <c r="BJ72" s="243">
        <f t="shared" si="55"/>
        <v>0.24212</v>
      </c>
    </row>
    <row r="73" spans="1:62" x14ac:dyDescent="0.35">
      <c r="A73" s="233">
        <f t="shared" si="56"/>
        <v>67</v>
      </c>
      <c r="B73" s="233" t="s">
        <v>79</v>
      </c>
      <c r="C73" s="261" t="s">
        <v>61</v>
      </c>
      <c r="D73" s="259">
        <v>0.24917</v>
      </c>
      <c r="E73" s="256">
        <v>0</v>
      </c>
      <c r="F73" s="259">
        <f>+' Increments  equal ¢ per therm'!H73</f>
        <v>0</v>
      </c>
      <c r="G73" s="259">
        <f>+' Increments  equal ¢ per therm'!I73</f>
        <v>0</v>
      </c>
      <c r="H73" s="259">
        <f>+' Increments  equal ¢ per therm'!J73</f>
        <v>0</v>
      </c>
      <c r="I73" s="259">
        <f t="shared" si="29"/>
        <v>0</v>
      </c>
      <c r="J73" s="259">
        <f t="shared" si="30"/>
        <v>0</v>
      </c>
      <c r="K73" s="243">
        <f>+'[9]Allocation = % of margin'!P73</f>
        <v>0</v>
      </c>
      <c r="L73" s="243">
        <f>+'[9]Allocation = % of margin'!Q73</f>
        <v>0</v>
      </c>
      <c r="M73" s="243">
        <f>+'[9]Allocation = % of margin'!R73</f>
        <v>0</v>
      </c>
      <c r="N73" s="243">
        <f>+'[9]Allocation = % of margin'!S73</f>
        <v>0</v>
      </c>
      <c r="O73" s="243">
        <f>+'[9]Allocation = % of margin'!T73</f>
        <v>0</v>
      </c>
      <c r="P73" s="243">
        <f>'[9]Allocation = % of margin'!AE73</f>
        <v>-3.0000000000000001E-5</v>
      </c>
      <c r="Q73" s="243">
        <f>' Increments  equal ¢ per therm'!Q73</f>
        <v>0</v>
      </c>
      <c r="R73" s="243">
        <f>'[9]Allocation = % of margin'!AH73</f>
        <v>2.1099999999999999E-3</v>
      </c>
      <c r="S73" s="243">
        <f>' Increments  equal ¢ per therm'!T73</f>
        <v>3.5E-4</v>
      </c>
      <c r="T73" s="243">
        <f>'[9]Allocation = % of revenue'!M73</f>
        <v>1.0000000000000001E-5</v>
      </c>
      <c r="U73" s="243">
        <f>'[9]Allocation = % of margin'!AK73</f>
        <v>5.4599999999999996E-3</v>
      </c>
      <c r="V73" s="243">
        <f>' Increments  equal ¢ per therm'!W73</f>
        <v>0.24073</v>
      </c>
      <c r="W73" s="243">
        <f t="shared" si="31"/>
        <v>0.24862999999999999</v>
      </c>
      <c r="X73" s="243">
        <f t="shared" si="32"/>
        <v>-5.4000000000001269E-4</v>
      </c>
      <c r="Y73" s="243"/>
      <c r="Z73" s="248">
        <f t="shared" si="33"/>
        <v>0.24862999999999999</v>
      </c>
      <c r="AA73" s="248">
        <f t="shared" si="34"/>
        <v>7.9299999999999995E-3</v>
      </c>
      <c r="AB73" s="248">
        <f t="shared" si="35"/>
        <v>0</v>
      </c>
      <c r="AC73" s="248">
        <f t="shared" si="36"/>
        <v>0</v>
      </c>
      <c r="AD73" s="248">
        <f t="shared" si="37"/>
        <v>0.24862999999999999</v>
      </c>
      <c r="AE73" s="248">
        <f t="shared" si="38"/>
        <v>0.24862999999999999</v>
      </c>
      <c r="AF73" s="248">
        <f>[9]Permanents!G73</f>
        <v>0.14429999999999998</v>
      </c>
      <c r="AG73" s="247">
        <f t="shared" si="39"/>
        <v>0</v>
      </c>
      <c r="AH73" s="243">
        <f t="shared" si="40"/>
        <v>0</v>
      </c>
      <c r="AI73" s="243">
        <f t="shared" si="41"/>
        <v>0</v>
      </c>
      <c r="AJ73" s="243">
        <f t="shared" si="42"/>
        <v>2.1099999999999999E-3</v>
      </c>
      <c r="AK73" s="243">
        <f t="shared" si="43"/>
        <v>3.5E-4</v>
      </c>
      <c r="AL73" s="243">
        <f t="shared" si="44"/>
        <v>0</v>
      </c>
      <c r="AM73" s="243">
        <f t="shared" si="45"/>
        <v>-3.0000000000000001E-5</v>
      </c>
      <c r="AN73" s="243">
        <f t="shared" si="46"/>
        <v>1.0000000000000001E-5</v>
      </c>
      <c r="AO73" s="243">
        <f>[9]Permanents!F73</f>
        <v>0</v>
      </c>
      <c r="AP73" s="243">
        <f t="shared" si="47"/>
        <v>5.4599999999999996E-3</v>
      </c>
      <c r="AQ73" s="243">
        <f t="shared" si="48"/>
        <v>0.24073</v>
      </c>
      <c r="AR73" s="243"/>
      <c r="AS73" s="243"/>
      <c r="AT73" s="243">
        <f t="shared" si="49"/>
        <v>0</v>
      </c>
      <c r="AU73" s="243">
        <f t="shared" si="50"/>
        <v>0</v>
      </c>
      <c r="AV73" s="243">
        <f t="shared" si="51"/>
        <v>0</v>
      </c>
      <c r="AW73" s="246">
        <f>[32]Temporaries!Q73</f>
        <v>0</v>
      </c>
      <c r="AX73" s="246">
        <f>SUM([32]Temporaries!K73:M73)</f>
        <v>0</v>
      </c>
      <c r="AY73" s="246">
        <f>SUM([32]Temporaries!N73:O73)</f>
        <v>0</v>
      </c>
      <c r="AZ73" s="245">
        <f>[32]Temporaries!R73</f>
        <v>2.0100000000000001E-3</v>
      </c>
      <c r="BA73" s="245">
        <f t="shared" si="52"/>
        <v>0</v>
      </c>
      <c r="BB73" s="255">
        <f>[32]Temporaries!P73</f>
        <v>-1.6000000000000001E-4</v>
      </c>
      <c r="BC73" s="245">
        <f>[32]Temporaries!S73</f>
        <v>1.0300000000000001E-3</v>
      </c>
      <c r="BD73" s="245">
        <f>[32]Temporaries!T73</f>
        <v>1E-4</v>
      </c>
      <c r="BE73" s="245">
        <f>[32]Temporaries!U73</f>
        <v>5.4599999999999996E-3</v>
      </c>
      <c r="BF73" s="245">
        <v>0.24073</v>
      </c>
      <c r="BG73" s="245"/>
      <c r="BH73" s="244">
        <f t="shared" si="53"/>
        <v>0</v>
      </c>
      <c r="BI73" s="243">
        <f t="shared" si="54"/>
        <v>0.24862999999999999</v>
      </c>
      <c r="BJ73" s="243">
        <f t="shared" si="55"/>
        <v>0.24862999999999999</v>
      </c>
    </row>
    <row r="74" spans="1:62" x14ac:dyDescent="0.35">
      <c r="A74" s="233">
        <f t="shared" si="56"/>
        <v>68</v>
      </c>
      <c r="B74" s="233"/>
      <c r="C74" s="261" t="s">
        <v>62</v>
      </c>
      <c r="D74" s="259">
        <v>0.24840999999999999</v>
      </c>
      <c r="E74" s="259">
        <v>0</v>
      </c>
      <c r="F74" s="259">
        <f>+' Increments  equal ¢ per therm'!H74</f>
        <v>0</v>
      </c>
      <c r="G74" s="259">
        <f>+' Increments  equal ¢ per therm'!I74</f>
        <v>0</v>
      </c>
      <c r="H74" s="259">
        <f>+' Increments  equal ¢ per therm'!J74</f>
        <v>0</v>
      </c>
      <c r="I74" s="259">
        <f t="shared" si="29"/>
        <v>0</v>
      </c>
      <c r="J74" s="259">
        <f t="shared" si="30"/>
        <v>0</v>
      </c>
      <c r="K74" s="243">
        <f>+'[9]Allocation = % of margin'!P74</f>
        <v>0</v>
      </c>
      <c r="L74" s="243">
        <f>+'[9]Allocation = % of margin'!Q74</f>
        <v>0</v>
      </c>
      <c r="M74" s="243">
        <f>+'[9]Allocation = % of margin'!R74</f>
        <v>0</v>
      </c>
      <c r="N74" s="243">
        <f>+'[9]Allocation = % of margin'!S74</f>
        <v>0</v>
      </c>
      <c r="O74" s="243">
        <f>+'[9]Allocation = % of margin'!T74</f>
        <v>0</v>
      </c>
      <c r="P74" s="243">
        <f>'[9]Allocation = % of margin'!AE74</f>
        <v>-2.0000000000000002E-5</v>
      </c>
      <c r="Q74" s="243">
        <f>' Increments  equal ¢ per therm'!Q74</f>
        <v>0</v>
      </c>
      <c r="R74" s="243">
        <f>'[9]Allocation = % of margin'!AH74</f>
        <v>1.89E-3</v>
      </c>
      <c r="S74" s="243">
        <f>' Increments  equal ¢ per therm'!T74</f>
        <v>3.5E-4</v>
      </c>
      <c r="T74" s="243">
        <f>'[9]Allocation = % of revenue'!M74</f>
        <v>1.0000000000000001E-5</v>
      </c>
      <c r="U74" s="243">
        <f>'[9]Allocation = % of margin'!AK74</f>
        <v>4.8900000000000002E-3</v>
      </c>
      <c r="V74" s="243">
        <f>' Increments  equal ¢ per therm'!W74</f>
        <v>0.24073</v>
      </c>
      <c r="W74" s="243">
        <f t="shared" si="31"/>
        <v>0.24784999999999999</v>
      </c>
      <c r="X74" s="243">
        <f t="shared" si="32"/>
        <v>-5.6000000000000494E-4</v>
      </c>
      <c r="Y74" s="243"/>
      <c r="Z74" s="248">
        <f t="shared" si="33"/>
        <v>0.24784999999999999</v>
      </c>
      <c r="AA74" s="248">
        <f t="shared" si="34"/>
        <v>7.1400000000000005E-3</v>
      </c>
      <c r="AB74" s="248">
        <f t="shared" si="35"/>
        <v>0</v>
      </c>
      <c r="AC74" s="248">
        <f t="shared" si="36"/>
        <v>0</v>
      </c>
      <c r="AD74" s="248">
        <f t="shared" si="37"/>
        <v>0.24784999999999999</v>
      </c>
      <c r="AE74" s="248">
        <f t="shared" si="38"/>
        <v>0.24784999999999999</v>
      </c>
      <c r="AF74" s="248">
        <f>[9]Permanents!G74</f>
        <v>0.12916999999999998</v>
      </c>
      <c r="AG74" s="247">
        <f t="shared" si="39"/>
        <v>0</v>
      </c>
      <c r="AH74" s="243">
        <f t="shared" si="40"/>
        <v>0</v>
      </c>
      <c r="AI74" s="243">
        <f t="shared" si="41"/>
        <v>0</v>
      </c>
      <c r="AJ74" s="243">
        <f t="shared" si="42"/>
        <v>1.89E-3</v>
      </c>
      <c r="AK74" s="243">
        <f t="shared" si="43"/>
        <v>3.5E-4</v>
      </c>
      <c r="AL74" s="243">
        <f t="shared" si="44"/>
        <v>0</v>
      </c>
      <c r="AM74" s="243">
        <f t="shared" si="45"/>
        <v>-2.0000000000000002E-5</v>
      </c>
      <c r="AN74" s="243">
        <f t="shared" si="46"/>
        <v>1.0000000000000001E-5</v>
      </c>
      <c r="AO74" s="243">
        <f>[9]Permanents!F74</f>
        <v>0</v>
      </c>
      <c r="AP74" s="243">
        <f t="shared" si="47"/>
        <v>4.8900000000000002E-3</v>
      </c>
      <c r="AQ74" s="243">
        <f t="shared" si="48"/>
        <v>0.24073</v>
      </c>
      <c r="AR74" s="243"/>
      <c r="AS74" s="243"/>
      <c r="AT74" s="243">
        <f t="shared" si="49"/>
        <v>0</v>
      </c>
      <c r="AU74" s="243">
        <f t="shared" si="50"/>
        <v>0</v>
      </c>
      <c r="AV74" s="243">
        <f t="shared" si="51"/>
        <v>0</v>
      </c>
      <c r="AW74" s="246">
        <f>[32]Temporaries!Q74</f>
        <v>0</v>
      </c>
      <c r="AX74" s="246">
        <f>SUM([32]Temporaries!K74:M74)</f>
        <v>0</v>
      </c>
      <c r="AY74" s="246">
        <f>SUM([32]Temporaries!N74:O74)</f>
        <v>0</v>
      </c>
      <c r="AZ74" s="245">
        <f>[32]Temporaries!R74</f>
        <v>1.8E-3</v>
      </c>
      <c r="BA74" s="245">
        <f t="shared" si="52"/>
        <v>0</v>
      </c>
      <c r="BB74" s="255">
        <f>[32]Temporaries!P74</f>
        <v>-1.3999999999999999E-4</v>
      </c>
      <c r="BC74" s="245">
        <f>[32]Temporaries!S74</f>
        <v>1.0300000000000001E-3</v>
      </c>
      <c r="BD74" s="245">
        <f>[32]Temporaries!T74</f>
        <v>1E-4</v>
      </c>
      <c r="BE74" s="245">
        <f>[32]Temporaries!U74</f>
        <v>4.8900000000000002E-3</v>
      </c>
      <c r="BF74" s="245">
        <v>0.24073</v>
      </c>
      <c r="BG74" s="245"/>
      <c r="BH74" s="244">
        <f t="shared" si="53"/>
        <v>0</v>
      </c>
      <c r="BI74" s="243">
        <f t="shared" si="54"/>
        <v>0.24784999999999999</v>
      </c>
      <c r="BJ74" s="243">
        <f t="shared" si="55"/>
        <v>0.24784999999999999</v>
      </c>
    </row>
    <row r="75" spans="1:62" x14ac:dyDescent="0.35">
      <c r="A75" s="233">
        <f t="shared" si="56"/>
        <v>69</v>
      </c>
      <c r="B75" s="233"/>
      <c r="C75" s="261" t="s">
        <v>69</v>
      </c>
      <c r="D75" s="259">
        <v>0.24687000000000001</v>
      </c>
      <c r="E75" s="259">
        <v>0</v>
      </c>
      <c r="F75" s="259">
        <f>+' Increments  equal ¢ per therm'!H75</f>
        <v>0</v>
      </c>
      <c r="G75" s="259">
        <f>+' Increments  equal ¢ per therm'!I75</f>
        <v>0</v>
      </c>
      <c r="H75" s="259">
        <f>+' Increments  equal ¢ per therm'!J75</f>
        <v>0</v>
      </c>
      <c r="I75" s="259">
        <f t="shared" si="29"/>
        <v>0</v>
      </c>
      <c r="J75" s="259">
        <f t="shared" si="30"/>
        <v>0</v>
      </c>
      <c r="K75" s="243">
        <f>+'[9]Allocation = % of margin'!P75</f>
        <v>0</v>
      </c>
      <c r="L75" s="243">
        <f>+'[9]Allocation = % of margin'!Q75</f>
        <v>0</v>
      </c>
      <c r="M75" s="243">
        <f>+'[9]Allocation = % of margin'!R75</f>
        <v>0</v>
      </c>
      <c r="N75" s="243">
        <f>+'[9]Allocation = % of margin'!S75</f>
        <v>0</v>
      </c>
      <c r="O75" s="243">
        <f>+'[9]Allocation = % of margin'!T75</f>
        <v>0</v>
      </c>
      <c r="P75" s="243">
        <f>'[9]Allocation = % of margin'!AE75</f>
        <v>-2.0000000000000002E-5</v>
      </c>
      <c r="Q75" s="243">
        <f>' Increments  equal ¢ per therm'!Q75</f>
        <v>0</v>
      </c>
      <c r="R75" s="243">
        <f>'[9]Allocation = % of margin'!AH75</f>
        <v>1.4499999999999999E-3</v>
      </c>
      <c r="S75" s="243">
        <f>' Increments  equal ¢ per therm'!T75</f>
        <v>3.5E-4</v>
      </c>
      <c r="T75" s="243">
        <f>'[9]Allocation = % of revenue'!M75</f>
        <v>1.0000000000000001E-5</v>
      </c>
      <c r="U75" s="243">
        <f>'[9]Allocation = % of margin'!AK75</f>
        <v>3.7499999999999999E-3</v>
      </c>
      <c r="V75" s="243">
        <f>' Increments  equal ¢ per therm'!W75</f>
        <v>0.24073</v>
      </c>
      <c r="W75" s="243">
        <f t="shared" si="31"/>
        <v>0.24626999999999999</v>
      </c>
      <c r="X75" s="243">
        <f t="shared" si="32"/>
        <v>-6.0000000000001719E-4</v>
      </c>
      <c r="Y75" s="243"/>
      <c r="Z75" s="248">
        <f t="shared" si="33"/>
        <v>0.24626999999999999</v>
      </c>
      <c r="AA75" s="248">
        <f t="shared" si="34"/>
        <v>5.5599999999999998E-3</v>
      </c>
      <c r="AB75" s="248">
        <f t="shared" si="35"/>
        <v>0</v>
      </c>
      <c r="AC75" s="248">
        <f t="shared" si="36"/>
        <v>0</v>
      </c>
      <c r="AD75" s="248">
        <f t="shared" si="37"/>
        <v>0.24626999999999999</v>
      </c>
      <c r="AE75" s="248">
        <f t="shared" si="38"/>
        <v>0.24626999999999999</v>
      </c>
      <c r="AF75" s="248">
        <f>[9]Permanents!G75</f>
        <v>9.9049999999999985E-2</v>
      </c>
      <c r="AG75" s="247">
        <f t="shared" si="39"/>
        <v>0</v>
      </c>
      <c r="AH75" s="243">
        <f t="shared" si="40"/>
        <v>0</v>
      </c>
      <c r="AI75" s="243">
        <f t="shared" si="41"/>
        <v>0</v>
      </c>
      <c r="AJ75" s="243">
        <f t="shared" si="42"/>
        <v>1.4499999999999999E-3</v>
      </c>
      <c r="AK75" s="243">
        <f t="shared" si="43"/>
        <v>3.5E-4</v>
      </c>
      <c r="AL75" s="243">
        <f t="shared" si="44"/>
        <v>0</v>
      </c>
      <c r="AM75" s="243">
        <f t="shared" si="45"/>
        <v>-2.0000000000000002E-5</v>
      </c>
      <c r="AN75" s="243">
        <f t="shared" si="46"/>
        <v>1.0000000000000001E-5</v>
      </c>
      <c r="AO75" s="243">
        <f>[9]Permanents!F75</f>
        <v>0</v>
      </c>
      <c r="AP75" s="243">
        <f t="shared" si="47"/>
        <v>3.7499999999999999E-3</v>
      </c>
      <c r="AQ75" s="243">
        <f t="shared" si="48"/>
        <v>0.24073</v>
      </c>
      <c r="AR75" s="243"/>
      <c r="AS75" s="243"/>
      <c r="AT75" s="243">
        <f t="shared" si="49"/>
        <v>0</v>
      </c>
      <c r="AU75" s="243">
        <f t="shared" si="50"/>
        <v>0</v>
      </c>
      <c r="AV75" s="243">
        <f t="shared" si="51"/>
        <v>0</v>
      </c>
      <c r="AW75" s="246">
        <f>[32]Temporaries!Q75</f>
        <v>0</v>
      </c>
      <c r="AX75" s="246">
        <f>SUM([32]Temporaries!K75:M75)</f>
        <v>0</v>
      </c>
      <c r="AY75" s="246">
        <f>SUM([32]Temporaries!N75:O75)</f>
        <v>0</v>
      </c>
      <c r="AZ75" s="245">
        <f>[32]Temporaries!R75</f>
        <v>1.3799999999999999E-3</v>
      </c>
      <c r="BA75" s="245">
        <f t="shared" si="52"/>
        <v>0</v>
      </c>
      <c r="BB75" s="255">
        <f>[32]Temporaries!P75</f>
        <v>-1.1E-4</v>
      </c>
      <c r="BC75" s="245">
        <f>[32]Temporaries!S75</f>
        <v>1.0300000000000001E-3</v>
      </c>
      <c r="BD75" s="245">
        <f>[32]Temporaries!T75</f>
        <v>9.0000000000000006E-5</v>
      </c>
      <c r="BE75" s="245">
        <f>[32]Temporaries!U75</f>
        <v>3.7499999999999999E-3</v>
      </c>
      <c r="BF75" s="245">
        <v>0.24073</v>
      </c>
      <c r="BG75" s="245"/>
      <c r="BH75" s="244">
        <f t="shared" si="53"/>
        <v>0</v>
      </c>
      <c r="BI75" s="243">
        <f t="shared" si="54"/>
        <v>0.24626999999999999</v>
      </c>
      <c r="BJ75" s="243">
        <f t="shared" si="55"/>
        <v>0.24626999999999999</v>
      </c>
    </row>
    <row r="76" spans="1:62" x14ac:dyDescent="0.35">
      <c r="A76" s="233">
        <f t="shared" si="56"/>
        <v>70</v>
      </c>
      <c r="B76" s="233"/>
      <c r="C76" s="261" t="s">
        <v>70</v>
      </c>
      <c r="D76" s="259">
        <v>0.24586</v>
      </c>
      <c r="E76" s="259">
        <v>0</v>
      </c>
      <c r="F76" s="259">
        <f>+' Increments  equal ¢ per therm'!H76</f>
        <v>0</v>
      </c>
      <c r="G76" s="259">
        <f>+' Increments  equal ¢ per therm'!I76</f>
        <v>0</v>
      </c>
      <c r="H76" s="259">
        <f>+' Increments  equal ¢ per therm'!J76</f>
        <v>0</v>
      </c>
      <c r="I76" s="259">
        <f t="shared" si="29"/>
        <v>0</v>
      </c>
      <c r="J76" s="259">
        <f t="shared" si="30"/>
        <v>0</v>
      </c>
      <c r="K76" s="243">
        <f>+'[9]Allocation = % of margin'!P76</f>
        <v>0</v>
      </c>
      <c r="L76" s="243">
        <f>+'[9]Allocation = % of margin'!Q76</f>
        <v>0</v>
      </c>
      <c r="M76" s="243">
        <f>+'[9]Allocation = % of margin'!R76</f>
        <v>0</v>
      </c>
      <c r="N76" s="243">
        <f>+'[9]Allocation = % of margin'!S76</f>
        <v>0</v>
      </c>
      <c r="O76" s="243">
        <f>+'[9]Allocation = % of margin'!T76</f>
        <v>0</v>
      </c>
      <c r="P76" s="243">
        <f>'[9]Allocation = % of margin'!AE76</f>
        <v>-1.0000000000000001E-5</v>
      </c>
      <c r="Q76" s="243">
        <f>' Increments  equal ¢ per therm'!Q76</f>
        <v>0</v>
      </c>
      <c r="R76" s="243">
        <f>'[9]Allocation = % of margin'!AH76</f>
        <v>1.16E-3</v>
      </c>
      <c r="S76" s="243">
        <f>' Increments  equal ¢ per therm'!T76</f>
        <v>3.5E-4</v>
      </c>
      <c r="T76" s="243">
        <f>'[9]Allocation = % of revenue'!M76</f>
        <v>1.0000000000000001E-5</v>
      </c>
      <c r="U76" s="243">
        <f>'[9]Allocation = % of margin'!AK76</f>
        <v>3.0000000000000001E-3</v>
      </c>
      <c r="V76" s="243">
        <f>' Increments  equal ¢ per therm'!W76</f>
        <v>0.24073</v>
      </c>
      <c r="W76" s="243">
        <f t="shared" si="31"/>
        <v>0.24524000000000001</v>
      </c>
      <c r="X76" s="243">
        <f t="shared" si="32"/>
        <v>-6.1999999999998168E-4</v>
      </c>
      <c r="Y76" s="243"/>
      <c r="Z76" s="248">
        <f t="shared" si="33"/>
        <v>0.24524000000000001</v>
      </c>
      <c r="AA76" s="248">
        <f t="shared" si="34"/>
        <v>4.5199999999999997E-3</v>
      </c>
      <c r="AB76" s="248">
        <f t="shared" si="35"/>
        <v>0</v>
      </c>
      <c r="AC76" s="248">
        <f t="shared" si="36"/>
        <v>0</v>
      </c>
      <c r="AD76" s="248">
        <f t="shared" si="37"/>
        <v>0.24524000000000001</v>
      </c>
      <c r="AE76" s="248">
        <f t="shared" si="38"/>
        <v>0.24524000000000001</v>
      </c>
      <c r="AF76" s="248">
        <f>[9]Permanents!G76</f>
        <v>7.9250000000000001E-2</v>
      </c>
      <c r="AG76" s="247">
        <f t="shared" si="39"/>
        <v>0</v>
      </c>
      <c r="AH76" s="243">
        <f t="shared" si="40"/>
        <v>0</v>
      </c>
      <c r="AI76" s="243">
        <f t="shared" si="41"/>
        <v>0</v>
      </c>
      <c r="AJ76" s="243">
        <f t="shared" si="42"/>
        <v>1.16E-3</v>
      </c>
      <c r="AK76" s="243">
        <f t="shared" si="43"/>
        <v>3.5E-4</v>
      </c>
      <c r="AL76" s="243">
        <f t="shared" si="44"/>
        <v>0</v>
      </c>
      <c r="AM76" s="243">
        <f t="shared" si="45"/>
        <v>-1.0000000000000001E-5</v>
      </c>
      <c r="AN76" s="243">
        <f t="shared" si="46"/>
        <v>1.0000000000000001E-5</v>
      </c>
      <c r="AO76" s="243">
        <f>[9]Permanents!F76</f>
        <v>0</v>
      </c>
      <c r="AP76" s="243">
        <f t="shared" si="47"/>
        <v>3.0000000000000001E-3</v>
      </c>
      <c r="AQ76" s="243">
        <f t="shared" si="48"/>
        <v>0.24073</v>
      </c>
      <c r="AR76" s="243"/>
      <c r="AS76" s="243"/>
      <c r="AT76" s="243">
        <f t="shared" si="49"/>
        <v>0</v>
      </c>
      <c r="AU76" s="243">
        <f t="shared" si="50"/>
        <v>0</v>
      </c>
      <c r="AV76" s="243">
        <f t="shared" si="51"/>
        <v>0</v>
      </c>
      <c r="AW76" s="246">
        <f>[32]Temporaries!Q76</f>
        <v>0</v>
      </c>
      <c r="AX76" s="246">
        <f>SUM([32]Temporaries!K76:M76)</f>
        <v>0</v>
      </c>
      <c r="AY76" s="246">
        <f>SUM([32]Temporaries!N76:O76)</f>
        <v>0</v>
      </c>
      <c r="AZ76" s="245">
        <f>[32]Temporaries!R76</f>
        <v>1.1000000000000001E-3</v>
      </c>
      <c r="BA76" s="245">
        <f t="shared" si="52"/>
        <v>0</v>
      </c>
      <c r="BB76" s="255">
        <f>[32]Temporaries!P76</f>
        <v>-9.0000000000000006E-5</v>
      </c>
      <c r="BC76" s="245">
        <f>[32]Temporaries!S76</f>
        <v>1.0300000000000001E-3</v>
      </c>
      <c r="BD76" s="245">
        <f>[32]Temporaries!T76</f>
        <v>9.0000000000000006E-5</v>
      </c>
      <c r="BE76" s="245">
        <f>[32]Temporaries!U76</f>
        <v>3.0000000000000001E-3</v>
      </c>
      <c r="BF76" s="245">
        <v>0.24073</v>
      </c>
      <c r="BG76" s="245"/>
      <c r="BH76" s="244">
        <f t="shared" si="53"/>
        <v>0</v>
      </c>
      <c r="BI76" s="243">
        <f t="shared" si="54"/>
        <v>0.24524000000000001</v>
      </c>
      <c r="BJ76" s="243">
        <f t="shared" si="55"/>
        <v>0.24524000000000001</v>
      </c>
    </row>
    <row r="77" spans="1:62" x14ac:dyDescent="0.35">
      <c r="A77" s="233">
        <f t="shared" si="56"/>
        <v>71</v>
      </c>
      <c r="B77" s="233"/>
      <c r="C77" s="261" t="s">
        <v>71</v>
      </c>
      <c r="D77" s="259">
        <v>0.24451999999999999</v>
      </c>
      <c r="E77" s="259">
        <v>0</v>
      </c>
      <c r="F77" s="259">
        <f>+' Increments  equal ¢ per therm'!H77</f>
        <v>0</v>
      </c>
      <c r="G77" s="259">
        <f>+' Increments  equal ¢ per therm'!I77</f>
        <v>0</v>
      </c>
      <c r="H77" s="259">
        <f>+' Increments  equal ¢ per therm'!J77</f>
        <v>0</v>
      </c>
      <c r="I77" s="259">
        <f t="shared" ref="I77:I80" si="57">SUM(F77:H77)</f>
        <v>0</v>
      </c>
      <c r="J77" s="259">
        <f t="shared" ref="J77:J80" si="58">I77-E77</f>
        <v>0</v>
      </c>
      <c r="K77" s="243">
        <f>+'[9]Allocation = % of margin'!P77</f>
        <v>0</v>
      </c>
      <c r="L77" s="243">
        <f>+'[9]Allocation = % of margin'!Q77</f>
        <v>0</v>
      </c>
      <c r="M77" s="243">
        <f>+'[9]Allocation = % of margin'!R77</f>
        <v>0</v>
      </c>
      <c r="N77" s="243">
        <f>+'[9]Allocation = % of margin'!S77</f>
        <v>0</v>
      </c>
      <c r="O77" s="243">
        <f>+'[9]Allocation = % of margin'!T77</f>
        <v>0</v>
      </c>
      <c r="P77" s="243">
        <f>'[9]Allocation = % of margin'!AE77</f>
        <v>-1.0000000000000001E-5</v>
      </c>
      <c r="Q77" s="243">
        <f>' Increments  equal ¢ per therm'!Q77</f>
        <v>0</v>
      </c>
      <c r="R77" s="243">
        <f>'[9]Allocation = % of margin'!AH77</f>
        <v>7.6999999999999996E-4</v>
      </c>
      <c r="S77" s="243">
        <f>' Increments  equal ¢ per therm'!T77</f>
        <v>3.5E-4</v>
      </c>
      <c r="T77" s="243">
        <f>'[9]Allocation = % of revenue'!M77</f>
        <v>1.0000000000000001E-5</v>
      </c>
      <c r="U77" s="243">
        <f>'[9]Allocation = % of margin'!AK77</f>
        <v>2E-3</v>
      </c>
      <c r="V77" s="243">
        <f>' Increments  equal ¢ per therm'!W77</f>
        <v>0.24073</v>
      </c>
      <c r="W77" s="243">
        <f t="shared" ref="W77:W80" si="59">I77+SUM(K77:V77)</f>
        <v>0.24385000000000001</v>
      </c>
      <c r="X77" s="243">
        <f t="shared" ref="X77:X80" si="60">+W77-D77</f>
        <v>-6.6999999999997617E-4</v>
      </c>
      <c r="Y77" s="243"/>
      <c r="Z77" s="248">
        <f t="shared" si="33"/>
        <v>0.24385000000000001</v>
      </c>
      <c r="AA77" s="248">
        <f t="shared" si="34"/>
        <v>3.13E-3</v>
      </c>
      <c r="AB77" s="248">
        <f t="shared" si="35"/>
        <v>0</v>
      </c>
      <c r="AC77" s="248">
        <f t="shared" si="36"/>
        <v>0</v>
      </c>
      <c r="AD77" s="248">
        <f t="shared" si="37"/>
        <v>0.24385000000000001</v>
      </c>
      <c r="AE77" s="248">
        <f t="shared" ref="AE77:AE81" si="61">SUM(AB77:AD77)</f>
        <v>0.24385000000000001</v>
      </c>
      <c r="AF77" s="248">
        <f>[9]Permanents!G77</f>
        <v>5.2839999999999998E-2</v>
      </c>
      <c r="AG77" s="247">
        <f t="shared" si="39"/>
        <v>0</v>
      </c>
      <c r="AH77" s="243">
        <f t="shared" si="40"/>
        <v>0</v>
      </c>
      <c r="AI77" s="243">
        <f t="shared" si="41"/>
        <v>0</v>
      </c>
      <c r="AJ77" s="243">
        <f t="shared" si="42"/>
        <v>7.6999999999999996E-4</v>
      </c>
      <c r="AK77" s="243">
        <f t="shared" si="43"/>
        <v>3.5E-4</v>
      </c>
      <c r="AL77" s="243">
        <f t="shared" si="44"/>
        <v>0</v>
      </c>
      <c r="AM77" s="243">
        <f t="shared" si="45"/>
        <v>-1.0000000000000001E-5</v>
      </c>
      <c r="AN77" s="243">
        <f t="shared" si="46"/>
        <v>1.0000000000000001E-5</v>
      </c>
      <c r="AO77" s="243">
        <f>[9]Permanents!F77</f>
        <v>0</v>
      </c>
      <c r="AP77" s="243">
        <f t="shared" si="47"/>
        <v>2E-3</v>
      </c>
      <c r="AQ77" s="243">
        <f t="shared" si="48"/>
        <v>0.24073</v>
      </c>
      <c r="AR77" s="243"/>
      <c r="AS77" s="243"/>
      <c r="AT77" s="243">
        <f t="shared" si="49"/>
        <v>0</v>
      </c>
      <c r="AU77" s="243">
        <f t="shared" si="50"/>
        <v>0</v>
      </c>
      <c r="AV77" s="243">
        <f t="shared" ref="AV77:AV81" si="62">SUM(AS77:AU77)</f>
        <v>0</v>
      </c>
      <c r="AW77" s="246">
        <f>[32]Temporaries!Q77</f>
        <v>0</v>
      </c>
      <c r="AX77" s="246">
        <f>SUM([32]Temporaries!K77:M77)</f>
        <v>0</v>
      </c>
      <c r="AY77" s="246">
        <f>SUM([32]Temporaries!N77:O77)</f>
        <v>0</v>
      </c>
      <c r="AZ77" s="245">
        <f>[32]Temporaries!R77</f>
        <v>7.3999999999999999E-4</v>
      </c>
      <c r="BA77" s="245">
        <f t="shared" si="52"/>
        <v>0</v>
      </c>
      <c r="BB77" s="255">
        <f>[32]Temporaries!P77</f>
        <v>-6.0000000000000002E-5</v>
      </c>
      <c r="BC77" s="245">
        <f>[32]Temporaries!S77</f>
        <v>1.0300000000000001E-3</v>
      </c>
      <c r="BD77" s="245">
        <f>[32]Temporaries!T77</f>
        <v>8.0000000000000007E-5</v>
      </c>
      <c r="BE77" s="245">
        <f>[32]Temporaries!U77</f>
        <v>2E-3</v>
      </c>
      <c r="BF77" s="245">
        <v>0.24073</v>
      </c>
      <c r="BG77" s="245"/>
      <c r="BH77" s="244">
        <f t="shared" ref="BH77:BH81" si="63">SUM(AW77:BG77)-D77</f>
        <v>0</v>
      </c>
      <c r="BI77" s="243">
        <f t="shared" si="54"/>
        <v>0.24385000000000001</v>
      </c>
      <c r="BJ77" s="243">
        <f t="shared" si="55"/>
        <v>0.24385000000000001</v>
      </c>
    </row>
    <row r="78" spans="1:62" x14ac:dyDescent="0.35">
      <c r="A78" s="233">
        <f t="shared" si="56"/>
        <v>72</v>
      </c>
      <c r="B78" s="258"/>
      <c r="C78" s="260" t="s">
        <v>72</v>
      </c>
      <c r="D78" s="251">
        <v>0.24285000000000001</v>
      </c>
      <c r="E78" s="259">
        <v>0</v>
      </c>
      <c r="F78" s="259">
        <f>+' Increments  equal ¢ per therm'!H78</f>
        <v>0</v>
      </c>
      <c r="G78" s="259">
        <f>+' Increments  equal ¢ per therm'!I78</f>
        <v>0</v>
      </c>
      <c r="H78" s="259">
        <f>+' Increments  equal ¢ per therm'!J78</f>
        <v>0</v>
      </c>
      <c r="I78" s="251">
        <f t="shared" si="57"/>
        <v>0</v>
      </c>
      <c r="J78" s="251">
        <f t="shared" si="58"/>
        <v>0</v>
      </c>
      <c r="K78" s="243">
        <f>+'[9]Allocation = % of margin'!P78</f>
        <v>0</v>
      </c>
      <c r="L78" s="243">
        <f>+'[9]Allocation = % of margin'!Q78</f>
        <v>0</v>
      </c>
      <c r="M78" s="243">
        <f>+'[9]Allocation = % of margin'!R78</f>
        <v>0</v>
      </c>
      <c r="N78" s="243">
        <f>+'[9]Allocation = % of margin'!S78</f>
        <v>0</v>
      </c>
      <c r="O78" s="243">
        <f>+'[9]Allocation = % of margin'!T78</f>
        <v>0</v>
      </c>
      <c r="P78" s="243">
        <f>'[9]Allocation = % of margin'!AE78</f>
        <v>0</v>
      </c>
      <c r="Q78" s="243">
        <f>' Increments  equal ¢ per therm'!Q78</f>
        <v>0</v>
      </c>
      <c r="R78" s="243">
        <f>'[9]Allocation = % of margin'!AH78</f>
        <v>2.9E-4</v>
      </c>
      <c r="S78" s="243">
        <f>' Increments  equal ¢ per therm'!T78</f>
        <v>3.5E-4</v>
      </c>
      <c r="T78" s="243">
        <f>'[9]Allocation = % of revenue'!M78</f>
        <v>0</v>
      </c>
      <c r="U78" s="243">
        <f>'[9]Allocation = % of margin'!AK78</f>
        <v>7.5000000000000002E-4</v>
      </c>
      <c r="V78" s="243">
        <f>' Increments  equal ¢ per therm'!W78</f>
        <v>0.24073</v>
      </c>
      <c r="W78" s="249">
        <f t="shared" si="59"/>
        <v>0.24212</v>
      </c>
      <c r="X78" s="249">
        <f t="shared" si="60"/>
        <v>-7.3000000000000842E-4</v>
      </c>
      <c r="Y78" s="243"/>
      <c r="Z78" s="248">
        <f t="shared" si="33"/>
        <v>0.24212</v>
      </c>
      <c r="AA78" s="248">
        <f t="shared" si="34"/>
        <v>1.39E-3</v>
      </c>
      <c r="AB78" s="248">
        <f t="shared" si="35"/>
        <v>0</v>
      </c>
      <c r="AC78" s="248">
        <f t="shared" si="36"/>
        <v>0</v>
      </c>
      <c r="AD78" s="248">
        <f t="shared" si="37"/>
        <v>0.24212</v>
      </c>
      <c r="AE78" s="248">
        <f t="shared" si="61"/>
        <v>0.24212</v>
      </c>
      <c r="AF78" s="248">
        <f>[9]Permanents!G78</f>
        <v>1.9810000000000001E-2</v>
      </c>
      <c r="AG78" s="247">
        <f t="shared" si="39"/>
        <v>0</v>
      </c>
      <c r="AH78" s="243">
        <f t="shared" si="40"/>
        <v>0</v>
      </c>
      <c r="AI78" s="243">
        <f t="shared" si="41"/>
        <v>0</v>
      </c>
      <c r="AJ78" s="243">
        <f t="shared" si="42"/>
        <v>2.9E-4</v>
      </c>
      <c r="AK78" s="243">
        <f t="shared" si="43"/>
        <v>3.5E-4</v>
      </c>
      <c r="AL78" s="243">
        <f t="shared" si="44"/>
        <v>0</v>
      </c>
      <c r="AM78" s="243">
        <f t="shared" si="45"/>
        <v>0</v>
      </c>
      <c r="AN78" s="243">
        <f t="shared" si="46"/>
        <v>0</v>
      </c>
      <c r="AO78" s="243">
        <f>[9]Permanents!F78</f>
        <v>0</v>
      </c>
      <c r="AP78" s="243">
        <f t="shared" si="47"/>
        <v>7.5000000000000002E-4</v>
      </c>
      <c r="AQ78" s="243">
        <f t="shared" si="48"/>
        <v>0.24073</v>
      </c>
      <c r="AR78" s="243"/>
      <c r="AS78" s="243"/>
      <c r="AT78" s="243">
        <f t="shared" si="49"/>
        <v>0</v>
      </c>
      <c r="AU78" s="243">
        <f t="shared" si="50"/>
        <v>0</v>
      </c>
      <c r="AV78" s="243">
        <f t="shared" si="62"/>
        <v>0</v>
      </c>
      <c r="AW78" s="246">
        <f>[32]Temporaries!Q78</f>
        <v>0</v>
      </c>
      <c r="AX78" s="246">
        <f>SUM([32]Temporaries!K78:M78)</f>
        <v>0</v>
      </c>
      <c r="AY78" s="246">
        <f>SUM([32]Temporaries!N78:O78)</f>
        <v>0</v>
      </c>
      <c r="AZ78" s="245">
        <f>[32]Temporaries!R78</f>
        <v>2.7999999999999998E-4</v>
      </c>
      <c r="BA78" s="245">
        <f t="shared" si="52"/>
        <v>0</v>
      </c>
      <c r="BB78" s="255">
        <f>[32]Temporaries!P78</f>
        <v>-2.0000000000000002E-5</v>
      </c>
      <c r="BC78" s="245">
        <f>[32]Temporaries!S78</f>
        <v>1.0300000000000001E-3</v>
      </c>
      <c r="BD78" s="245">
        <f>[32]Temporaries!T78</f>
        <v>8.0000000000000007E-5</v>
      </c>
      <c r="BE78" s="245">
        <f>[32]Temporaries!U78</f>
        <v>7.5000000000000002E-4</v>
      </c>
      <c r="BF78" s="245">
        <v>0.24073</v>
      </c>
      <c r="BG78" s="245"/>
      <c r="BH78" s="244">
        <f t="shared" si="63"/>
        <v>0</v>
      </c>
      <c r="BI78" s="243">
        <f t="shared" si="54"/>
        <v>0.24212</v>
      </c>
      <c r="BJ78" s="243">
        <f t="shared" si="55"/>
        <v>0.24212</v>
      </c>
    </row>
    <row r="79" spans="1:62" x14ac:dyDescent="0.35">
      <c r="A79" s="233">
        <f t="shared" si="56"/>
        <v>73</v>
      </c>
      <c r="B79" s="258" t="s">
        <v>80</v>
      </c>
      <c r="C79" s="258"/>
      <c r="D79" s="253">
        <v>0.24193999999999999</v>
      </c>
      <c r="E79" s="253">
        <v>0</v>
      </c>
      <c r="F79" s="253">
        <f>+' Increments  equal ¢ per therm'!H79</f>
        <v>0</v>
      </c>
      <c r="G79" s="253">
        <f>+' Increments  equal ¢ per therm'!I79</f>
        <v>0</v>
      </c>
      <c r="H79" s="253">
        <f>+' Increments  equal ¢ per therm'!J79</f>
        <v>0</v>
      </c>
      <c r="I79" s="253">
        <f t="shared" si="57"/>
        <v>0</v>
      </c>
      <c r="J79" s="253">
        <f t="shared" si="58"/>
        <v>0</v>
      </c>
      <c r="K79" s="257">
        <f>+'[9]Allocation = % of margin'!P79</f>
        <v>0</v>
      </c>
      <c r="L79" s="257">
        <f>+'[9]Allocation = % of margin'!Q79</f>
        <v>0</v>
      </c>
      <c r="M79" s="257">
        <f>+'[9]Allocation = % of margin'!R79</f>
        <v>0</v>
      </c>
      <c r="N79" s="257">
        <f>+'[9]Allocation = % of margin'!S79</f>
        <v>0</v>
      </c>
      <c r="O79" s="257">
        <f>+'[9]Allocation = % of margin'!T79</f>
        <v>0</v>
      </c>
      <c r="P79" s="257">
        <f>'[9]Allocation = % of margin'!AE79</f>
        <v>0</v>
      </c>
      <c r="Q79" s="257">
        <f>' Increments  equal ¢ per therm'!Q79</f>
        <v>0</v>
      </c>
      <c r="R79" s="257">
        <f>'[9]Allocation = % of margin'!AH79</f>
        <v>0</v>
      </c>
      <c r="S79" s="257">
        <f>' Increments  equal ¢ per therm'!T79</f>
        <v>3.5E-4</v>
      </c>
      <c r="T79" s="257">
        <f>'[9]Allocation = % of revenue'!M79</f>
        <v>0</v>
      </c>
      <c r="U79" s="257">
        <f>'[9]Allocation = % of margin'!AK79</f>
        <v>1.9000000000000001E-4</v>
      </c>
      <c r="V79" s="257">
        <f>' Increments  equal ¢ per therm'!W79</f>
        <v>0.24073</v>
      </c>
      <c r="W79" s="257">
        <f t="shared" si="59"/>
        <v>0.24127000000000001</v>
      </c>
      <c r="X79" s="257">
        <f t="shared" si="60"/>
        <v>-6.6999999999997617E-4</v>
      </c>
      <c r="Y79" s="243"/>
      <c r="Z79" s="248">
        <f t="shared" si="33"/>
        <v>0.24127000000000001</v>
      </c>
      <c r="AA79" s="248">
        <f t="shared" si="34"/>
        <v>5.4000000000000001E-4</v>
      </c>
      <c r="AB79" s="248">
        <f t="shared" si="35"/>
        <v>0</v>
      </c>
      <c r="AC79" s="248">
        <f t="shared" si="36"/>
        <v>0</v>
      </c>
      <c r="AD79" s="248">
        <f t="shared" si="37"/>
        <v>0.24127000000000001</v>
      </c>
      <c r="AE79" s="248">
        <f t="shared" si="61"/>
        <v>0.24127000000000001</v>
      </c>
      <c r="AF79" s="248">
        <f>[9]Permanents!G79</f>
        <v>4.9099999999999994E-3</v>
      </c>
      <c r="AG79" s="247">
        <f t="shared" si="39"/>
        <v>0</v>
      </c>
      <c r="AH79" s="243">
        <f t="shared" si="40"/>
        <v>0</v>
      </c>
      <c r="AI79" s="243">
        <f t="shared" si="41"/>
        <v>0</v>
      </c>
      <c r="AJ79" s="243">
        <f t="shared" si="42"/>
        <v>0</v>
      </c>
      <c r="AK79" s="243">
        <f t="shared" si="43"/>
        <v>3.5E-4</v>
      </c>
      <c r="AL79" s="243">
        <f t="shared" si="44"/>
        <v>0</v>
      </c>
      <c r="AM79" s="243">
        <f t="shared" si="45"/>
        <v>0</v>
      </c>
      <c r="AN79" s="243">
        <f t="shared" si="46"/>
        <v>0</v>
      </c>
      <c r="AO79" s="243">
        <f>[9]Permanents!F79</f>
        <v>0</v>
      </c>
      <c r="AP79" s="243">
        <f t="shared" si="47"/>
        <v>1.9000000000000001E-4</v>
      </c>
      <c r="AQ79" s="243">
        <f t="shared" si="48"/>
        <v>0.24073</v>
      </c>
      <c r="AR79" s="243"/>
      <c r="AS79" s="243"/>
      <c r="AT79" s="243">
        <f t="shared" si="49"/>
        <v>0</v>
      </c>
      <c r="AU79" s="243">
        <f t="shared" si="50"/>
        <v>0</v>
      </c>
      <c r="AV79" s="243">
        <f t="shared" si="62"/>
        <v>0</v>
      </c>
      <c r="AW79" s="246">
        <f>[32]Temporaries!Q79</f>
        <v>0</v>
      </c>
      <c r="AX79" s="246">
        <f>SUM([32]Temporaries!K79:M79)</f>
        <v>0</v>
      </c>
      <c r="AY79" s="246">
        <f>SUM([32]Temporaries!N79:O79)</f>
        <v>0</v>
      </c>
      <c r="AZ79" s="245">
        <f>[32]Temporaries!R79</f>
        <v>0</v>
      </c>
      <c r="BA79" s="245">
        <f t="shared" si="52"/>
        <v>0</v>
      </c>
      <c r="BB79" s="255">
        <f>[32]Temporaries!P79</f>
        <v>-1.0000000000000001E-5</v>
      </c>
      <c r="BC79" s="245">
        <f>[32]Temporaries!S79</f>
        <v>1.0300000000000001E-3</v>
      </c>
      <c r="BD79" s="245">
        <f>[32]Temporaries!T79</f>
        <v>0</v>
      </c>
      <c r="BE79" s="245">
        <f>[32]Temporaries!U79</f>
        <v>1.9000000000000001E-4</v>
      </c>
      <c r="BF79" s="245">
        <v>0.24073</v>
      </c>
      <c r="BG79" s="245"/>
      <c r="BH79" s="244">
        <f t="shared" si="63"/>
        <v>0</v>
      </c>
      <c r="BI79" s="243">
        <f t="shared" si="54"/>
        <v>0.24127000000000001</v>
      </c>
      <c r="BJ79" s="243">
        <f t="shared" si="55"/>
        <v>0.24127000000000001</v>
      </c>
    </row>
    <row r="80" spans="1:62" x14ac:dyDescent="0.35">
      <c r="A80" s="233">
        <f t="shared" si="56"/>
        <v>74</v>
      </c>
      <c r="B80" s="254" t="s">
        <v>81</v>
      </c>
      <c r="C80" s="254"/>
      <c r="D80" s="251">
        <v>0.24193999999999999</v>
      </c>
      <c r="E80" s="256">
        <v>0</v>
      </c>
      <c r="F80" s="251">
        <f>+' Increments  equal ¢ per therm'!H80</f>
        <v>0</v>
      </c>
      <c r="G80" s="251">
        <f>+' Increments  equal ¢ per therm'!K80</f>
        <v>0</v>
      </c>
      <c r="H80" s="251">
        <f>+' Increments  equal ¢ per therm'!N80</f>
        <v>0</v>
      </c>
      <c r="I80" s="251">
        <f t="shared" si="57"/>
        <v>0</v>
      </c>
      <c r="J80" s="251">
        <f t="shared" si="58"/>
        <v>0</v>
      </c>
      <c r="K80" s="249">
        <f>+'[9]Allocation = % of margin'!P80</f>
        <v>0</v>
      </c>
      <c r="L80" s="249">
        <f>+'[9]Allocation = % of margin'!S80</f>
        <v>0</v>
      </c>
      <c r="M80" s="249">
        <f>+'[9]Allocation = % of margin'!V80</f>
        <v>0</v>
      </c>
      <c r="N80" s="249">
        <f>+'[9]Allocation = % of margin'!Y80</f>
        <v>0</v>
      </c>
      <c r="O80" s="249">
        <f>+'[9]Allocation = % of margin'!AB80</f>
        <v>0</v>
      </c>
      <c r="P80" s="249">
        <f>'[9]Allocation = % of margin'!AE80</f>
        <v>0</v>
      </c>
      <c r="Q80" s="249">
        <f>' Increments  equal ¢ per therm'!Q80</f>
        <v>0</v>
      </c>
      <c r="R80" s="249">
        <f>'[9]Allocation = % of margin'!AH80</f>
        <v>0</v>
      </c>
      <c r="S80" s="249">
        <f>' Increments  equal ¢ per therm'!T80</f>
        <v>3.5E-4</v>
      </c>
      <c r="T80" s="249">
        <f>'[9]Allocation = % of revenue'!M80</f>
        <v>0</v>
      </c>
      <c r="U80" s="249">
        <f>'[9]Allocation = % of margin'!AK80</f>
        <v>1.9000000000000001E-4</v>
      </c>
      <c r="V80" s="249">
        <f>' Increments  equal ¢ per therm'!W80</f>
        <v>0.24073</v>
      </c>
      <c r="W80" s="249">
        <f t="shared" si="59"/>
        <v>0.24127000000000001</v>
      </c>
      <c r="X80" s="249">
        <f t="shared" si="60"/>
        <v>-6.6999999999997617E-4</v>
      </c>
      <c r="Y80" s="243"/>
      <c r="Z80" s="248">
        <f t="shared" si="33"/>
        <v>0.24127000000000001</v>
      </c>
      <c r="AA80" s="248">
        <f t="shared" si="34"/>
        <v>5.4000000000000001E-4</v>
      </c>
      <c r="AB80" s="248">
        <f t="shared" si="35"/>
        <v>0</v>
      </c>
      <c r="AC80" s="248">
        <f t="shared" si="36"/>
        <v>0</v>
      </c>
      <c r="AD80" s="248">
        <f t="shared" si="37"/>
        <v>0.24127000000000001</v>
      </c>
      <c r="AE80" s="248">
        <f t="shared" si="61"/>
        <v>0.24127000000000001</v>
      </c>
      <c r="AF80" s="248">
        <f>[9]Permanents!G80</f>
        <v>4.9099999999999994E-3</v>
      </c>
      <c r="AG80" s="247">
        <f t="shared" si="39"/>
        <v>0</v>
      </c>
      <c r="AH80" s="243">
        <f t="shared" si="40"/>
        <v>0</v>
      </c>
      <c r="AI80" s="243">
        <f t="shared" si="41"/>
        <v>0</v>
      </c>
      <c r="AJ80" s="243">
        <f t="shared" si="42"/>
        <v>0</v>
      </c>
      <c r="AK80" s="243">
        <f t="shared" si="43"/>
        <v>3.5E-4</v>
      </c>
      <c r="AL80" s="243">
        <f t="shared" si="44"/>
        <v>0</v>
      </c>
      <c r="AM80" s="243">
        <f t="shared" si="45"/>
        <v>0</v>
      </c>
      <c r="AN80" s="243">
        <f t="shared" si="46"/>
        <v>0</v>
      </c>
      <c r="AO80" s="243">
        <f>[9]Permanents!F80</f>
        <v>0</v>
      </c>
      <c r="AP80" s="243">
        <f t="shared" si="47"/>
        <v>1.9000000000000001E-4</v>
      </c>
      <c r="AQ80" s="243">
        <f t="shared" si="48"/>
        <v>0.24073</v>
      </c>
      <c r="AR80" s="243"/>
      <c r="AS80" s="243"/>
      <c r="AT80" s="243">
        <f t="shared" si="49"/>
        <v>0</v>
      </c>
      <c r="AU80" s="243">
        <f t="shared" si="50"/>
        <v>0</v>
      </c>
      <c r="AV80" s="243">
        <f t="shared" si="62"/>
        <v>0</v>
      </c>
      <c r="AW80" s="246">
        <f>[32]Temporaries!Q80</f>
        <v>0</v>
      </c>
      <c r="AX80" s="246">
        <f>SUM([32]Temporaries!K80:M80)</f>
        <v>0</v>
      </c>
      <c r="AY80" s="246">
        <f>SUM([32]Temporaries!N80:O80)</f>
        <v>0</v>
      </c>
      <c r="AZ80" s="245">
        <f>[32]Temporaries!R80</f>
        <v>0</v>
      </c>
      <c r="BA80" s="245">
        <f t="shared" si="52"/>
        <v>0</v>
      </c>
      <c r="BB80" s="255">
        <f>[32]Temporaries!P80</f>
        <v>-1.0000000000000001E-5</v>
      </c>
      <c r="BC80" s="245">
        <f>[32]Temporaries!S80</f>
        <v>1.0300000000000001E-3</v>
      </c>
      <c r="BD80" s="245">
        <f>[32]Temporaries!T80</f>
        <v>0</v>
      </c>
      <c r="BE80" s="245">
        <f>[32]Temporaries!U80</f>
        <v>1.9000000000000001E-4</v>
      </c>
      <c r="BF80" s="245">
        <v>0.24073</v>
      </c>
      <c r="BG80" s="245"/>
      <c r="BH80" s="244">
        <f t="shared" si="63"/>
        <v>0</v>
      </c>
      <c r="BI80" s="243">
        <f t="shared" si="54"/>
        <v>0.24127000000000001</v>
      </c>
      <c r="BJ80" s="243">
        <f t="shared" si="55"/>
        <v>0.24127000000000001</v>
      </c>
    </row>
    <row r="81" spans="1:62" x14ac:dyDescent="0.35">
      <c r="A81" s="233">
        <f t="shared" si="56"/>
        <v>75</v>
      </c>
      <c r="B81" s="254" t="s">
        <v>82</v>
      </c>
      <c r="C81" s="254"/>
      <c r="D81" s="251">
        <v>0.49725999999999998</v>
      </c>
      <c r="E81" s="253">
        <v>0</v>
      </c>
      <c r="F81" s="252"/>
      <c r="G81" s="252"/>
      <c r="H81" s="251"/>
      <c r="I81" s="251"/>
      <c r="J81" s="251"/>
      <c r="K81" s="249"/>
      <c r="L81" s="249"/>
      <c r="M81" s="249"/>
      <c r="N81" s="249"/>
      <c r="O81" s="249"/>
      <c r="P81" s="249"/>
      <c r="Q81" s="249"/>
      <c r="R81" s="249"/>
      <c r="S81" s="249"/>
      <c r="T81" s="249"/>
      <c r="U81" s="249"/>
      <c r="V81" s="249"/>
      <c r="W81" s="250"/>
      <c r="X81" s="249"/>
      <c r="Z81" s="248">
        <f t="shared" si="33"/>
        <v>0</v>
      </c>
      <c r="AA81" s="248">
        <f t="shared" si="34"/>
        <v>0</v>
      </c>
      <c r="AB81" s="248">
        <f t="shared" si="35"/>
        <v>0</v>
      </c>
      <c r="AC81" s="248">
        <f t="shared" si="36"/>
        <v>0</v>
      </c>
      <c r="AD81" s="248">
        <f t="shared" si="37"/>
        <v>0</v>
      </c>
      <c r="AE81" s="248">
        <f t="shared" si="61"/>
        <v>0</v>
      </c>
      <c r="AF81" s="248">
        <f>[9]Permanents!G81</f>
        <v>0</v>
      </c>
      <c r="AG81" s="247">
        <f t="shared" si="39"/>
        <v>0</v>
      </c>
      <c r="AH81" s="243">
        <f t="shared" si="40"/>
        <v>0</v>
      </c>
      <c r="AI81" s="243">
        <f t="shared" si="41"/>
        <v>0</v>
      </c>
      <c r="AJ81" s="243">
        <f t="shared" si="42"/>
        <v>0</v>
      </c>
      <c r="AK81" s="243">
        <f t="shared" si="43"/>
        <v>0</v>
      </c>
      <c r="AL81" s="243">
        <f t="shared" si="44"/>
        <v>0</v>
      </c>
      <c r="AM81" s="243">
        <f t="shared" si="45"/>
        <v>0</v>
      </c>
      <c r="AN81" s="243">
        <f t="shared" si="46"/>
        <v>0</v>
      </c>
      <c r="AO81" s="243">
        <f>[9]Permanents!F81</f>
        <v>0</v>
      </c>
      <c r="AP81" s="243">
        <f t="shared" si="47"/>
        <v>0</v>
      </c>
      <c r="AQ81" s="243">
        <f t="shared" si="48"/>
        <v>0</v>
      </c>
      <c r="AR81" s="243"/>
      <c r="AS81" s="243"/>
      <c r="AT81" s="243">
        <f t="shared" si="49"/>
        <v>0</v>
      </c>
      <c r="AU81" s="243">
        <f t="shared" si="50"/>
        <v>0</v>
      </c>
      <c r="AV81" s="243">
        <f t="shared" si="62"/>
        <v>0</v>
      </c>
      <c r="AW81" s="246">
        <f>[32]Temporaries!Q81</f>
        <v>0</v>
      </c>
      <c r="AX81" s="246">
        <f>SUM([32]Temporaries!K81:M81)</f>
        <v>0</v>
      </c>
      <c r="AY81" s="246">
        <f>SUM([32]Temporaries!N81:O81)</f>
        <v>0</v>
      </c>
      <c r="AZ81" s="245">
        <f>[32]Temporaries!R81</f>
        <v>0</v>
      </c>
      <c r="BA81" s="245">
        <f t="shared" si="52"/>
        <v>0</v>
      </c>
      <c r="BB81" s="245">
        <f>[32]Temporaries!P81</f>
        <v>0</v>
      </c>
      <c r="BC81" s="245">
        <f>[32]Temporaries!S81</f>
        <v>0</v>
      </c>
      <c r="BD81" s="245">
        <f>[32]Temporaries!T81</f>
        <v>0</v>
      </c>
      <c r="BE81" s="245">
        <f>[32]Temporaries!U81</f>
        <v>0</v>
      </c>
      <c r="BF81" s="245">
        <v>0.49725999999999998</v>
      </c>
      <c r="BG81" s="245"/>
      <c r="BH81" s="244">
        <f t="shared" si="63"/>
        <v>0</v>
      </c>
      <c r="BI81" s="243">
        <f t="shared" si="54"/>
        <v>0</v>
      </c>
      <c r="BJ81" s="243">
        <f t="shared" si="55"/>
        <v>0</v>
      </c>
    </row>
    <row r="82" spans="1:62" x14ac:dyDescent="0.35">
      <c r="A82" s="233">
        <f t="shared" si="56"/>
        <v>76</v>
      </c>
      <c r="B82" s="235"/>
      <c r="C82" s="235"/>
      <c r="D82" s="235"/>
      <c r="E82" s="235"/>
      <c r="F82" s="235"/>
      <c r="G82" s="235"/>
      <c r="H82" s="235"/>
      <c r="I82" s="235"/>
      <c r="J82" s="235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AZ82" s="234"/>
      <c r="BA82" s="234"/>
      <c r="BB82" s="234"/>
      <c r="BC82" s="234"/>
      <c r="BD82" s="234"/>
      <c r="BE82" s="234"/>
    </row>
    <row r="83" spans="1:62" ht="15" thickBot="1" x14ac:dyDescent="0.4">
      <c r="A83" s="233">
        <f t="shared" si="56"/>
        <v>77</v>
      </c>
      <c r="B83" s="236" t="s">
        <v>164</v>
      </c>
      <c r="C83" s="235"/>
      <c r="D83" s="235"/>
      <c r="E83" s="235"/>
      <c r="F83" s="235"/>
      <c r="G83" s="235"/>
      <c r="H83" s="235"/>
      <c r="I83" s="235"/>
      <c r="J83" s="235"/>
    </row>
    <row r="84" spans="1:62" ht="15" thickBot="1" x14ac:dyDescent="0.4">
      <c r="A84" s="233">
        <f t="shared" si="56"/>
        <v>78</v>
      </c>
      <c r="B84" s="232" t="s">
        <v>165</v>
      </c>
      <c r="C84" s="231"/>
      <c r="D84" s="242" t="s">
        <v>166</v>
      </c>
      <c r="E84" s="230" t="str">
        <f>D84</f>
        <v>23-24 PGA</v>
      </c>
      <c r="F84" s="231"/>
      <c r="G84" s="231"/>
      <c r="H84" s="231"/>
      <c r="I84" s="231"/>
      <c r="J84" s="231"/>
      <c r="K84" s="241"/>
      <c r="L84" s="241"/>
      <c r="M84" s="241"/>
      <c r="N84" s="241"/>
      <c r="O84" s="241"/>
      <c r="P84" s="241"/>
      <c r="Q84" s="241"/>
      <c r="R84" s="241"/>
      <c r="S84" s="241"/>
      <c r="T84" s="241"/>
      <c r="U84" s="241"/>
      <c r="V84" s="241"/>
      <c r="W84" s="241"/>
      <c r="X84" s="240"/>
      <c r="BF84" s="234"/>
      <c r="BG84" s="234"/>
    </row>
    <row r="85" spans="1:62" ht="15" thickBot="1" x14ac:dyDescent="0.4">
      <c r="A85" s="233">
        <f t="shared" si="56"/>
        <v>79</v>
      </c>
      <c r="B85" s="235"/>
      <c r="C85" s="235"/>
      <c r="D85" s="235"/>
      <c r="E85" s="235"/>
      <c r="F85" s="235"/>
      <c r="G85" s="235"/>
      <c r="H85" s="235"/>
      <c r="I85" s="235"/>
      <c r="J85" s="235"/>
    </row>
    <row r="86" spans="1:62" ht="15" thickBot="1" x14ac:dyDescent="0.4">
      <c r="A86" s="233">
        <f t="shared" si="56"/>
        <v>80</v>
      </c>
      <c r="B86" s="232" t="s">
        <v>167</v>
      </c>
      <c r="C86" s="231"/>
      <c r="D86" s="231"/>
      <c r="E86" s="231"/>
      <c r="F86" s="230" t="s">
        <v>168</v>
      </c>
      <c r="G86" s="230" t="s">
        <v>169</v>
      </c>
      <c r="H86" s="230" t="s">
        <v>170</v>
      </c>
      <c r="I86" s="230"/>
      <c r="J86" s="230"/>
      <c r="K86" s="237"/>
      <c r="L86" s="237"/>
      <c r="M86" s="237"/>
      <c r="N86" s="237"/>
      <c r="O86" s="237"/>
      <c r="P86" s="237"/>
      <c r="Q86" s="237"/>
      <c r="R86" s="237"/>
      <c r="S86" s="239"/>
      <c r="T86" s="239"/>
      <c r="U86" s="237"/>
      <c r="V86" s="237"/>
      <c r="W86" s="237"/>
      <c r="X86" s="238"/>
    </row>
    <row r="87" spans="1:62" ht="15" thickBot="1" x14ac:dyDescent="0.4">
      <c r="A87" s="233">
        <f t="shared" si="56"/>
        <v>81</v>
      </c>
      <c r="B87" s="232" t="s">
        <v>171</v>
      </c>
      <c r="C87" s="231"/>
      <c r="D87" s="231"/>
      <c r="E87" s="231"/>
      <c r="F87" s="231"/>
      <c r="G87" s="231"/>
      <c r="H87" s="231"/>
      <c r="I87" s="231"/>
      <c r="J87" s="231"/>
      <c r="K87" s="229" t="s">
        <v>172</v>
      </c>
      <c r="L87" s="229" t="s">
        <v>172</v>
      </c>
      <c r="M87" s="229" t="s">
        <v>173</v>
      </c>
      <c r="N87" s="229" t="s">
        <v>174</v>
      </c>
      <c r="O87" s="229" t="s">
        <v>175</v>
      </c>
      <c r="P87" s="229"/>
      <c r="Q87" s="229" t="s">
        <v>176</v>
      </c>
      <c r="R87" s="229" t="s">
        <v>177</v>
      </c>
      <c r="S87" s="237"/>
      <c r="T87" s="237"/>
      <c r="U87" s="227"/>
      <c r="V87" s="227"/>
      <c r="W87" s="227"/>
      <c r="X87" s="226"/>
    </row>
    <row r="88" spans="1:62" ht="15" thickBot="1" x14ac:dyDescent="0.4">
      <c r="A88" s="233">
        <f t="shared" si="56"/>
        <v>82</v>
      </c>
      <c r="B88" s="232" t="s">
        <v>178</v>
      </c>
      <c r="C88" s="231"/>
      <c r="D88" s="231"/>
      <c r="E88" s="231"/>
      <c r="F88" s="231"/>
      <c r="G88" s="231"/>
      <c r="H88" s="231"/>
      <c r="I88" s="231"/>
      <c r="J88" s="231"/>
      <c r="K88" s="229"/>
      <c r="L88" s="229"/>
      <c r="M88" s="229"/>
      <c r="N88" s="229"/>
      <c r="O88" s="229"/>
      <c r="P88" s="229"/>
      <c r="Q88" s="229"/>
      <c r="R88" s="229"/>
      <c r="S88" s="229" t="s">
        <v>169</v>
      </c>
      <c r="T88" s="237"/>
      <c r="U88" s="227"/>
      <c r="V88" s="227"/>
      <c r="W88" s="227"/>
      <c r="X88" s="226"/>
    </row>
    <row r="89" spans="1:62" ht="15" thickBot="1" x14ac:dyDescent="0.4">
      <c r="A89" s="233">
        <f t="shared" si="56"/>
        <v>83</v>
      </c>
      <c r="B89" s="236" t="s">
        <v>92</v>
      </c>
      <c r="C89" s="235"/>
      <c r="D89" s="235"/>
      <c r="E89" s="235"/>
      <c r="F89" s="235"/>
      <c r="G89" s="235"/>
      <c r="H89" s="235"/>
      <c r="I89" s="235"/>
      <c r="J89" s="235"/>
      <c r="K89" s="234"/>
      <c r="L89" s="234"/>
      <c r="M89" s="234"/>
      <c r="N89" s="234"/>
      <c r="O89" s="234"/>
      <c r="P89" s="234"/>
    </row>
    <row r="90" spans="1:62" ht="15" thickBot="1" x14ac:dyDescent="0.4">
      <c r="A90" s="233">
        <f t="shared" si="56"/>
        <v>84</v>
      </c>
      <c r="B90" s="232" t="s">
        <v>93</v>
      </c>
      <c r="C90" s="231"/>
      <c r="D90" s="231"/>
      <c r="E90" s="231"/>
      <c r="F90" s="230" t="str">
        <f>+' Increments  equal ¢ per therm'!F88</f>
        <v>Sched 201</v>
      </c>
      <c r="G90" s="230" t="str">
        <f>+' Increments  equal ¢ per therm'!I88</f>
        <v>Sched 201</v>
      </c>
      <c r="H90" s="230" t="str">
        <f>+' Increments  equal ¢ per therm'!L88</f>
        <v>Sched 201</v>
      </c>
      <c r="I90" s="230" t="s">
        <v>179</v>
      </c>
      <c r="J90" s="230" t="s">
        <v>179</v>
      </c>
      <c r="K90" s="229" t="str">
        <f>+'[9]Allocation = % of margin'!N88</f>
        <v>Sched 215</v>
      </c>
      <c r="L90" s="229" t="str">
        <f>K90</f>
        <v>Sched 215</v>
      </c>
      <c r="M90" s="229" t="str">
        <f>K90</f>
        <v>Sched 215</v>
      </c>
      <c r="N90" s="229" t="str">
        <f>+'[9]Allocation = % of margin'!W88</f>
        <v>Sched 230, Prg J</v>
      </c>
      <c r="O90" s="229" t="str">
        <f>+'[9]Allocation = % of margin'!Z88</f>
        <v>Sched 230, Prg I</v>
      </c>
      <c r="P90" s="229"/>
      <c r="Q90" s="229" t="str">
        <f>+'[9]Allocation = % of margin'!AC88</f>
        <v>Sched 209</v>
      </c>
      <c r="R90" s="229" t="s">
        <v>180</v>
      </c>
      <c r="S90" s="228"/>
      <c r="T90" s="228"/>
      <c r="U90" s="227"/>
      <c r="V90" s="227"/>
      <c r="W90" s="227"/>
      <c r="X90" s="226"/>
    </row>
    <row r="96" spans="1:62" x14ac:dyDescent="0.35">
      <c r="B96" s="224" t="s">
        <v>181</v>
      </c>
    </row>
  </sheetData>
  <mergeCells count="7">
    <mergeCell ref="AY11:AY12"/>
    <mergeCell ref="AZ11:AZ12"/>
    <mergeCell ref="BB11:BB12"/>
    <mergeCell ref="AH7:AH9"/>
    <mergeCell ref="AX11:AX12"/>
    <mergeCell ref="BA11:BA12"/>
    <mergeCell ref="AW11:AW12"/>
  </mergeCells>
  <conditionalFormatting sqref="W9">
    <cfRule type="cellIs" dxfId="31" priority="1" operator="notEqual">
      <formula>0</formula>
    </cfRule>
    <cfRule type="cellIs" dxfId="30" priority="2" operator="equal">
      <formula>0</formula>
    </cfRule>
  </conditionalFormatting>
  <pageMargins left="0.7" right="0.7" top="0.75" bottom="0.75" header="0.3" footer="0.3"/>
  <pageSetup orientation="portrait" r:id="rId1"/>
  <headerFooter alignWithMargins="0">
    <oddHeader>&amp;R&amp;"Arial,Regular"UG-250717 - NWN WUTC Advice 25-08A
Exhibit A - Supporting Materials
Page &amp;P of &amp;N</oddHeader>
  </headerFooter>
  <colBreaks count="1" manualBreakCount="1">
    <brk id="22" max="1048575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99E5F-9CBD-4549-94D3-1DDF248548DB}">
  <sheetPr>
    <tabColor theme="0" tint="-0.14999847407452621"/>
    <pageSetUpPr fitToPage="1"/>
  </sheetPr>
  <dimension ref="A1:X456"/>
  <sheetViews>
    <sheetView tabSelected="1" zoomScale="70" zoomScaleNormal="70" workbookViewId="0">
      <pane xSplit="3" ySplit="9" topLeftCell="D30" activePane="bottomRight" state="frozen"/>
      <selection activeCell="I13" sqref="I13:I80"/>
      <selection pane="topRight" activeCell="I13" sqref="I13:I80"/>
      <selection pane="bottomLeft" activeCell="I13" sqref="I13:I80"/>
      <selection pane="bottomRight" activeCell="I13" sqref="I13:I80"/>
    </sheetView>
  </sheetViews>
  <sheetFormatPr defaultColWidth="9.69921875" defaultRowHeight="14.5" outlineLevelRow="1" x14ac:dyDescent="0.35"/>
  <cols>
    <col min="1" max="1" width="6.296875" style="408" customWidth="1"/>
    <col min="2" max="2" width="32.5" style="408" customWidth="1"/>
    <col min="3" max="3" width="28" style="408" customWidth="1"/>
    <col min="4" max="16" width="17" style="408" customWidth="1"/>
    <col min="17" max="17" width="5.296875" style="408" customWidth="1"/>
    <col min="18" max="18" width="14.796875" style="409" hidden="1" customWidth="1"/>
    <col min="19" max="19" width="17.796875" style="408" hidden="1" customWidth="1"/>
    <col min="20" max="20" width="16" style="408" customWidth="1"/>
    <col min="21" max="39" width="13.796875" style="408" customWidth="1"/>
    <col min="40" max="16384" width="9.69921875" style="408"/>
  </cols>
  <sheetData>
    <row r="1" spans="1:18" x14ac:dyDescent="0.35">
      <c r="A1" s="408" t="str">
        <f>+'[15]Supply Contracts'!A1</f>
        <v>NW Natural</v>
      </c>
      <c r="D1" s="130"/>
      <c r="F1" s="130"/>
      <c r="P1" s="413"/>
    </row>
    <row r="2" spans="1:18" x14ac:dyDescent="0.35">
      <c r="A2" s="408" t="str">
        <f>+'[15]Supply Contracts'!A2</f>
        <v>2025-2026 PGA - SYSTEM: September Filing</v>
      </c>
      <c r="D2" s="130"/>
      <c r="E2" s="130"/>
      <c r="F2" s="130"/>
      <c r="G2" s="130"/>
      <c r="H2" s="130"/>
      <c r="I2" s="130"/>
      <c r="J2" s="130"/>
      <c r="K2" s="130"/>
      <c r="L2" s="130"/>
      <c r="P2" s="413"/>
    </row>
    <row r="3" spans="1:18" x14ac:dyDescent="0.35">
      <c r="A3" s="408" t="s">
        <v>373</v>
      </c>
      <c r="D3" s="130"/>
      <c r="E3" s="130"/>
      <c r="F3" s="130"/>
      <c r="G3" s="130"/>
      <c r="H3" s="130"/>
      <c r="I3" s="130"/>
      <c r="J3" s="130"/>
      <c r="K3" s="130"/>
      <c r="L3" s="130"/>
      <c r="P3" s="472"/>
    </row>
    <row r="4" spans="1:18" x14ac:dyDescent="0.35">
      <c r="A4" s="471" t="s">
        <v>374</v>
      </c>
      <c r="P4" s="413"/>
    </row>
    <row r="5" spans="1:18" ht="15" thickBot="1" x14ac:dyDescent="0.4"/>
    <row r="6" spans="1:18" ht="15" thickBot="1" x14ac:dyDescent="0.4">
      <c r="A6" s="470" t="s">
        <v>375</v>
      </c>
      <c r="B6" s="469"/>
      <c r="C6" s="468"/>
    </row>
    <row r="7" spans="1:18" x14ac:dyDescent="0.35">
      <c r="A7" s="409">
        <v>1</v>
      </c>
      <c r="B7" s="467" t="s">
        <v>331</v>
      </c>
      <c r="C7" s="467" t="s">
        <v>330</v>
      </c>
      <c r="D7" s="467" t="s">
        <v>329</v>
      </c>
      <c r="E7" s="467" t="s">
        <v>328</v>
      </c>
      <c r="F7" s="467" t="s">
        <v>366</v>
      </c>
      <c r="G7" s="467" t="s">
        <v>325</v>
      </c>
      <c r="H7" s="467" t="s">
        <v>324</v>
      </c>
      <c r="I7" s="467" t="s">
        <v>365</v>
      </c>
      <c r="J7" s="467" t="s">
        <v>376</v>
      </c>
      <c r="K7" s="467" t="s">
        <v>377</v>
      </c>
      <c r="L7" s="467" t="s">
        <v>378</v>
      </c>
      <c r="M7" s="467" t="s">
        <v>379</v>
      </c>
      <c r="N7" s="467" t="s">
        <v>380</v>
      </c>
      <c r="O7" s="467" t="s">
        <v>381</v>
      </c>
      <c r="P7" s="466" t="s">
        <v>382</v>
      </c>
      <c r="Q7" s="465"/>
      <c r="R7" s="465"/>
    </row>
    <row r="8" spans="1:18" x14ac:dyDescent="0.35">
      <c r="A8" s="409">
        <f t="shared" ref="A8:A39" si="0">+A7+1</f>
        <v>2</v>
      </c>
      <c r="B8" s="131"/>
      <c r="D8" s="464" t="s">
        <v>383</v>
      </c>
      <c r="E8" s="464" t="s">
        <v>384</v>
      </c>
      <c r="F8" s="464" t="s">
        <v>385</v>
      </c>
      <c r="G8" s="464" t="s">
        <v>386</v>
      </c>
      <c r="H8" s="464" t="s">
        <v>387</v>
      </c>
      <c r="I8" s="464" t="s">
        <v>388</v>
      </c>
      <c r="J8" s="464" t="s">
        <v>389</v>
      </c>
      <c r="K8" s="464" t="s">
        <v>390</v>
      </c>
      <c r="L8" s="464" t="s">
        <v>391</v>
      </c>
      <c r="M8" s="464" t="s">
        <v>392</v>
      </c>
      <c r="N8" s="464" t="s">
        <v>393</v>
      </c>
      <c r="O8" s="464" t="s">
        <v>394</v>
      </c>
      <c r="P8" s="463" t="s">
        <v>27</v>
      </c>
      <c r="Q8" s="409"/>
    </row>
    <row r="9" spans="1:18" x14ac:dyDescent="0.35">
      <c r="A9" s="409">
        <f t="shared" si="0"/>
        <v>3</v>
      </c>
      <c r="B9" s="131"/>
      <c r="D9" s="409">
        <v>1</v>
      </c>
      <c r="E9" s="409">
        <f t="shared" ref="E9:O9" si="1">+D9+1</f>
        <v>2</v>
      </c>
      <c r="F9" s="409">
        <f t="shared" si="1"/>
        <v>3</v>
      </c>
      <c r="G9" s="409">
        <f t="shared" si="1"/>
        <v>4</v>
      </c>
      <c r="H9" s="409">
        <f t="shared" si="1"/>
        <v>5</v>
      </c>
      <c r="I9" s="409">
        <f t="shared" si="1"/>
        <v>6</v>
      </c>
      <c r="J9" s="409">
        <f t="shared" si="1"/>
        <v>7</v>
      </c>
      <c r="K9" s="409">
        <f t="shared" si="1"/>
        <v>8</v>
      </c>
      <c r="L9" s="409">
        <f t="shared" si="1"/>
        <v>9</v>
      </c>
      <c r="M9" s="409">
        <f t="shared" si="1"/>
        <v>10</v>
      </c>
      <c r="N9" s="409">
        <f t="shared" si="1"/>
        <v>11</v>
      </c>
      <c r="O9" s="409">
        <f t="shared" si="1"/>
        <v>12</v>
      </c>
      <c r="P9" s="462"/>
      <c r="Q9" s="409"/>
    </row>
    <row r="10" spans="1:18" x14ac:dyDescent="0.35">
      <c r="A10" s="409">
        <f t="shared" si="0"/>
        <v>4</v>
      </c>
      <c r="B10" s="132" t="s">
        <v>395</v>
      </c>
      <c r="P10" s="462"/>
      <c r="Q10" s="409"/>
      <c r="R10" s="461" t="s">
        <v>396</v>
      </c>
    </row>
    <row r="11" spans="1:18" x14ac:dyDescent="0.35">
      <c r="A11" s="409">
        <f t="shared" si="0"/>
        <v>5</v>
      </c>
      <c r="B11" s="133" t="s">
        <v>397</v>
      </c>
      <c r="C11" s="133"/>
      <c r="D11" s="134">
        <f>INDEX('[15]Commodity Cost from Supply'!$CG$101:$CG$112,'Total Commodity Summary'!D9)+'[15]General Inputs'!$E$91+'[15]General Inputs'!D96</f>
        <v>3990690.3594634356</v>
      </c>
      <c r="E11" s="135">
        <f>INDEX('[15]Commodity Cost from Supply'!$CG$101:$CG$112,'Total Commodity Summary'!E9)+'[15]General Inputs'!$E$91+'[15]General Inputs'!E96</f>
        <v>5842088.8129347432</v>
      </c>
      <c r="F11" s="135">
        <f>INDEX('[15]Commodity Cost from Supply'!$CG$101:$CG$112,'Total Commodity Summary'!F9)+'[15]General Inputs'!$E$91+'[15]General Inputs'!F96</f>
        <v>5862343.9943979243</v>
      </c>
      <c r="G11" s="135">
        <f>INDEX('[15]Commodity Cost from Supply'!$CG$101:$CG$112,'Total Commodity Summary'!G9)+'[15]General Inputs'!$E$91+'[15]General Inputs'!G96</f>
        <v>4466680.5282100514</v>
      </c>
      <c r="H11" s="135">
        <f>INDEX('[15]Commodity Cost from Supply'!$CG$101:$CG$112,'Total Commodity Summary'!H9)+'[15]General Inputs'!$E$91+'[15]General Inputs'!H96</f>
        <v>3595502.5110878921</v>
      </c>
      <c r="I11" s="135">
        <f>INDEX('[15]Commodity Cost from Supply'!$CG$101:$CG$112,'Total Commodity Summary'!I9)+'[15]General Inputs'!$E$91+'[15]General Inputs'!I96</f>
        <v>1902888.6221132344</v>
      </c>
      <c r="J11" s="135">
        <f>INDEX('[15]Commodity Cost from Supply'!$CG$101:$CG$112,'Total Commodity Summary'!J9)+'[15]General Inputs'!$E$91+'[15]General Inputs'!J96</f>
        <v>1104277.5124630269</v>
      </c>
      <c r="K11" s="135">
        <f>INDEX('[15]Commodity Cost from Supply'!$CG$101:$CG$112,'Total Commodity Summary'!K9)+'[15]General Inputs'!$E$91+'[15]General Inputs'!K96</f>
        <v>849105.86088009854</v>
      </c>
      <c r="L11" s="135">
        <f>INDEX('[15]Commodity Cost from Supply'!$CG$101:$CG$112,'Total Commodity Summary'!L9)+'[15]General Inputs'!$E$91+'[15]General Inputs'!L96</f>
        <v>877679.69350758055</v>
      </c>
      <c r="M11" s="135">
        <f>INDEX('[15]Commodity Cost from Supply'!$CG$101:$CG$112,'Total Commodity Summary'!M9)+'[15]General Inputs'!$E$91+'[15]General Inputs'!M96</f>
        <v>869700.74076242605</v>
      </c>
      <c r="N11" s="135">
        <f>INDEX('[15]Commodity Cost from Supply'!$CG$101:$CG$112,'Total Commodity Summary'!N9)+'[15]General Inputs'!$E$91+'[15]General Inputs'!N96</f>
        <v>907626.61139175284</v>
      </c>
      <c r="O11" s="135">
        <f>INDEX('[15]Commodity Cost from Supply'!$CG$101:$CG$112,'Total Commodity Summary'!O9)+'[15]General Inputs'!$E$91+'[15]General Inputs'!O96</f>
        <v>1680251.7229166562</v>
      </c>
      <c r="P11" s="136">
        <f>SUM(D11:O11)</f>
        <v>31948836.970128823</v>
      </c>
      <c r="Q11" s="441"/>
      <c r="R11" s="459" t="str">
        <f>IF(ROUND('[15]Commodity Cost from Supply'!CG79+'[15]Commodity Cost from Supply'!CG96+('[15]General Inputs'!E91*12)+SUM('[15]General Inputs'!D96:O96)-P11,0)=0,"GOOD","ERROR")</f>
        <v>GOOD</v>
      </c>
    </row>
    <row r="12" spans="1:18" x14ac:dyDescent="0.35">
      <c r="A12" s="409">
        <f t="shared" si="0"/>
        <v>6</v>
      </c>
      <c r="B12" s="131" t="s">
        <v>398</v>
      </c>
      <c r="C12" s="131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460"/>
      <c r="Q12" s="441"/>
      <c r="R12" s="459"/>
    </row>
    <row r="13" spans="1:18" x14ac:dyDescent="0.35">
      <c r="A13" s="409">
        <f t="shared" si="0"/>
        <v>7</v>
      </c>
      <c r="B13" s="131" t="s">
        <v>399</v>
      </c>
      <c r="C13" s="131"/>
      <c r="D13" s="135"/>
      <c r="E13" s="135"/>
      <c r="F13" s="413"/>
      <c r="G13" s="413"/>
      <c r="H13" s="413"/>
      <c r="I13" s="413"/>
      <c r="J13" s="413"/>
      <c r="K13" s="413"/>
      <c r="L13" s="413"/>
      <c r="M13" s="413"/>
      <c r="N13" s="413"/>
      <c r="O13" s="413"/>
      <c r="P13" s="460"/>
      <c r="Q13" s="441"/>
      <c r="R13" s="461" t="s">
        <v>396</v>
      </c>
    </row>
    <row r="14" spans="1:18" x14ac:dyDescent="0.35">
      <c r="A14" s="409">
        <f t="shared" si="0"/>
        <v>8</v>
      </c>
      <c r="B14" s="133" t="s">
        <v>400</v>
      </c>
      <c r="C14" s="131"/>
      <c r="D14" s="135">
        <f>INDEX('[15]Commodity Cost from Vol Pipe'!$F$89:$F$100,'Total Commodity Summary'!D9)</f>
        <v>21567</v>
      </c>
      <c r="E14" s="135">
        <f>INDEX('[15]Commodity Cost from Vol Pipe'!$F$89:$F$100,'Total Commodity Summary'!E9)</f>
        <v>25055</v>
      </c>
      <c r="F14" s="135">
        <f>INDEX('[15]Commodity Cost from Vol Pipe'!$F$89:$F$100,'Total Commodity Summary'!F9)</f>
        <v>24121</v>
      </c>
      <c r="G14" s="135">
        <f>INDEX('[15]Commodity Cost from Vol Pipe'!$F$89:$F$100,'Total Commodity Summary'!G9)</f>
        <v>20589</v>
      </c>
      <c r="H14" s="135">
        <f>INDEX('[15]Commodity Cost from Vol Pipe'!$F$89:$F$100,'Total Commodity Summary'!H9)</f>
        <v>20062</v>
      </c>
      <c r="I14" s="135">
        <f>INDEX('[15]Commodity Cost from Vol Pipe'!$F$89:$F$100,'Total Commodity Summary'!I9)</f>
        <v>14400</v>
      </c>
      <c r="J14" s="135">
        <f>INDEX('[15]Commodity Cost from Vol Pipe'!$F$89:$F$100,'Total Commodity Summary'!J9)</f>
        <v>10366</v>
      </c>
      <c r="K14" s="135">
        <f>INDEX('[15]Commodity Cost from Vol Pipe'!$F$89:$F$100,'Total Commodity Summary'!K9)</f>
        <v>7175</v>
      </c>
      <c r="L14" s="135">
        <f>INDEX('[15]Commodity Cost from Vol Pipe'!$F$89:$F$100,'Total Commodity Summary'!L9)</f>
        <v>5130</v>
      </c>
      <c r="M14" s="135">
        <f>INDEX('[15]Commodity Cost from Vol Pipe'!$F$89:$F$100,'Total Commodity Summary'!M9)</f>
        <v>5019</v>
      </c>
      <c r="N14" s="135">
        <f>INDEX('[15]Commodity Cost from Vol Pipe'!$F$89:$F$100,'Total Commodity Summary'!N9)</f>
        <v>5925</v>
      </c>
      <c r="O14" s="135">
        <f>INDEX('[15]Commodity Cost from Vol Pipe'!$F$89:$F$100,'Total Commodity Summary'!O9)</f>
        <v>12771</v>
      </c>
      <c r="P14" s="137">
        <f>SUM(D14:O14)</f>
        <v>172180</v>
      </c>
      <c r="Q14" s="441"/>
      <c r="R14" s="459" t="str">
        <f>IF('[15]Commodity Cost from Vol Pipe'!F30+'[15]Commodity Cost from Vol Pipe'!F48+'[15]Commodity Cost from Vol Pipe'!F66+'[15]Commodity Cost from Vol Pipe'!F85='Total Commodity Summary'!P14,"GOOD","ERROR")</f>
        <v>GOOD</v>
      </c>
    </row>
    <row r="15" spans="1:18" x14ac:dyDescent="0.35">
      <c r="A15" s="409">
        <f t="shared" si="0"/>
        <v>9</v>
      </c>
      <c r="B15" s="131" t="s">
        <v>401</v>
      </c>
      <c r="D15" s="135"/>
      <c r="E15" s="413"/>
      <c r="F15" s="413"/>
      <c r="G15" s="413"/>
      <c r="H15" s="413"/>
      <c r="I15" s="413"/>
      <c r="J15" s="413"/>
      <c r="K15" s="413"/>
      <c r="L15" s="413"/>
      <c r="M15" s="413"/>
      <c r="N15" s="413"/>
      <c r="O15" s="413"/>
      <c r="P15" s="460"/>
      <c r="Q15" s="411"/>
      <c r="R15" s="461" t="s">
        <v>396</v>
      </c>
    </row>
    <row r="16" spans="1:18" x14ac:dyDescent="0.35">
      <c r="A16" s="409">
        <f t="shared" si="0"/>
        <v>10</v>
      </c>
      <c r="B16" s="133" t="s">
        <v>402</v>
      </c>
      <c r="C16" s="131"/>
      <c r="D16" s="135">
        <f>INDEX('[15]Commodity Cost from Storage'!$J$69:$J$80,'Total Commodity Summary'!D9)</f>
        <v>7917</v>
      </c>
      <c r="E16" s="135">
        <f>INDEX('[15]Commodity Cost from Storage'!$J$69:$J$80,'Total Commodity Summary'!E9)</f>
        <v>563895</v>
      </c>
      <c r="F16" s="135">
        <f>INDEX('[15]Commodity Cost from Storage'!$J$69:$J$80,'Total Commodity Summary'!F9)</f>
        <v>727410</v>
      </c>
      <c r="G16" s="135">
        <f>INDEX('[15]Commodity Cost from Storage'!$J$69:$J$80,'Total Commodity Summary'!G9)</f>
        <v>673527</v>
      </c>
      <c r="H16" s="135">
        <f>INDEX('[15]Commodity Cost from Storage'!$J$69:$J$80,'Total Commodity Summary'!H9)</f>
        <v>459569</v>
      </c>
      <c r="I16" s="135">
        <f>INDEX('[15]Commodity Cost from Storage'!$J$69:$J$80,'Total Commodity Summary'!I9)</f>
        <v>53238</v>
      </c>
      <c r="J16" s="135">
        <f>INDEX('[15]Commodity Cost from Storage'!$J$69:$J$80,'Total Commodity Summary'!J9)</f>
        <v>0</v>
      </c>
      <c r="K16" s="135">
        <f>INDEX('[15]Commodity Cost from Storage'!$J$69:$J$80,'Total Commodity Summary'!K9)</f>
        <v>0</v>
      </c>
      <c r="L16" s="135">
        <f>INDEX('[15]Commodity Cost from Storage'!$J$69:$J$80,'Total Commodity Summary'!L9)</f>
        <v>0</v>
      </c>
      <c r="M16" s="135">
        <f>INDEX('[15]Commodity Cost from Storage'!$J$69:$J$80,'Total Commodity Summary'!M9)</f>
        <v>0</v>
      </c>
      <c r="N16" s="135">
        <f>INDEX('[15]Commodity Cost from Storage'!$J$69:$J$80,'Total Commodity Summary'!N9)</f>
        <v>0</v>
      </c>
      <c r="O16" s="135">
        <f>INDEX('[15]Commodity Cost from Storage'!$J$69:$J$80,'Total Commodity Summary'!O9)</f>
        <v>14047</v>
      </c>
      <c r="P16" s="137">
        <f>SUM(D16:O16)</f>
        <v>2499603</v>
      </c>
      <c r="Q16" s="441"/>
      <c r="R16" s="459" t="str">
        <f>IF(SUM('[15]Commodity Cost from Storage'!D53:I64)+SUM('[15]Commodity Cost from Storage'!D34:I45)='Total Commodity Summary'!P16,"GOOD","ERROR")</f>
        <v>GOOD</v>
      </c>
    </row>
    <row r="17" spans="1:22" x14ac:dyDescent="0.35">
      <c r="A17" s="409">
        <f t="shared" si="0"/>
        <v>11</v>
      </c>
      <c r="B17" s="131" t="s">
        <v>403</v>
      </c>
      <c r="D17" s="135"/>
      <c r="E17" s="413"/>
      <c r="F17" s="413"/>
      <c r="G17" s="413"/>
      <c r="H17" s="413"/>
      <c r="I17" s="413"/>
      <c r="J17" s="413"/>
      <c r="K17" s="413"/>
      <c r="L17" s="413"/>
      <c r="M17" s="413"/>
      <c r="N17" s="413"/>
      <c r="O17" s="413"/>
      <c r="P17" s="460"/>
      <c r="Q17" s="411"/>
      <c r="R17" s="461" t="s">
        <v>396</v>
      </c>
    </row>
    <row r="18" spans="1:22" x14ac:dyDescent="0.35">
      <c r="A18" s="409">
        <f t="shared" si="0"/>
        <v>12</v>
      </c>
      <c r="B18" s="133" t="s">
        <v>404</v>
      </c>
      <c r="D18" s="135">
        <f>'[15]RNG RTC Costs - HC'!AE4</f>
        <v>151557.16119633711</v>
      </c>
      <c r="E18" s="413">
        <f>'[15]RNG RTC Costs - HC'!AE5</f>
        <v>198235.85188900406</v>
      </c>
      <c r="F18" s="413">
        <f>'[15]RNG RTC Costs - HC'!AE6</f>
        <v>229659.22400215484</v>
      </c>
      <c r="G18" s="413">
        <f>'[15]RNG RTC Costs - HC'!AE7</f>
        <v>258785.71829180667</v>
      </c>
      <c r="H18" s="413">
        <f>'[15]RNG RTC Costs - HC'!AE8</f>
        <v>39800.193823629801</v>
      </c>
      <c r="I18" s="413">
        <f>'[15]RNG RTC Costs - HC'!AE9</f>
        <v>40307.046968527655</v>
      </c>
      <c r="J18" s="413">
        <f>'[15]RNG RTC Costs - HC'!AE10</f>
        <v>41713.292378944294</v>
      </c>
      <c r="K18" s="413">
        <f>'[15]RNG RTC Costs - HC'!AE11</f>
        <v>40101.819247916879</v>
      </c>
      <c r="L18" s="413">
        <f>'[15]RNG RTC Costs - HC'!AE12</f>
        <v>41077.100669665582</v>
      </c>
      <c r="M18" s="413">
        <f>'[15]RNG RTC Costs - HC'!AE13</f>
        <v>40971.068718119132</v>
      </c>
      <c r="N18" s="413">
        <f>'[15]RNG RTC Costs - HC'!AE14</f>
        <v>39752.932122878548</v>
      </c>
      <c r="O18" s="413">
        <f>'[15]RNG RTC Costs - HC'!AE15</f>
        <v>39629.795490512071</v>
      </c>
      <c r="P18" s="137">
        <f>SUM(D18:O18)</f>
        <v>1161591.2047994968</v>
      </c>
      <c r="Q18" s="411"/>
      <c r="R18" s="459" t="str">
        <f>IF(SUM('[15]RNG RTC Costs - HC'!AE4:AE15)='Total Commodity Summary'!P18,"GOOD","ERROR")</f>
        <v>GOOD</v>
      </c>
    </row>
    <row r="19" spans="1:22" x14ac:dyDescent="0.35">
      <c r="A19" s="409">
        <f t="shared" si="0"/>
        <v>13</v>
      </c>
      <c r="B19" s="131" t="s">
        <v>405</v>
      </c>
      <c r="D19" s="135"/>
      <c r="E19" s="413"/>
      <c r="F19" s="413"/>
      <c r="G19" s="413"/>
      <c r="H19" s="413"/>
      <c r="I19" s="413"/>
      <c r="J19" s="413"/>
      <c r="K19" s="413"/>
      <c r="L19" s="413"/>
      <c r="M19" s="413"/>
      <c r="N19" s="413"/>
      <c r="O19" s="413"/>
      <c r="P19" s="460"/>
      <c r="Q19" s="411"/>
      <c r="R19" s="461" t="s">
        <v>396</v>
      </c>
    </row>
    <row r="20" spans="1:22" x14ac:dyDescent="0.35">
      <c r="A20" s="409">
        <f t="shared" si="0"/>
        <v>14</v>
      </c>
      <c r="B20" s="133" t="s">
        <v>406</v>
      </c>
      <c r="D20" s="135">
        <f>INDEX('[15]Commodity Cost from RNG'!$J$69:$J$80,'Total Commodity Summary'!D9)</f>
        <v>0</v>
      </c>
      <c r="E20" s="135">
        <f>INDEX('[15]Commodity Cost from RNG'!$J$69:$J$80,'Total Commodity Summary'!E9)</f>
        <v>0</v>
      </c>
      <c r="F20" s="135">
        <f>INDEX('[15]Commodity Cost from RNG'!$J$69:$J$80,'Total Commodity Summary'!F9)</f>
        <v>0</v>
      </c>
      <c r="G20" s="135">
        <f>INDEX('[15]Commodity Cost from RNG'!$J$69:$J$80,'Total Commodity Summary'!G9)</f>
        <v>0</v>
      </c>
      <c r="H20" s="135">
        <f>INDEX('[15]Commodity Cost from RNG'!$J$69:$J$80,'Total Commodity Summary'!H9)</f>
        <v>0</v>
      </c>
      <c r="I20" s="135">
        <f>INDEX('[15]Commodity Cost from RNG'!$J$69:$J$80,'Total Commodity Summary'!I9)</f>
        <v>0</v>
      </c>
      <c r="J20" s="135">
        <f>INDEX('[15]Commodity Cost from RNG'!$J$69:$J$80,'Total Commodity Summary'!J9)</f>
        <v>0</v>
      </c>
      <c r="K20" s="135">
        <f>INDEX('[15]Commodity Cost from RNG'!$J$69:$J$80,'Total Commodity Summary'!K9)</f>
        <v>0</v>
      </c>
      <c r="L20" s="135">
        <f>INDEX('[15]Commodity Cost from RNG'!$J$69:$J$80,'Total Commodity Summary'!L9)</f>
        <v>0</v>
      </c>
      <c r="M20" s="135">
        <f>INDEX('[15]Commodity Cost from RNG'!$J$69:$J$80,'Total Commodity Summary'!M9)</f>
        <v>0</v>
      </c>
      <c r="N20" s="135">
        <f>INDEX('[15]Commodity Cost from RNG'!$J$69:$J$80,'Total Commodity Summary'!N9)</f>
        <v>0</v>
      </c>
      <c r="O20" s="135">
        <f>INDEX('[15]Commodity Cost from RNG'!$J$69:$J$80,'Total Commodity Summary'!O9)</f>
        <v>0</v>
      </c>
      <c r="P20" s="137">
        <f>SUM(D20:O20)</f>
        <v>0</v>
      </c>
      <c r="Q20" s="411"/>
      <c r="R20" s="459" t="str">
        <f>IF(SUM('[15]Commodity Cost from RNG'!D57:I68)+SUM('[15]Commodity Cost from RNG'!D38:I49)='Total Commodity Summary'!P20,"GOOD","ERROR")</f>
        <v>GOOD</v>
      </c>
    </row>
    <row r="21" spans="1:22" x14ac:dyDescent="0.35">
      <c r="A21" s="409">
        <f t="shared" si="0"/>
        <v>15</v>
      </c>
      <c r="B21" s="131" t="s">
        <v>407</v>
      </c>
      <c r="D21" s="135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60"/>
      <c r="Q21" s="411"/>
      <c r="R21" s="461"/>
    </row>
    <row r="22" spans="1:22" outlineLevel="1" x14ac:dyDescent="0.35">
      <c r="A22" s="409">
        <f t="shared" si="0"/>
        <v>16</v>
      </c>
      <c r="B22" s="133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7"/>
      <c r="Q22" s="411"/>
      <c r="R22" s="449"/>
    </row>
    <row r="23" spans="1:22" outlineLevel="1" x14ac:dyDescent="0.35">
      <c r="A23" s="409">
        <f t="shared" si="0"/>
        <v>17</v>
      </c>
      <c r="B23" s="131"/>
      <c r="D23" s="135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60"/>
      <c r="Q23" s="411"/>
      <c r="R23" s="459"/>
    </row>
    <row r="24" spans="1:22" ht="15" thickBot="1" x14ac:dyDescent="0.4">
      <c r="A24" s="409">
        <f t="shared" si="0"/>
        <v>18</v>
      </c>
      <c r="B24" s="138" t="s">
        <v>408</v>
      </c>
      <c r="C24" s="139"/>
      <c r="D24" s="140">
        <f t="shared" ref="D24:P24" si="2">SUM(D11:D23)</f>
        <v>4171731.5206597727</v>
      </c>
      <c r="E24" s="141">
        <f t="shared" si="2"/>
        <v>6629274.6648237472</v>
      </c>
      <c r="F24" s="141">
        <f t="shared" si="2"/>
        <v>6843534.2184000788</v>
      </c>
      <c r="G24" s="141">
        <f t="shared" si="2"/>
        <v>5419582.2465018583</v>
      </c>
      <c r="H24" s="141">
        <f t="shared" si="2"/>
        <v>4114933.7049115221</v>
      </c>
      <c r="I24" s="141">
        <f t="shared" si="2"/>
        <v>2010833.669081762</v>
      </c>
      <c r="J24" s="141">
        <f t="shared" si="2"/>
        <v>1156356.8048419713</v>
      </c>
      <c r="K24" s="141">
        <f t="shared" si="2"/>
        <v>896382.68012801546</v>
      </c>
      <c r="L24" s="141">
        <f t="shared" si="2"/>
        <v>923886.79417724616</v>
      </c>
      <c r="M24" s="141">
        <f t="shared" si="2"/>
        <v>915690.80948054523</v>
      </c>
      <c r="N24" s="141">
        <f t="shared" si="2"/>
        <v>953304.54351463134</v>
      </c>
      <c r="O24" s="141">
        <f t="shared" si="2"/>
        <v>1746699.5184071683</v>
      </c>
      <c r="P24" s="142">
        <f t="shared" si="2"/>
        <v>35782211.174928315</v>
      </c>
      <c r="Q24" s="441"/>
      <c r="R24" s="459"/>
      <c r="T24" s="413"/>
    </row>
    <row r="25" spans="1:22" ht="15" thickTop="1" x14ac:dyDescent="0.35">
      <c r="A25" s="409">
        <f t="shared" si="0"/>
        <v>19</v>
      </c>
      <c r="D25" s="143"/>
      <c r="E25" s="411"/>
      <c r="F25" s="411"/>
      <c r="G25" s="411"/>
      <c r="H25" s="411"/>
      <c r="I25" s="411"/>
      <c r="J25" s="411"/>
      <c r="K25" s="411"/>
      <c r="L25" s="411"/>
      <c r="M25" s="411"/>
      <c r="N25" s="411"/>
      <c r="O25" s="411"/>
      <c r="P25" s="458"/>
      <c r="Q25" s="411"/>
      <c r="R25" s="410"/>
      <c r="T25" s="457"/>
    </row>
    <row r="26" spans="1:22" x14ac:dyDescent="0.35">
      <c r="A26" s="409">
        <f t="shared" si="0"/>
        <v>20</v>
      </c>
      <c r="B26" s="132" t="s">
        <v>409</v>
      </c>
      <c r="D26" s="143"/>
      <c r="E26" s="411"/>
      <c r="F26" s="411"/>
      <c r="G26" s="411"/>
      <c r="H26" s="411"/>
      <c r="I26" s="411"/>
      <c r="J26" s="411"/>
      <c r="K26" s="411"/>
      <c r="L26" s="411"/>
      <c r="M26" s="411"/>
      <c r="N26" s="411"/>
      <c r="O26" s="411"/>
      <c r="P26" s="144"/>
      <c r="Q26" s="411"/>
      <c r="R26" s="410"/>
    </row>
    <row r="27" spans="1:22" x14ac:dyDescent="0.35">
      <c r="A27" s="409">
        <f t="shared" si="0"/>
        <v>21</v>
      </c>
      <c r="B27" s="131" t="s">
        <v>410</v>
      </c>
      <c r="C27" s="131"/>
      <c r="D27" s="145">
        <f>INDEX('[15]Commodity Cost from Supply'!$CG$35:$CG$46,'Total Commodity Summary'!D9)</f>
        <v>10252415.068275878</v>
      </c>
      <c r="E27" s="145">
        <f>INDEX('[15]Commodity Cost from Supply'!$CG$35:$CG$46,'Total Commodity Summary'!E9)</f>
        <v>12065869.070551742</v>
      </c>
      <c r="F27" s="145">
        <f>INDEX('[15]Commodity Cost from Supply'!$CG$35:$CG$46,'Total Commodity Summary'!F9)</f>
        <v>11606447.070551742</v>
      </c>
      <c r="G27" s="145">
        <f>INDEX('[15]Commodity Cost from Supply'!$CG$35:$CG$46,'Total Commodity Summary'!G9)</f>
        <v>9322962.0637241527</v>
      </c>
      <c r="H27" s="145">
        <f>INDEX('[15]Commodity Cost from Supply'!$CG$35:$CG$46,'Total Commodity Summary'!H9)</f>
        <v>8853792.4628379531</v>
      </c>
      <c r="I27" s="145">
        <f>INDEX('[15]Commodity Cost from Supply'!$CG$35:$CG$46,'Total Commodity Summary'!I9)</f>
        <v>7387941.0682758782</v>
      </c>
      <c r="J27" s="145">
        <f>INDEX('[15]Commodity Cost from Supply'!$CG$35:$CG$46,'Total Commodity Summary'!J9)</f>
        <v>4904656.0648153592</v>
      </c>
      <c r="K27" s="145">
        <f>INDEX('[15]Commodity Cost from Supply'!$CG$35:$CG$46,'Total Commodity Summary'!K9)</f>
        <v>3395348.0682758782</v>
      </c>
      <c r="L27" s="145">
        <f>INDEX('[15]Commodity Cost from Supply'!$CG$35:$CG$46,'Total Commodity Summary'!L9)</f>
        <v>2735217.0705517409</v>
      </c>
      <c r="M27" s="145">
        <f>INDEX('[15]Commodity Cost from Supply'!$CG$35:$CG$46,'Total Commodity Summary'!M9)</f>
        <v>2631524.7045345586</v>
      </c>
      <c r="N27" s="145">
        <f>INDEX('[15]Commodity Cost from Supply'!$CG$35:$CG$46,'Total Commodity Summary'!N9)</f>
        <v>2885971.1769485474</v>
      </c>
      <c r="O27" s="145">
        <f>INDEX('[15]Commodity Cost from Supply'!$CG$35:$CG$46,'Total Commodity Summary'!O9)</f>
        <v>5722846.0467689494</v>
      </c>
      <c r="P27" s="144">
        <f>SUM(D27:O27)</f>
        <v>81764989.936112374</v>
      </c>
      <c r="Q27" s="441"/>
      <c r="R27" s="441"/>
      <c r="T27" s="456"/>
      <c r="V27" s="146"/>
    </row>
    <row r="28" spans="1:22" x14ac:dyDescent="0.35">
      <c r="A28" s="409">
        <f t="shared" si="0"/>
        <v>22</v>
      </c>
      <c r="B28" s="147" t="s">
        <v>411</v>
      </c>
      <c r="C28" s="147"/>
      <c r="D28" s="148">
        <f>('[15]Commodity Cost from Supply'!$CG35-'[15]Commodity Cost from Supply'!$CG17)</f>
        <v>147854.43876857311</v>
      </c>
      <c r="E28" s="148">
        <f>'[15]Commodity Cost from Supply'!CG36-'[15]Commodity Cost from Supply'!CG18</f>
        <v>153530.92411729321</v>
      </c>
      <c r="F28" s="148">
        <f>'[15]Commodity Cost from Supply'!CG37-'[15]Commodity Cost from Supply'!CG19</f>
        <v>147760.4579155501</v>
      </c>
      <c r="G28" s="148">
        <f>'[15]Commodity Cost from Supply'!CG38-'[15]Commodity Cost from Supply'!CG20</f>
        <v>118890.91319350339</v>
      </c>
      <c r="H28" s="148">
        <f>'[15]Commodity Cost from Supply'!CG39-'[15]Commodity Cost from Supply'!CG21</f>
        <v>113766.24885648675</v>
      </c>
      <c r="I28" s="148">
        <f>'[15]Commodity Cost from Supply'!CG40-'[15]Commodity Cost from Supply'!CG22</f>
        <v>89392.447936730459</v>
      </c>
      <c r="J28" s="148">
        <f>'[15]Commodity Cost from Supply'!CG41-'[15]Commodity Cost from Supply'!CG23</f>
        <v>64186.349607361481</v>
      </c>
      <c r="K28" s="148">
        <f>'[15]Commodity Cost from Supply'!CG42-'[15]Commodity Cost from Supply'!CG24</f>
        <v>40828.515736119356</v>
      </c>
      <c r="L28" s="148">
        <f>'[15]Commodity Cost from Supply'!CG43-'[15]Commodity Cost from Supply'!CG25</f>
        <v>27174.412541233469</v>
      </c>
      <c r="M28" s="148">
        <f>'[15]Commodity Cost from Supply'!CG44-'[15]Commodity Cost from Supply'!CG26</f>
        <v>25872.233859254513</v>
      </c>
      <c r="N28" s="148">
        <f>'[15]Commodity Cost from Supply'!CG45-'[15]Commodity Cost from Supply'!CG27</f>
        <v>31879.746045046486</v>
      </c>
      <c r="O28" s="148">
        <f>'[15]Commodity Cost from Supply'!CG46-'[15]Commodity Cost from Supply'!CG28</f>
        <v>76250.466370170005</v>
      </c>
      <c r="P28" s="149">
        <f>SUM(D28:O28)</f>
        <v>1037387.1549473223</v>
      </c>
      <c r="Q28" s="441"/>
      <c r="R28" s="450" t="s">
        <v>396</v>
      </c>
    </row>
    <row r="29" spans="1:22" x14ac:dyDescent="0.35">
      <c r="A29" s="409">
        <f t="shared" si="0"/>
        <v>23</v>
      </c>
      <c r="B29" s="131" t="s">
        <v>412</v>
      </c>
      <c r="C29" s="131"/>
      <c r="D29" s="145">
        <f t="shared" ref="D29:O29" si="3">+D27-D28</f>
        <v>10104560.629507305</v>
      </c>
      <c r="E29" s="145">
        <f t="shared" si="3"/>
        <v>11912338.146434449</v>
      </c>
      <c r="F29" s="145">
        <f t="shared" si="3"/>
        <v>11458686.612636192</v>
      </c>
      <c r="G29" s="145">
        <f t="shared" si="3"/>
        <v>9204071.1505306493</v>
      </c>
      <c r="H29" s="145">
        <f t="shared" si="3"/>
        <v>8740026.2139814664</v>
      </c>
      <c r="I29" s="145">
        <f t="shared" si="3"/>
        <v>7298548.6203391477</v>
      </c>
      <c r="J29" s="145">
        <f t="shared" si="3"/>
        <v>4840469.7152079977</v>
      </c>
      <c r="K29" s="145">
        <f t="shared" si="3"/>
        <v>3354519.5525397588</v>
      </c>
      <c r="L29" s="145">
        <f t="shared" si="3"/>
        <v>2708042.6580105075</v>
      </c>
      <c r="M29" s="145">
        <f t="shared" si="3"/>
        <v>2605652.4706753041</v>
      </c>
      <c r="N29" s="145">
        <f t="shared" si="3"/>
        <v>2854091.4309035009</v>
      </c>
      <c r="O29" s="145">
        <f t="shared" si="3"/>
        <v>5646595.5803987794</v>
      </c>
      <c r="P29" s="144">
        <f>SUM(D29:O29)</f>
        <v>80727602.781165048</v>
      </c>
      <c r="Q29" s="441"/>
      <c r="R29" s="447" t="str">
        <f>IF(P29='[15]Commodity Cost from Supply VERT'!U111, "GOOD", "ERROR")</f>
        <v>GOOD</v>
      </c>
      <c r="S29" s="454"/>
      <c r="T29" s="454"/>
    </row>
    <row r="30" spans="1:22" x14ac:dyDescent="0.35">
      <c r="A30" s="409">
        <f t="shared" si="0"/>
        <v>24</v>
      </c>
      <c r="B30" s="131"/>
      <c r="C30" s="131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4"/>
      <c r="Q30" s="441"/>
      <c r="S30" s="454"/>
      <c r="T30" s="411"/>
    </row>
    <row r="31" spans="1:22" x14ac:dyDescent="0.35">
      <c r="A31" s="409">
        <f t="shared" si="0"/>
        <v>25</v>
      </c>
      <c r="B31" s="131" t="s">
        <v>413</v>
      </c>
      <c r="C31" s="131"/>
      <c r="D31" s="150">
        <f>INDEX('[15]Storage Dispatch'!$K$34:$K$45,'Total Commodity Summary'!D9)+INDEX('[15]RNG Dispatch'!$K$34:$K$45,'Total Commodity Summary'!D9)</f>
        <v>28507.304031497479</v>
      </c>
      <c r="E31" s="150">
        <f>INDEX('[15]Storage Dispatch'!$K$34:$K$45,'Total Commodity Summary'!E9)+INDEX('[15]RNG Dispatch'!$K$34:$K$45,'Total Commodity Summary'!E9)</f>
        <v>2736215.5070291455</v>
      </c>
      <c r="F31" s="150">
        <f>INDEX('[15]Storage Dispatch'!$K$34:$K$45,'Total Commodity Summary'!F9)+INDEX('[15]RNG Dispatch'!$K$34:$K$45,'Total Commodity Summary'!F9)</f>
        <v>3478894.1266141692</v>
      </c>
      <c r="G31" s="150">
        <f>INDEX('[15]Storage Dispatch'!$K$34:$K$45,'Total Commodity Summary'!G9)+INDEX('[15]RNG Dispatch'!$K$34:$K$45,'Total Commodity Summary'!G9)</f>
        <v>3235610.682357219</v>
      </c>
      <c r="H31" s="150">
        <f>INDEX('[15]Storage Dispatch'!$K$34:$K$45,'Total Commodity Summary'!H9)+INDEX('[15]RNG Dispatch'!$K$34:$K$45,'Total Commodity Summary'!H9)</f>
        <v>2238140.1142951227</v>
      </c>
      <c r="I31" s="150">
        <f>INDEX('[15]Storage Dispatch'!$K$34:$K$45,'Total Commodity Summary'!I9)+INDEX('[15]RNG Dispatch'!$K$34:$K$45,'Total Commodity Summary'!I9)</f>
        <v>266596.08399826329</v>
      </c>
      <c r="J31" s="150">
        <f>INDEX('[15]Storage Dispatch'!$K$34:$K$45,'Total Commodity Summary'!J9)+INDEX('[15]RNG Dispatch'!$K$34:$K$45,'Total Commodity Summary'!J9)</f>
        <v>0</v>
      </c>
      <c r="K31" s="150">
        <f>INDEX('[15]Storage Dispatch'!$K$34:$K$45,'Total Commodity Summary'!K9)+INDEX('[15]RNG Dispatch'!$K$34:$K$45,'Total Commodity Summary'!K9)</f>
        <v>0</v>
      </c>
      <c r="L31" s="150">
        <f>INDEX('[15]Storage Dispatch'!$K$34:$K$45,'Total Commodity Summary'!L9)+INDEX('[15]RNG Dispatch'!$K$34:$K$45,'Total Commodity Summary'!L9)</f>
        <v>0</v>
      </c>
      <c r="M31" s="150">
        <f>INDEX('[15]Storage Dispatch'!$K$34:$K$45,'Total Commodity Summary'!M9)+INDEX('[15]RNG Dispatch'!$K$34:$K$45,'Total Commodity Summary'!M9)</f>
        <v>0</v>
      </c>
      <c r="N31" s="150">
        <f>INDEX('[15]Storage Dispatch'!$K$34:$K$45,'Total Commodity Summary'!N9)+INDEX('[15]RNG Dispatch'!$K$34:$K$45,'Total Commodity Summary'!N9)</f>
        <v>0</v>
      </c>
      <c r="O31" s="150">
        <f>INDEX('[15]Storage Dispatch'!$K$34:$K$45,'Total Commodity Summary'!O9)+INDEX('[15]RNG Dispatch'!$K$34:$K$45,'Total Commodity Summary'!O9)</f>
        <v>73918.383527597689</v>
      </c>
      <c r="P31" s="144">
        <f>SUM(D31:O31)</f>
        <v>12057882.201853015</v>
      </c>
      <c r="Q31" s="441"/>
      <c r="S31" s="411"/>
    </row>
    <row r="32" spans="1:22" x14ac:dyDescent="0.35">
      <c r="A32" s="409">
        <f t="shared" si="0"/>
        <v>26</v>
      </c>
      <c r="B32" s="147" t="s">
        <v>414</v>
      </c>
      <c r="C32" s="147"/>
      <c r="D32" s="148">
        <f>INDEX('[15]Storage Dispatch'!$I$34:$I$45,'Total Commodity Summary'!D9)-INDEX('[15]Storage Dispatch'!$I$16:$I$27,'Total Commodity Summary'!D9)+INDEX('[15]Storage Dispatch'!$J$34:$J$45,'Total Commodity Summary'!D9)-INDEX('[15]Storage Dispatch'!$J$16:$J$27,'Total Commodity Summary'!D9)+INDEX('[15]Storage Dispatch'!$F$34:$F$45,'Total Commodity Summary'!D9)-INDEX('[15]Storage Dispatch'!$F$16:$F$27,'Total Commodity Summary'!D9)</f>
        <v>0</v>
      </c>
      <c r="E32" s="148">
        <f>INDEX('[15]Storage Dispatch'!$I$34:$I$45,'Total Commodity Summary'!E9)-INDEX('[15]Storage Dispatch'!$I$16:$I$27,'Total Commodity Summary'!E9)+INDEX('[15]Storage Dispatch'!$J$34:$J$45,'Total Commodity Summary'!E9)-INDEX('[15]Storage Dispatch'!$J$16:$J$27,'Total Commodity Summary'!E9)+INDEX('[15]Storage Dispatch'!$F$34:$F$45,'Total Commodity Summary'!E9)-INDEX('[15]Storage Dispatch'!$F$16:$F$27,'Total Commodity Summary'!E9)</f>
        <v>657.61609741585562</v>
      </c>
      <c r="F32" s="148">
        <f>INDEX('[15]Storage Dispatch'!$I$34:$I$45,'Total Commodity Summary'!F9)-INDEX('[15]Storage Dispatch'!$I$16:$I$27,'Total Commodity Summary'!F9)+INDEX('[15]Storage Dispatch'!$J$34:$J$45,'Total Commodity Summary'!F9)-INDEX('[15]Storage Dispatch'!$J$16:$J$27,'Total Commodity Summary'!F9)+INDEX('[15]Storage Dispatch'!$F$34:$F$45,'Total Commodity Summary'!F9)-INDEX('[15]Storage Dispatch'!$F$16:$F$27,'Total Commodity Summary'!F9)</f>
        <v>0</v>
      </c>
      <c r="G32" s="148">
        <f>INDEX('[15]Storage Dispatch'!$I$34:$I$45,'Total Commodity Summary'!G9)-INDEX('[15]Storage Dispatch'!$I$16:$I$27,'Total Commodity Summary'!G9)+INDEX('[15]Storage Dispatch'!$J$34:$J$45,'Total Commodity Summary'!G9)-INDEX('[15]Storage Dispatch'!$J$16:$J$27,'Total Commodity Summary'!G9)+INDEX('[15]Storage Dispatch'!$F$34:$F$45,'Total Commodity Summary'!G9)-INDEX('[15]Storage Dispatch'!$F$16:$F$27,'Total Commodity Summary'!G9)</f>
        <v>68.272670338068565</v>
      </c>
      <c r="H32" s="148">
        <f>INDEX('[15]Storage Dispatch'!$I$34:$I$45,'Total Commodity Summary'!H9)-INDEX('[15]Storage Dispatch'!$I$16:$I$27,'Total Commodity Summary'!H9)+INDEX('[15]Storage Dispatch'!$J$34:$J$45,'Total Commodity Summary'!H9)-INDEX('[15]Storage Dispatch'!$J$16:$J$27,'Total Commodity Summary'!H9)+INDEX('[15]Storage Dispatch'!$F$34:$F$45,'Total Commodity Summary'!H9)-INDEX('[15]Storage Dispatch'!$F$16:$F$27,'Total Commodity Summary'!H9)</f>
        <v>524.65169645653805</v>
      </c>
      <c r="I32" s="148">
        <f>INDEX('[15]Storage Dispatch'!$I$34:$I$45,'Total Commodity Summary'!I9)-INDEX('[15]Storage Dispatch'!$I$16:$I$27,'Total Commodity Summary'!I9)+INDEX('[15]Storage Dispatch'!$J$34:$J$45,'Total Commodity Summary'!I9)-INDEX('[15]Storage Dispatch'!$J$16:$J$27,'Total Commodity Summary'!I9)+INDEX('[15]Storage Dispatch'!$F$34:$F$45,'Total Commodity Summary'!I9)-INDEX('[15]Storage Dispatch'!$F$16:$F$27,'Total Commodity Summary'!I9)</f>
        <v>176.03840943791147</v>
      </c>
      <c r="J32" s="148">
        <f>INDEX('[15]Storage Dispatch'!$I$34:$I$45,'Total Commodity Summary'!J9)-INDEX('[15]Storage Dispatch'!$I$16:$I$27,'Total Commodity Summary'!J9)+INDEX('[15]Storage Dispatch'!$J$34:$J$45,'Total Commodity Summary'!J9)-INDEX('[15]Storage Dispatch'!$J$16:$J$27,'Total Commodity Summary'!J9)+INDEX('[15]Storage Dispatch'!$F$34:$F$45,'Total Commodity Summary'!J9)-INDEX('[15]Storage Dispatch'!$F$16:$F$27,'Total Commodity Summary'!J9)</f>
        <v>0</v>
      </c>
      <c r="K32" s="148">
        <f>INDEX('[15]Storage Dispatch'!$I$34:$I$45,'Total Commodity Summary'!K9)-INDEX('[15]Storage Dispatch'!$I$16:$I$27,'Total Commodity Summary'!K9)+INDEX('[15]Storage Dispatch'!$J$34:$J$45,'Total Commodity Summary'!K9)-INDEX('[15]Storage Dispatch'!$J$16:$J$27,'Total Commodity Summary'!K9)+INDEX('[15]Storage Dispatch'!$F$34:$F$45,'Total Commodity Summary'!K9)-INDEX('[15]Storage Dispatch'!$F$16:$F$27,'Total Commodity Summary'!K9)</f>
        <v>0</v>
      </c>
      <c r="L32" s="148">
        <f>INDEX('[15]Storage Dispatch'!$I$34:$I$45,'Total Commodity Summary'!L9)-INDEX('[15]Storage Dispatch'!$I$16:$I$27,'Total Commodity Summary'!L9)+INDEX('[15]Storage Dispatch'!$J$34:$J$45,'Total Commodity Summary'!L9)-INDEX('[15]Storage Dispatch'!$J$16:$J$27,'Total Commodity Summary'!L9)+INDEX('[15]Storage Dispatch'!$F$34:$F$45,'Total Commodity Summary'!L9)-INDEX('[15]Storage Dispatch'!$F$16:$F$27,'Total Commodity Summary'!L9)</f>
        <v>0</v>
      </c>
      <c r="M32" s="148">
        <f>INDEX('[15]Storage Dispatch'!$I$34:$I$45,'Total Commodity Summary'!M9)-INDEX('[15]Storage Dispatch'!$I$16:$I$27,'Total Commodity Summary'!M9)+INDEX('[15]Storage Dispatch'!$J$34:$J$45,'Total Commodity Summary'!M9)-INDEX('[15]Storage Dispatch'!$J$16:$J$27,'Total Commodity Summary'!M9)+INDEX('[15]Storage Dispatch'!$F$34:$F$45,'Total Commodity Summary'!M9)-INDEX('[15]Storage Dispatch'!$F$16:$F$27,'Total Commodity Summary'!M9)</f>
        <v>0</v>
      </c>
      <c r="N32" s="148">
        <f>INDEX('[15]Storage Dispatch'!$I$34:$I$45,'Total Commodity Summary'!N9)-INDEX('[15]Storage Dispatch'!$I$16:$I$27,'Total Commodity Summary'!N9)+INDEX('[15]Storage Dispatch'!$J$34:$J$45,'Total Commodity Summary'!N9)-INDEX('[15]Storage Dispatch'!$J$16:$J$27,'Total Commodity Summary'!N9)+INDEX('[15]Storage Dispatch'!$F$34:$F$45,'Total Commodity Summary'!N9)-INDEX('[15]Storage Dispatch'!$F$16:$F$27,'Total Commodity Summary'!N9)</f>
        <v>0</v>
      </c>
      <c r="O32" s="148">
        <f>INDEX('[15]Storage Dispatch'!$I$34:$I$45,'Total Commodity Summary'!O9)-INDEX('[15]Storage Dispatch'!$I$16:$I$27,'Total Commodity Summary'!O9)+INDEX('[15]Storage Dispatch'!$J$34:$J$45,'Total Commodity Summary'!O9)-INDEX('[15]Storage Dispatch'!$J$16:$J$27,'Total Commodity Summary'!O9)+INDEX('[15]Storage Dispatch'!$F$34:$F$45,'Total Commodity Summary'!O9)-INDEX('[15]Storage Dispatch'!$F$16:$F$27,'Total Commodity Summary'!O9)</f>
        <v>102.74655310336675</v>
      </c>
      <c r="P32" s="149">
        <f>SUM(D32:O32)</f>
        <v>1529.3254267517405</v>
      </c>
      <c r="Q32" s="441"/>
      <c r="R32" s="450" t="s">
        <v>396</v>
      </c>
    </row>
    <row r="33" spans="1:24" x14ac:dyDescent="0.35">
      <c r="A33" s="409">
        <f t="shared" si="0"/>
        <v>27</v>
      </c>
      <c r="B33" s="131" t="s">
        <v>415</v>
      </c>
      <c r="C33" s="131"/>
      <c r="D33" s="145">
        <f t="shared" ref="D33:O33" si="4">D31-D32</f>
        <v>28507.304031497479</v>
      </c>
      <c r="E33" s="145">
        <f t="shared" si="4"/>
        <v>2735557.8909317297</v>
      </c>
      <c r="F33" s="145">
        <f t="shared" si="4"/>
        <v>3478894.1266141692</v>
      </c>
      <c r="G33" s="145">
        <f t="shared" si="4"/>
        <v>3235542.4096868811</v>
      </c>
      <c r="H33" s="145">
        <f t="shared" si="4"/>
        <v>2237615.4625986661</v>
      </c>
      <c r="I33" s="145">
        <f t="shared" si="4"/>
        <v>266420.04558882536</v>
      </c>
      <c r="J33" s="145">
        <f t="shared" si="4"/>
        <v>0</v>
      </c>
      <c r="K33" s="145">
        <f t="shared" si="4"/>
        <v>0</v>
      </c>
      <c r="L33" s="145">
        <f t="shared" si="4"/>
        <v>0</v>
      </c>
      <c r="M33" s="145">
        <f t="shared" si="4"/>
        <v>0</v>
      </c>
      <c r="N33" s="145">
        <f t="shared" si="4"/>
        <v>0</v>
      </c>
      <c r="O33" s="145">
        <f t="shared" si="4"/>
        <v>73815.636974494322</v>
      </c>
      <c r="P33" s="144">
        <f>SUM(D33:O33)</f>
        <v>12056352.876426265</v>
      </c>
      <c r="Q33" s="441"/>
      <c r="R33" s="447" t="str">
        <f>IF(P33='[15]Storage Dispatch'!K28,"GOOD","ERROR")</f>
        <v>GOOD</v>
      </c>
      <c r="S33" s="455"/>
    </row>
    <row r="34" spans="1:24" x14ac:dyDescent="0.35">
      <c r="A34" s="409">
        <f t="shared" si="0"/>
        <v>28</v>
      </c>
      <c r="B34" s="131"/>
      <c r="C34" s="131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4"/>
      <c r="Q34" s="441"/>
      <c r="R34" s="441"/>
    </row>
    <row r="35" spans="1:24" x14ac:dyDescent="0.35">
      <c r="A35" s="409">
        <f t="shared" si="0"/>
        <v>29</v>
      </c>
      <c r="B35" s="131" t="s">
        <v>416</v>
      </c>
      <c r="C35" s="131"/>
      <c r="D35" s="145">
        <f t="shared" ref="D35:O35" si="5">+D29+D33</f>
        <v>10133067.933538802</v>
      </c>
      <c r="E35" s="145">
        <f t="shared" si="5"/>
        <v>14647896.037366178</v>
      </c>
      <c r="F35" s="145">
        <f t="shared" si="5"/>
        <v>14937580.739250362</v>
      </c>
      <c r="G35" s="145">
        <f t="shared" si="5"/>
        <v>12439613.56021753</v>
      </c>
      <c r="H35" s="145">
        <f t="shared" si="5"/>
        <v>10977641.676580133</v>
      </c>
      <c r="I35" s="145">
        <f t="shared" si="5"/>
        <v>7564968.6659279726</v>
      </c>
      <c r="J35" s="145">
        <f t="shared" si="5"/>
        <v>4840469.7152079977</v>
      </c>
      <c r="K35" s="145">
        <f t="shared" si="5"/>
        <v>3354519.5525397588</v>
      </c>
      <c r="L35" s="145">
        <f t="shared" si="5"/>
        <v>2708042.6580105075</v>
      </c>
      <c r="M35" s="145">
        <f t="shared" si="5"/>
        <v>2605652.4706753041</v>
      </c>
      <c r="N35" s="145">
        <f t="shared" si="5"/>
        <v>2854091.4309035009</v>
      </c>
      <c r="O35" s="145">
        <f t="shared" si="5"/>
        <v>5720411.2173732733</v>
      </c>
      <c r="P35" s="144">
        <f>SUM(D35:O35)</f>
        <v>92783955.657591313</v>
      </c>
      <c r="Q35" s="441"/>
      <c r="R35" s="441"/>
    </row>
    <row r="36" spans="1:24" x14ac:dyDescent="0.35">
      <c r="A36" s="409">
        <f t="shared" si="0"/>
        <v>30</v>
      </c>
      <c r="D36" s="143"/>
      <c r="E36" s="411"/>
      <c r="F36" s="411"/>
      <c r="G36" s="411"/>
      <c r="H36" s="411"/>
      <c r="I36" s="411"/>
      <c r="J36" s="411"/>
      <c r="K36" s="411"/>
      <c r="L36" s="411"/>
      <c r="M36" s="411"/>
      <c r="N36" s="411"/>
      <c r="O36" s="411"/>
      <c r="P36" s="144"/>
      <c r="Q36" s="411"/>
      <c r="R36" s="450" t="s">
        <v>396</v>
      </c>
    </row>
    <row r="37" spans="1:24" x14ac:dyDescent="0.35">
      <c r="A37" s="409">
        <f t="shared" si="0"/>
        <v>31</v>
      </c>
      <c r="B37" s="131" t="s">
        <v>417</v>
      </c>
      <c r="C37" s="131"/>
      <c r="D37" s="145">
        <f>INDEX('[15]Storage Dispatch'!$M$16:$M$27,'Total Commodity Summary'!D9)-INDEX('[15]Storage Dispatch'!$L$16:$L$27,'Total Commodity Summary'!D9)</f>
        <v>91050.917071875185</v>
      </c>
      <c r="E37" s="145">
        <f>INDEX('[15]Storage Dispatch'!$M$16:$M$27,'Total Commodity Summary'!E9)-INDEX('[15]Storage Dispatch'!$L$16:$L$27,'Total Commodity Summary'!E9)</f>
        <v>107340.571497567</v>
      </c>
      <c r="F37" s="145">
        <f>INDEX('[15]Storage Dispatch'!$M$16:$M$27,'Total Commodity Summary'!F9)-INDEX('[15]Storage Dispatch'!$L$16:$L$27,'Total Commodity Summary'!F9)</f>
        <v>103252.77493739128</v>
      </c>
      <c r="G37" s="145">
        <f>INDEX('[15]Storage Dispatch'!$M$16:$M$27,'Total Commodity Summary'!G9)-INDEX('[15]Storage Dispatch'!$L$16:$L$27,'Total Commodity Summary'!G9)</f>
        <v>82936.720336297527</v>
      </c>
      <c r="H37" s="145">
        <f>INDEX('[15]Storage Dispatch'!$M$16:$M$27,'Total Commodity Summary'!H9)-INDEX('[15]Storage Dispatch'!$L$16:$L$27,'Total Commodity Summary'!H9)</f>
        <v>78755.270139245316</v>
      </c>
      <c r="I37" s="145">
        <f>INDEX('[15]Storage Dispatch'!$M$16:$M$27,'Total Commodity Summary'!I9)-INDEX('[15]Storage Dispatch'!$L$16:$L$27,'Total Commodity Summary'!I9)</f>
        <v>65766.297965985723</v>
      </c>
      <c r="J37" s="145">
        <f>INDEX('[15]Storage Dispatch'!$M$16:$M$27,'Total Commodity Summary'!J9)-INDEX('[15]Storage Dispatch'!$L$16:$L$27,'Total Commodity Summary'!J9)</f>
        <v>43616.860028659925</v>
      </c>
      <c r="K37" s="145">
        <f>INDEX('[15]Storage Dispatch'!$M$16:$M$27,'Total Commodity Summary'!K9)-INDEX('[15]Storage Dispatch'!$L$16:$L$27,'Total Commodity Summary'!K9)</f>
        <v>30227.151164035778</v>
      </c>
      <c r="L37" s="145">
        <f>INDEX('[15]Storage Dispatch'!$M$16:$M$27,'Total Commodity Summary'!L9)-INDEX('[15]Storage Dispatch'!$L$16:$L$27,'Total Commodity Summary'!L9)</f>
        <v>24401.829680904746</v>
      </c>
      <c r="M37" s="145">
        <f>INDEX('[15]Storage Dispatch'!$M$16:$M$27,'Total Commodity Summary'!M9)-INDEX('[15]Storage Dispatch'!$L$16:$L$27,'Total Commodity Summary'!M9)</f>
        <v>23479.204660593998</v>
      </c>
      <c r="N37" s="145">
        <f>INDEX('[15]Storage Dispatch'!$M$16:$M$27,'Total Commodity Summary'!N9)-INDEX('[15]Storage Dispatch'!$L$16:$L$27,'Total Commodity Summary'!N9)</f>
        <v>25717.856690560002</v>
      </c>
      <c r="O37" s="145">
        <f>INDEX('[15]Storage Dispatch'!$M$16:$M$27,'Total Commodity Summary'!O9)-INDEX('[15]Storage Dispatch'!$L$16:$L$27,'Total Commodity Summary'!O9)</f>
        <v>50880.758182394318</v>
      </c>
      <c r="P37" s="144">
        <f>ROUND(SUM(D37:O37),2)</f>
        <v>727426.21</v>
      </c>
      <c r="Q37" s="441"/>
      <c r="R37" s="447" t="str">
        <f>IF(ROUND('[15]Storage Dispatch'!M28-'[15]Storage Dispatch'!L28,2)='Total Commodity Summary'!P37,"GOOD", "ERROR")</f>
        <v>GOOD</v>
      </c>
    </row>
    <row r="38" spans="1:24" x14ac:dyDescent="0.35">
      <c r="A38" s="409">
        <f t="shared" si="0"/>
        <v>32</v>
      </c>
      <c r="B38" s="151"/>
      <c r="C38" s="143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3"/>
      <c r="Q38" s="411"/>
      <c r="R38" s="450" t="s">
        <v>396</v>
      </c>
    </row>
    <row r="39" spans="1:24" ht="15" thickBot="1" x14ac:dyDescent="0.4">
      <c r="A39" s="409">
        <f t="shared" si="0"/>
        <v>33</v>
      </c>
      <c r="B39" s="154" t="s">
        <v>418</v>
      </c>
      <c r="C39" s="154"/>
      <c r="D39" s="155">
        <f t="shared" ref="D39:O39" si="6">+D35-D37</f>
        <v>10042017.016466927</v>
      </c>
      <c r="E39" s="155">
        <f t="shared" si="6"/>
        <v>14540555.465868611</v>
      </c>
      <c r="F39" s="155">
        <f t="shared" si="6"/>
        <v>14834327.964312971</v>
      </c>
      <c r="G39" s="155">
        <f t="shared" si="6"/>
        <v>12356676.839881232</v>
      </c>
      <c r="H39" s="155">
        <f t="shared" si="6"/>
        <v>10898886.406440888</v>
      </c>
      <c r="I39" s="155">
        <f t="shared" si="6"/>
        <v>7499202.3679619869</v>
      </c>
      <c r="J39" s="155">
        <f t="shared" si="6"/>
        <v>4796852.8551793378</v>
      </c>
      <c r="K39" s="155">
        <f t="shared" si="6"/>
        <v>3324292.4013757231</v>
      </c>
      <c r="L39" s="155">
        <f t="shared" si="6"/>
        <v>2683640.8283296027</v>
      </c>
      <c r="M39" s="155">
        <f t="shared" si="6"/>
        <v>2582173.2660147101</v>
      </c>
      <c r="N39" s="155">
        <f t="shared" si="6"/>
        <v>2828373.5742129409</v>
      </c>
      <c r="O39" s="155">
        <f t="shared" si="6"/>
        <v>5669530.459190879</v>
      </c>
      <c r="P39" s="156">
        <f>SUM(D39:O39)</f>
        <v>92056529.445235819</v>
      </c>
      <c r="Q39" s="441"/>
      <c r="R39" s="447" t="str">
        <f>IF(ROUND(P39-P50,0)=0,"GOOD","ERROR")</f>
        <v>GOOD</v>
      </c>
      <c r="S39" s="157"/>
      <c r="T39" s="454"/>
    </row>
    <row r="40" spans="1:24" ht="15.5" thickTop="1" thickBot="1" x14ac:dyDescent="0.4">
      <c r="A40" s="409"/>
      <c r="B40" s="158"/>
      <c r="C40" s="158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60">
        <f>+P39-'[15]Storage Dispatch'!D418</f>
        <v>0.44523581862449646</v>
      </c>
      <c r="Q40" s="441"/>
      <c r="R40" s="410"/>
    </row>
    <row r="41" spans="1:24" ht="15" thickBot="1" x14ac:dyDescent="0.4">
      <c r="A41" s="409"/>
      <c r="B41" s="131"/>
      <c r="C41" s="131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4"/>
      <c r="Q41" s="441"/>
      <c r="R41" s="441"/>
    </row>
    <row r="42" spans="1:24" ht="15" thickBot="1" x14ac:dyDescent="0.4">
      <c r="A42" s="453" t="s">
        <v>419</v>
      </c>
      <c r="B42" s="452"/>
      <c r="C42" s="45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2"/>
      <c r="Q42" s="441"/>
      <c r="R42" s="441"/>
    </row>
    <row r="43" spans="1:24" x14ac:dyDescent="0.35">
      <c r="A43" s="440"/>
      <c r="B43" s="439"/>
      <c r="C43" s="439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  <c r="Q43" s="441"/>
      <c r="R43" s="163"/>
      <c r="T43" s="411"/>
    </row>
    <row r="44" spans="1:24" outlineLevel="1" x14ac:dyDescent="0.35">
      <c r="A44" s="438">
        <f>+A39+1</f>
        <v>34</v>
      </c>
      <c r="B44" s="448"/>
      <c r="C44" s="439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2"/>
      <c r="Q44" s="441"/>
      <c r="R44" s="450"/>
    </row>
    <row r="45" spans="1:24" outlineLevel="1" x14ac:dyDescent="0.35">
      <c r="A45" s="438">
        <f t="shared" ref="A45:A59" si="7">+A44+1</f>
        <v>35</v>
      </c>
      <c r="B45" s="439"/>
      <c r="C45" s="439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5"/>
      <c r="Q45" s="441"/>
      <c r="R45" s="449"/>
    </row>
    <row r="46" spans="1:24" outlineLevel="1" x14ac:dyDescent="0.35">
      <c r="A46" s="438">
        <f t="shared" si="7"/>
        <v>36</v>
      </c>
      <c r="B46" s="166"/>
      <c r="C46" s="166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2"/>
      <c r="Q46" s="441"/>
      <c r="R46" s="449"/>
    </row>
    <row r="47" spans="1:24" outlineLevel="1" x14ac:dyDescent="0.35">
      <c r="A47" s="438">
        <f t="shared" si="7"/>
        <v>37</v>
      </c>
      <c r="B47" s="166"/>
      <c r="C47" s="166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2"/>
      <c r="Q47" s="441"/>
      <c r="R47" s="441"/>
      <c r="T47" s="446"/>
      <c r="U47" s="446"/>
    </row>
    <row r="48" spans="1:24" x14ac:dyDescent="0.35">
      <c r="A48" s="438">
        <f t="shared" si="7"/>
        <v>38</v>
      </c>
      <c r="B48" s="448" t="s">
        <v>420</v>
      </c>
      <c r="C48" s="166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2"/>
      <c r="Q48" s="441"/>
      <c r="R48" s="441"/>
      <c r="S48" s="446"/>
      <c r="T48" s="446"/>
      <c r="U48" s="446"/>
      <c r="W48" s="445"/>
      <c r="X48" s="444"/>
    </row>
    <row r="49" spans="1:24" x14ac:dyDescent="0.35">
      <c r="A49" s="438">
        <f t="shared" si="7"/>
        <v>39</v>
      </c>
      <c r="B49" s="166" t="s">
        <v>2</v>
      </c>
      <c r="C49" s="166"/>
      <c r="D49" s="161">
        <v>10042017.016466923</v>
      </c>
      <c r="E49" s="161">
        <v>14540555.465868611</v>
      </c>
      <c r="F49" s="161">
        <v>14834327.964312969</v>
      </c>
      <c r="G49" s="161">
        <v>12356676.839881234</v>
      </c>
      <c r="H49" s="161">
        <v>10898886.406440884</v>
      </c>
      <c r="I49" s="161">
        <v>7499202.3679619897</v>
      </c>
      <c r="J49" s="161">
        <v>4796852.8551793396</v>
      </c>
      <c r="K49" s="161">
        <v>3324292.4013757235</v>
      </c>
      <c r="L49" s="161">
        <v>2683640.8283296032</v>
      </c>
      <c r="M49" s="161">
        <v>2582173.2660147105</v>
      </c>
      <c r="N49" s="161">
        <v>2828373.5742129413</v>
      </c>
      <c r="O49" s="161">
        <v>5669530.459190879</v>
      </c>
      <c r="P49" s="162">
        <f>SUM(D49:O49)</f>
        <v>92056529.445235804</v>
      </c>
      <c r="Q49" s="441"/>
      <c r="R49" s="441"/>
      <c r="S49" s="446"/>
      <c r="T49" s="446"/>
      <c r="U49" s="446"/>
      <c r="W49" s="445"/>
      <c r="X49" s="444"/>
    </row>
    <row r="50" spans="1:24" x14ac:dyDescent="0.35">
      <c r="A50" s="438">
        <f t="shared" si="7"/>
        <v>40</v>
      </c>
      <c r="B50" s="167" t="s">
        <v>421</v>
      </c>
      <c r="C50" s="167"/>
      <c r="D50" s="168">
        <f t="shared" ref="D50:O50" si="8">SUM(D49:D49)</f>
        <v>10042017.016466923</v>
      </c>
      <c r="E50" s="168">
        <f t="shared" si="8"/>
        <v>14540555.465868611</v>
      </c>
      <c r="F50" s="168">
        <f t="shared" si="8"/>
        <v>14834327.964312969</v>
      </c>
      <c r="G50" s="168">
        <f t="shared" si="8"/>
        <v>12356676.839881234</v>
      </c>
      <c r="H50" s="168">
        <f t="shared" si="8"/>
        <v>10898886.406440884</v>
      </c>
      <c r="I50" s="168">
        <f t="shared" si="8"/>
        <v>7499202.3679619897</v>
      </c>
      <c r="J50" s="168">
        <f t="shared" si="8"/>
        <v>4796852.8551793396</v>
      </c>
      <c r="K50" s="168">
        <f t="shared" si="8"/>
        <v>3324292.4013757235</v>
      </c>
      <c r="L50" s="168">
        <f t="shared" si="8"/>
        <v>2683640.8283296032</v>
      </c>
      <c r="M50" s="168">
        <f t="shared" si="8"/>
        <v>2582173.2660147105</v>
      </c>
      <c r="N50" s="168">
        <f t="shared" si="8"/>
        <v>2828373.5742129413</v>
      </c>
      <c r="O50" s="168">
        <f t="shared" si="8"/>
        <v>5669530.459190879</v>
      </c>
      <c r="P50" s="169">
        <f>ROUND(SUM(D50:O50),0)</f>
        <v>92056529</v>
      </c>
      <c r="Q50" s="441"/>
      <c r="R50" s="447" t="str">
        <f>IF(P50='[15]Storage Dispatch'!D418, "GOOD", "ERROR")</f>
        <v>GOOD</v>
      </c>
      <c r="S50" s="446"/>
      <c r="T50" s="446"/>
      <c r="U50" s="446"/>
      <c r="W50" s="445"/>
      <c r="X50" s="444"/>
    </row>
    <row r="51" spans="1:24" x14ac:dyDescent="0.35">
      <c r="A51" s="438">
        <f t="shared" si="7"/>
        <v>41</v>
      </c>
      <c r="B51" s="166"/>
      <c r="C51" s="166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2"/>
      <c r="Q51" s="441"/>
      <c r="R51" s="441"/>
      <c r="S51" s="446"/>
      <c r="T51" s="446"/>
      <c r="U51" s="446"/>
      <c r="W51" s="445"/>
      <c r="X51" s="444"/>
    </row>
    <row r="52" spans="1:24" x14ac:dyDescent="0.35">
      <c r="A52" s="438">
        <f t="shared" si="7"/>
        <v>42</v>
      </c>
      <c r="B52" s="170" t="s">
        <v>422</v>
      </c>
      <c r="C52" s="171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3"/>
      <c r="Q52" s="441"/>
      <c r="R52" s="441"/>
    </row>
    <row r="53" spans="1:24" x14ac:dyDescent="0.35">
      <c r="A53" s="438">
        <f t="shared" si="7"/>
        <v>43</v>
      </c>
      <c r="B53" s="440"/>
      <c r="C53" s="174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3"/>
      <c r="Q53" s="441"/>
      <c r="R53" s="441"/>
    </row>
    <row r="54" spans="1:24" x14ac:dyDescent="0.35">
      <c r="A54" s="438">
        <f t="shared" si="7"/>
        <v>44</v>
      </c>
      <c r="B54" s="439" t="s">
        <v>423</v>
      </c>
      <c r="C54" s="174"/>
      <c r="D54" s="164">
        <f t="shared" ref="D54:O54" si="9">+D24</f>
        <v>4171731.5206597727</v>
      </c>
      <c r="E54" s="164">
        <f t="shared" si="9"/>
        <v>6629274.6648237472</v>
      </c>
      <c r="F54" s="164">
        <f t="shared" si="9"/>
        <v>6843534.2184000788</v>
      </c>
      <c r="G54" s="164">
        <f t="shared" si="9"/>
        <v>5419582.2465018583</v>
      </c>
      <c r="H54" s="164">
        <f t="shared" si="9"/>
        <v>4114933.7049115221</v>
      </c>
      <c r="I54" s="164">
        <f t="shared" si="9"/>
        <v>2010833.669081762</v>
      </c>
      <c r="J54" s="164">
        <f t="shared" si="9"/>
        <v>1156356.8048419713</v>
      </c>
      <c r="K54" s="164">
        <f t="shared" si="9"/>
        <v>896382.68012801546</v>
      </c>
      <c r="L54" s="164">
        <f t="shared" si="9"/>
        <v>923886.79417724616</v>
      </c>
      <c r="M54" s="164">
        <f t="shared" si="9"/>
        <v>915690.80948054523</v>
      </c>
      <c r="N54" s="164">
        <f t="shared" si="9"/>
        <v>953304.54351463134</v>
      </c>
      <c r="O54" s="164">
        <f t="shared" si="9"/>
        <v>1746699.5184071683</v>
      </c>
      <c r="P54" s="165">
        <f>SUM(D54:O54)</f>
        <v>35782211.174928315</v>
      </c>
      <c r="Q54" s="441"/>
      <c r="R54" s="441"/>
    </row>
    <row r="55" spans="1:24" x14ac:dyDescent="0.35">
      <c r="A55" s="438">
        <f t="shared" si="7"/>
        <v>45</v>
      </c>
      <c r="B55" s="443" t="s">
        <v>424</v>
      </c>
      <c r="C55" s="175"/>
      <c r="D55" s="176">
        <f t="shared" ref="D55:O55" si="10">+D54</f>
        <v>4171731.5206597727</v>
      </c>
      <c r="E55" s="176">
        <f t="shared" si="10"/>
        <v>6629274.6648237472</v>
      </c>
      <c r="F55" s="176">
        <f t="shared" si="10"/>
        <v>6843534.2184000788</v>
      </c>
      <c r="G55" s="176">
        <f t="shared" si="10"/>
        <v>5419582.2465018583</v>
      </c>
      <c r="H55" s="176">
        <f t="shared" si="10"/>
        <v>4114933.7049115221</v>
      </c>
      <c r="I55" s="176">
        <f t="shared" si="10"/>
        <v>2010833.669081762</v>
      </c>
      <c r="J55" s="176">
        <f t="shared" si="10"/>
        <v>1156356.8048419713</v>
      </c>
      <c r="K55" s="176">
        <f t="shared" si="10"/>
        <v>896382.68012801546</v>
      </c>
      <c r="L55" s="176">
        <f t="shared" si="10"/>
        <v>923886.79417724616</v>
      </c>
      <c r="M55" s="176">
        <f t="shared" si="10"/>
        <v>915690.80948054523</v>
      </c>
      <c r="N55" s="176">
        <f t="shared" si="10"/>
        <v>953304.54351463134</v>
      </c>
      <c r="O55" s="176">
        <f t="shared" si="10"/>
        <v>1746699.5184071683</v>
      </c>
      <c r="P55" s="177">
        <f>SUM(D55:O55)</f>
        <v>35782211.174928315</v>
      </c>
      <c r="Q55" s="441"/>
      <c r="R55" s="441"/>
    </row>
    <row r="56" spans="1:24" x14ac:dyDescent="0.35">
      <c r="A56" s="438">
        <f t="shared" si="7"/>
        <v>46</v>
      </c>
      <c r="B56" s="166"/>
      <c r="C56" s="166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442"/>
      <c r="Q56" s="441"/>
      <c r="R56" s="441"/>
    </row>
    <row r="57" spans="1:24" x14ac:dyDescent="0.35">
      <c r="A57" s="438">
        <f t="shared" si="7"/>
        <v>47</v>
      </c>
      <c r="B57" s="440" t="str">
        <f>CONCATENATE("Washington Sales WACOG (line "&amp;A55&amp;" ÷ line "&amp;A49&amp;")")</f>
        <v>Washington Sales WACOG (line 45 ÷ line 39)</v>
      </c>
      <c r="C57" s="439"/>
      <c r="D57" s="172">
        <f t="shared" ref="D57:P57" si="11">ROUND(D55/D49,5)</f>
        <v>0.41543000000000002</v>
      </c>
      <c r="E57" s="172">
        <f t="shared" si="11"/>
        <v>0.45591999999999999</v>
      </c>
      <c r="F57" s="172">
        <f t="shared" si="11"/>
        <v>0.46133000000000002</v>
      </c>
      <c r="G57" s="172">
        <f t="shared" si="11"/>
        <v>0.43859999999999999</v>
      </c>
      <c r="H57" s="172">
        <f t="shared" si="11"/>
        <v>0.37756000000000001</v>
      </c>
      <c r="I57" s="172">
        <f t="shared" si="11"/>
        <v>0.26813999999999999</v>
      </c>
      <c r="J57" s="172">
        <f t="shared" si="11"/>
        <v>0.24107000000000001</v>
      </c>
      <c r="K57" s="172">
        <f t="shared" si="11"/>
        <v>0.26965</v>
      </c>
      <c r="L57" s="172">
        <f t="shared" si="11"/>
        <v>0.34427000000000002</v>
      </c>
      <c r="M57" s="172">
        <f t="shared" si="11"/>
        <v>0.35461999999999999</v>
      </c>
      <c r="N57" s="172">
        <f t="shared" si="11"/>
        <v>0.33705000000000002</v>
      </c>
      <c r="O57" s="172">
        <f t="shared" si="11"/>
        <v>0.30808999999999997</v>
      </c>
      <c r="P57" s="173">
        <f t="shared" si="11"/>
        <v>0.38869999999999999</v>
      </c>
      <c r="Q57" s="411"/>
      <c r="R57" s="178"/>
      <c r="S57" s="179"/>
    </row>
    <row r="58" spans="1:24" x14ac:dyDescent="0.35">
      <c r="A58" s="438">
        <f t="shared" si="7"/>
        <v>48</v>
      </c>
      <c r="B58" s="440"/>
      <c r="C58" s="439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3"/>
      <c r="Q58" s="411"/>
      <c r="R58" s="410"/>
    </row>
    <row r="59" spans="1:24" ht="15" thickBot="1" x14ac:dyDescent="0.4">
      <c r="A59" s="438">
        <f t="shared" si="7"/>
        <v>49</v>
      </c>
      <c r="B59" s="437" t="s">
        <v>425</v>
      </c>
      <c r="C59" s="436"/>
      <c r="D59" s="180">
        <f t="shared" ref="D59:P59" si="12">ROUND(D57/(1-wa_revsens),5)</f>
        <v>0.43435000000000001</v>
      </c>
      <c r="E59" s="180">
        <f t="shared" si="12"/>
        <v>0.47669</v>
      </c>
      <c r="F59" s="180">
        <f t="shared" si="12"/>
        <v>0.48235</v>
      </c>
      <c r="G59" s="180">
        <f t="shared" si="12"/>
        <v>0.45857999999999999</v>
      </c>
      <c r="H59" s="180">
        <f t="shared" si="12"/>
        <v>0.39476</v>
      </c>
      <c r="I59" s="180">
        <f t="shared" si="12"/>
        <v>0.28034999999999999</v>
      </c>
      <c r="J59" s="180">
        <f t="shared" si="12"/>
        <v>0.25205</v>
      </c>
      <c r="K59" s="180">
        <f t="shared" si="12"/>
        <v>0.28193000000000001</v>
      </c>
      <c r="L59" s="180">
        <f t="shared" si="12"/>
        <v>0.35994999999999999</v>
      </c>
      <c r="M59" s="180">
        <f t="shared" si="12"/>
        <v>0.37076999999999999</v>
      </c>
      <c r="N59" s="180">
        <f t="shared" si="12"/>
        <v>0.35239999999999999</v>
      </c>
      <c r="O59" s="180">
        <f t="shared" si="12"/>
        <v>0.32212000000000002</v>
      </c>
      <c r="P59" s="181">
        <f t="shared" si="12"/>
        <v>0.40640999999999999</v>
      </c>
      <c r="Q59" s="411"/>
      <c r="R59" s="182" t="s">
        <v>426</v>
      </c>
      <c r="S59" s="435">
        <v>0.43274000000000001</v>
      </c>
    </row>
    <row r="60" spans="1:24" ht="15" thickTop="1" x14ac:dyDescent="0.35">
      <c r="A60" s="409"/>
      <c r="B60" s="416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4"/>
      <c r="Q60" s="411"/>
      <c r="R60" s="434" t="s">
        <v>427</v>
      </c>
      <c r="S60" s="433">
        <f>P59-S59</f>
        <v>-2.633000000000002E-2</v>
      </c>
    </row>
    <row r="61" spans="1:24" x14ac:dyDescent="0.35">
      <c r="A61" s="409"/>
      <c r="B61" s="416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4"/>
      <c r="Q61" s="411"/>
      <c r="R61" s="185" t="s">
        <v>428</v>
      </c>
      <c r="S61" s="186">
        <f>S60/S59</f>
        <v>-6.0844849101076903E-2</v>
      </c>
    </row>
    <row r="62" spans="1:24" x14ac:dyDescent="0.35">
      <c r="A62" s="409"/>
      <c r="B62" s="416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7"/>
      <c r="Q62" s="411"/>
      <c r="R62" s="410"/>
    </row>
    <row r="63" spans="1:24" x14ac:dyDescent="0.35">
      <c r="A63" s="409"/>
      <c r="B63" s="416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8"/>
      <c r="Q63" s="411"/>
      <c r="R63" s="410"/>
    </row>
    <row r="64" spans="1:24" x14ac:dyDescent="0.35">
      <c r="P64" s="432"/>
      <c r="Q64" s="411"/>
      <c r="R64" s="410"/>
    </row>
    <row r="65" spans="1:18" ht="15" thickBot="1" x14ac:dyDescent="0.4">
      <c r="B65" s="431"/>
      <c r="C65" s="431"/>
      <c r="D65" s="431"/>
      <c r="E65" s="431"/>
      <c r="F65" s="431"/>
      <c r="G65" s="431"/>
      <c r="H65" s="431"/>
      <c r="I65" s="431"/>
      <c r="J65" s="431"/>
      <c r="K65" s="431"/>
      <c r="L65" s="431"/>
      <c r="M65" s="431"/>
      <c r="N65" s="431"/>
      <c r="O65" s="431"/>
      <c r="P65" s="430"/>
      <c r="Q65" s="411"/>
      <c r="R65" s="410"/>
    </row>
    <row r="66" spans="1:18" x14ac:dyDescent="0.35">
      <c r="A66" s="409"/>
      <c r="B66" s="151"/>
      <c r="C66" s="189"/>
      <c r="D66" s="143"/>
      <c r="E66" s="411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90"/>
      <c r="Q66" s="411"/>
      <c r="R66" s="410"/>
    </row>
    <row r="67" spans="1:18" x14ac:dyDescent="0.35">
      <c r="A67" s="409">
        <f>A59+1</f>
        <v>50</v>
      </c>
      <c r="B67" s="429" t="s">
        <v>429</v>
      </c>
      <c r="C67" s="424"/>
      <c r="D67" s="191"/>
      <c r="E67" s="428"/>
      <c r="F67" s="428"/>
      <c r="G67" s="428"/>
      <c r="H67" s="428"/>
      <c r="I67" s="428"/>
      <c r="J67" s="428"/>
      <c r="K67" s="428"/>
      <c r="L67" s="428"/>
      <c r="M67" s="428"/>
      <c r="N67" s="428"/>
      <c r="O67" s="428"/>
      <c r="P67" s="192"/>
      <c r="Q67" s="411"/>
      <c r="R67" s="410"/>
    </row>
    <row r="68" spans="1:18" x14ac:dyDescent="0.35">
      <c r="A68" s="409">
        <f>+A67+1</f>
        <v>51</v>
      </c>
      <c r="B68" s="424"/>
      <c r="C68" s="424"/>
      <c r="D68" s="193"/>
      <c r="E68" s="428"/>
      <c r="F68" s="428"/>
      <c r="G68" s="428"/>
      <c r="H68" s="428"/>
      <c r="I68" s="428"/>
      <c r="J68" s="428"/>
      <c r="K68" s="428"/>
      <c r="L68" s="428"/>
      <c r="M68" s="428"/>
      <c r="N68" s="428"/>
      <c r="O68" s="428"/>
      <c r="P68" s="427"/>
      <c r="Q68" s="411"/>
      <c r="R68" s="410"/>
    </row>
    <row r="69" spans="1:18" x14ac:dyDescent="0.35">
      <c r="A69" s="409">
        <f>+A68+1</f>
        <v>52</v>
      </c>
      <c r="B69" s="424" t="s">
        <v>430</v>
      </c>
      <c r="C69" s="424"/>
      <c r="D69" s="193">
        <f t="shared" ref="D69:O69" si="13">+D49</f>
        <v>10042017.016466923</v>
      </c>
      <c r="E69" s="193">
        <f t="shared" si="13"/>
        <v>14540555.465868611</v>
      </c>
      <c r="F69" s="193">
        <f t="shared" si="13"/>
        <v>14834327.964312969</v>
      </c>
      <c r="G69" s="193">
        <f t="shared" si="13"/>
        <v>12356676.839881234</v>
      </c>
      <c r="H69" s="193">
        <f t="shared" si="13"/>
        <v>10898886.406440884</v>
      </c>
      <c r="I69" s="193">
        <f t="shared" si="13"/>
        <v>7499202.3679619897</v>
      </c>
      <c r="J69" s="193">
        <f t="shared" si="13"/>
        <v>4796852.8551793396</v>
      </c>
      <c r="K69" s="193">
        <f t="shared" si="13"/>
        <v>3324292.4013757235</v>
      </c>
      <c r="L69" s="193">
        <f t="shared" si="13"/>
        <v>2683640.8283296032</v>
      </c>
      <c r="M69" s="193">
        <f t="shared" si="13"/>
        <v>2582173.2660147105</v>
      </c>
      <c r="N69" s="193">
        <f t="shared" si="13"/>
        <v>2828373.5742129413</v>
      </c>
      <c r="O69" s="193">
        <f t="shared" si="13"/>
        <v>5669530.459190879</v>
      </c>
      <c r="P69" s="427">
        <f>SUM(D69:O69)</f>
        <v>92056529.445235804</v>
      </c>
      <c r="Q69" s="411"/>
      <c r="R69" s="410"/>
    </row>
    <row r="70" spans="1:18" x14ac:dyDescent="0.35">
      <c r="A70" s="409">
        <f>+A69+1</f>
        <v>53</v>
      </c>
      <c r="B70" s="426" t="s">
        <v>431</v>
      </c>
      <c r="C70" s="426"/>
      <c r="D70" s="194">
        <f t="shared" ref="D70:O70" si="14">+D57</f>
        <v>0.41543000000000002</v>
      </c>
      <c r="E70" s="194">
        <f t="shared" si="14"/>
        <v>0.45591999999999999</v>
      </c>
      <c r="F70" s="194">
        <f t="shared" si="14"/>
        <v>0.46133000000000002</v>
      </c>
      <c r="G70" s="194">
        <f t="shared" si="14"/>
        <v>0.43859999999999999</v>
      </c>
      <c r="H70" s="194">
        <f t="shared" si="14"/>
        <v>0.37756000000000001</v>
      </c>
      <c r="I70" s="194">
        <f t="shared" si="14"/>
        <v>0.26813999999999999</v>
      </c>
      <c r="J70" s="194">
        <f t="shared" si="14"/>
        <v>0.24107000000000001</v>
      </c>
      <c r="K70" s="194">
        <f t="shared" si="14"/>
        <v>0.26965</v>
      </c>
      <c r="L70" s="194">
        <f t="shared" si="14"/>
        <v>0.34427000000000002</v>
      </c>
      <c r="M70" s="194">
        <f t="shared" si="14"/>
        <v>0.35461999999999999</v>
      </c>
      <c r="N70" s="194">
        <f t="shared" si="14"/>
        <v>0.33705000000000002</v>
      </c>
      <c r="O70" s="194">
        <f t="shared" si="14"/>
        <v>0.30808999999999997</v>
      </c>
      <c r="P70" s="425"/>
      <c r="Q70" s="411"/>
      <c r="R70" s="410"/>
    </row>
    <row r="71" spans="1:18" x14ac:dyDescent="0.35">
      <c r="A71" s="409">
        <f>+A70+1</f>
        <v>54</v>
      </c>
      <c r="B71" s="424" t="s">
        <v>432</v>
      </c>
      <c r="C71" s="424"/>
      <c r="D71" s="195">
        <f>ROUND(+D69*D70,0)</f>
        <v>4171755</v>
      </c>
      <c r="E71" s="195">
        <f t="shared" ref="E71:O71" si="15">+E69*E70</f>
        <v>6629330.0479988167</v>
      </c>
      <c r="F71" s="195">
        <f t="shared" si="15"/>
        <v>6843520.5197765017</v>
      </c>
      <c r="G71" s="195">
        <f t="shared" si="15"/>
        <v>5419638.4619719088</v>
      </c>
      <c r="H71" s="195">
        <f t="shared" si="15"/>
        <v>4114983.5516158203</v>
      </c>
      <c r="I71" s="195">
        <f t="shared" si="15"/>
        <v>2010836.1229453278</v>
      </c>
      <c r="J71" s="195">
        <f t="shared" si="15"/>
        <v>1156377.3177980834</v>
      </c>
      <c r="K71" s="195">
        <f t="shared" si="15"/>
        <v>896395.44603096391</v>
      </c>
      <c r="L71" s="195">
        <f t="shared" si="15"/>
        <v>923897.02796903253</v>
      </c>
      <c r="M71" s="195">
        <f t="shared" si="15"/>
        <v>915690.28359413659</v>
      </c>
      <c r="N71" s="195">
        <f t="shared" si="15"/>
        <v>953303.31318847195</v>
      </c>
      <c r="O71" s="195">
        <f t="shared" si="15"/>
        <v>1746725.6391721177</v>
      </c>
      <c r="P71" s="196">
        <f>SUM(D71:O71)</f>
        <v>35782452.73206117</v>
      </c>
      <c r="Q71" s="411"/>
      <c r="R71" s="410"/>
    </row>
    <row r="72" spans="1:18" ht="15" thickBot="1" x14ac:dyDescent="0.4">
      <c r="A72" s="409">
        <f>+A71+1</f>
        <v>55</v>
      </c>
      <c r="B72" s="423"/>
      <c r="C72" s="423"/>
      <c r="D72" s="197"/>
      <c r="E72" s="422"/>
      <c r="F72" s="422"/>
      <c r="G72" s="422"/>
      <c r="H72" s="422"/>
      <c r="I72" s="422"/>
      <c r="J72" s="422"/>
      <c r="K72" s="422"/>
      <c r="L72" s="422"/>
      <c r="M72" s="422"/>
      <c r="N72" s="422"/>
      <c r="O72" s="422"/>
      <c r="P72" s="421"/>
      <c r="Q72" s="411"/>
      <c r="R72" s="410"/>
    </row>
    <row r="73" spans="1:18" x14ac:dyDescent="0.35">
      <c r="A73" s="409"/>
      <c r="B73" s="151"/>
      <c r="C73" s="143"/>
      <c r="D73" s="145"/>
      <c r="E73" s="415"/>
      <c r="F73" s="415"/>
      <c r="G73" s="415"/>
      <c r="H73" s="415"/>
      <c r="I73" s="415"/>
      <c r="J73" s="411"/>
      <c r="K73" s="411"/>
      <c r="L73" s="411"/>
      <c r="M73" s="411"/>
      <c r="N73" s="411"/>
      <c r="O73" s="411"/>
      <c r="P73" s="411"/>
      <c r="Q73" s="411"/>
      <c r="R73" s="410"/>
    </row>
    <row r="74" spans="1:18" x14ac:dyDescent="0.35">
      <c r="A74" s="409"/>
      <c r="D74" s="145"/>
      <c r="E74" s="415"/>
      <c r="F74" s="411"/>
      <c r="G74" s="411"/>
      <c r="H74" s="420"/>
      <c r="I74" s="411"/>
      <c r="J74" s="420"/>
      <c r="K74" s="411"/>
      <c r="L74" s="420"/>
      <c r="M74" s="411"/>
      <c r="N74" s="411"/>
      <c r="O74" s="411"/>
      <c r="P74" s="411"/>
      <c r="Q74" s="418"/>
      <c r="R74" s="417"/>
    </row>
    <row r="75" spans="1:18" x14ac:dyDescent="0.35">
      <c r="A75" s="409"/>
      <c r="D75" s="145"/>
      <c r="E75" s="411"/>
      <c r="F75" s="411"/>
      <c r="G75" s="411"/>
      <c r="H75" s="420"/>
      <c r="I75" s="411"/>
      <c r="J75" s="420"/>
      <c r="K75" s="411"/>
      <c r="L75" s="420"/>
      <c r="M75" s="411"/>
      <c r="N75" s="411"/>
      <c r="O75" s="411"/>
      <c r="P75" s="411"/>
      <c r="Q75" s="418"/>
      <c r="R75" s="417"/>
    </row>
    <row r="76" spans="1:18" x14ac:dyDescent="0.35">
      <c r="A76" s="409"/>
      <c r="D76" s="145"/>
      <c r="E76" s="411"/>
      <c r="F76" s="411"/>
      <c r="G76" s="411"/>
      <c r="H76" s="420"/>
      <c r="I76" s="411"/>
      <c r="J76" s="420"/>
      <c r="K76" s="411"/>
      <c r="L76" s="420"/>
      <c r="M76" s="411"/>
      <c r="N76" s="411"/>
      <c r="O76" s="411"/>
      <c r="P76" s="411"/>
      <c r="Q76" s="418"/>
      <c r="R76" s="417"/>
    </row>
    <row r="77" spans="1:18" x14ac:dyDescent="0.35">
      <c r="A77" s="409"/>
      <c r="D77" s="145"/>
      <c r="E77" s="411"/>
      <c r="F77" s="411"/>
      <c r="G77" s="411"/>
      <c r="H77" s="420"/>
      <c r="I77" s="411"/>
      <c r="J77" s="420"/>
      <c r="K77" s="411"/>
      <c r="L77" s="420"/>
      <c r="M77" s="411"/>
      <c r="N77" s="411"/>
      <c r="O77" s="411"/>
      <c r="P77" s="411"/>
      <c r="Q77" s="418"/>
      <c r="R77" s="417"/>
    </row>
    <row r="78" spans="1:18" x14ac:dyDescent="0.35">
      <c r="A78" s="409"/>
      <c r="D78" s="145"/>
      <c r="E78" s="411"/>
      <c r="F78" s="411"/>
      <c r="G78" s="411"/>
      <c r="H78" s="420"/>
      <c r="I78" s="411"/>
      <c r="J78" s="420"/>
      <c r="K78" s="411"/>
      <c r="L78" s="420"/>
      <c r="M78" s="411"/>
      <c r="N78" s="411"/>
      <c r="O78" s="411"/>
      <c r="P78" s="411"/>
      <c r="Q78" s="418"/>
      <c r="R78" s="417"/>
    </row>
    <row r="79" spans="1:18" x14ac:dyDescent="0.35">
      <c r="A79" s="409"/>
      <c r="D79" s="145"/>
      <c r="E79" s="411"/>
      <c r="F79" s="420"/>
      <c r="G79" s="411"/>
      <c r="H79" s="411"/>
      <c r="I79" s="411"/>
      <c r="J79" s="411"/>
      <c r="K79" s="420"/>
      <c r="L79" s="411"/>
      <c r="M79" s="411"/>
      <c r="N79" s="411"/>
      <c r="O79" s="411"/>
      <c r="P79" s="411"/>
      <c r="Q79" s="418"/>
      <c r="R79" s="417"/>
    </row>
    <row r="80" spans="1:18" x14ac:dyDescent="0.35">
      <c r="A80" s="409"/>
      <c r="D80" s="145"/>
      <c r="E80" s="411"/>
      <c r="F80" s="420"/>
      <c r="G80" s="411"/>
      <c r="H80" s="411"/>
      <c r="I80" s="411"/>
      <c r="J80" s="411"/>
      <c r="K80" s="420"/>
      <c r="L80" s="411"/>
      <c r="M80" s="411"/>
      <c r="N80" s="411"/>
      <c r="O80" s="411"/>
      <c r="P80" s="411"/>
      <c r="Q80" s="418"/>
      <c r="R80" s="417"/>
    </row>
    <row r="81" spans="1:18" x14ac:dyDescent="0.35">
      <c r="A81" s="409"/>
      <c r="D81" s="145"/>
      <c r="E81" s="411"/>
      <c r="F81" s="420"/>
      <c r="G81" s="411"/>
      <c r="H81" s="420"/>
      <c r="I81" s="411"/>
      <c r="J81" s="420"/>
      <c r="K81" s="420"/>
      <c r="L81" s="411"/>
      <c r="M81" s="411"/>
      <c r="N81" s="411"/>
      <c r="O81" s="411"/>
      <c r="P81" s="411"/>
      <c r="Q81" s="418"/>
      <c r="R81" s="417"/>
    </row>
    <row r="82" spans="1:18" x14ac:dyDescent="0.35">
      <c r="A82" s="409"/>
      <c r="D82" s="145"/>
      <c r="E82" s="411"/>
      <c r="F82" s="420"/>
      <c r="G82" s="411"/>
      <c r="H82" s="420"/>
      <c r="I82" s="411"/>
      <c r="J82" s="420"/>
      <c r="K82" s="420"/>
      <c r="L82" s="420"/>
      <c r="M82" s="411"/>
      <c r="N82" s="411"/>
      <c r="O82" s="411"/>
      <c r="P82" s="411"/>
      <c r="Q82" s="418"/>
      <c r="R82" s="417"/>
    </row>
    <row r="83" spans="1:18" x14ac:dyDescent="0.35">
      <c r="A83" s="409"/>
      <c r="D83" s="143"/>
      <c r="E83" s="418"/>
      <c r="F83" s="419"/>
      <c r="G83" s="418"/>
      <c r="H83" s="419"/>
      <c r="I83" s="418"/>
      <c r="J83" s="419"/>
      <c r="K83" s="419"/>
      <c r="L83" s="419"/>
      <c r="M83" s="418"/>
      <c r="N83" s="418"/>
      <c r="O83" s="418"/>
      <c r="P83" s="418"/>
      <c r="Q83" s="418"/>
      <c r="R83" s="417"/>
    </row>
    <row r="84" spans="1:18" x14ac:dyDescent="0.35">
      <c r="A84" s="409"/>
      <c r="D84" s="143"/>
      <c r="E84" s="418"/>
      <c r="F84" s="419"/>
      <c r="G84" s="418"/>
      <c r="H84" s="419"/>
      <c r="I84" s="418"/>
      <c r="J84" s="419"/>
      <c r="K84" s="419"/>
      <c r="L84" s="419"/>
      <c r="M84" s="418"/>
      <c r="N84" s="418"/>
      <c r="O84" s="418"/>
      <c r="P84" s="418"/>
      <c r="Q84" s="418"/>
      <c r="R84" s="417"/>
    </row>
    <row r="85" spans="1:18" x14ac:dyDescent="0.35">
      <c r="A85" s="409"/>
      <c r="D85" s="143"/>
      <c r="E85" s="418"/>
      <c r="F85" s="419"/>
      <c r="G85" s="418"/>
      <c r="H85" s="418"/>
      <c r="I85" s="418"/>
      <c r="J85" s="418"/>
      <c r="K85" s="419"/>
      <c r="L85" s="418"/>
      <c r="M85" s="418"/>
      <c r="N85" s="418"/>
      <c r="O85" s="418"/>
      <c r="P85" s="418"/>
      <c r="Q85" s="418"/>
      <c r="R85" s="417"/>
    </row>
    <row r="86" spans="1:18" x14ac:dyDescent="0.35">
      <c r="A86" s="409"/>
      <c r="B86" s="151"/>
      <c r="C86" s="143"/>
      <c r="D86" s="143"/>
      <c r="E86" s="411"/>
      <c r="F86" s="411"/>
      <c r="G86" s="411"/>
      <c r="H86" s="411"/>
      <c r="I86" s="411"/>
      <c r="J86" s="411"/>
      <c r="K86" s="411"/>
      <c r="L86" s="411"/>
      <c r="M86" s="411"/>
      <c r="N86" s="411"/>
      <c r="O86" s="411"/>
      <c r="P86" s="411"/>
      <c r="Q86" s="411"/>
      <c r="R86" s="410"/>
    </row>
    <row r="87" spans="1:18" x14ac:dyDescent="0.35">
      <c r="A87" s="409"/>
      <c r="B87" s="151"/>
      <c r="C87" s="143"/>
      <c r="D87" s="143"/>
      <c r="E87" s="411"/>
      <c r="F87" s="411"/>
      <c r="G87" s="411"/>
      <c r="H87" s="411"/>
      <c r="I87" s="411"/>
      <c r="J87" s="411"/>
      <c r="K87" s="411"/>
      <c r="L87" s="411"/>
      <c r="M87" s="411"/>
      <c r="N87" s="411"/>
      <c r="O87" s="411"/>
      <c r="P87" s="411"/>
      <c r="Q87" s="411"/>
      <c r="R87" s="410"/>
    </row>
    <row r="88" spans="1:18" x14ac:dyDescent="0.35">
      <c r="A88" s="409"/>
      <c r="B88" s="416"/>
      <c r="D88" s="143"/>
      <c r="E88" s="415"/>
      <c r="F88" s="415"/>
      <c r="G88" s="415"/>
      <c r="H88" s="415"/>
      <c r="I88" s="415"/>
      <c r="J88" s="411"/>
      <c r="K88" s="411"/>
      <c r="L88" s="411"/>
      <c r="M88" s="411"/>
      <c r="N88" s="411"/>
      <c r="O88" s="411"/>
      <c r="P88" s="411"/>
      <c r="Q88" s="411"/>
      <c r="R88" s="410"/>
    </row>
    <row r="89" spans="1:18" x14ac:dyDescent="0.35">
      <c r="A89" s="409"/>
      <c r="B89" s="151"/>
      <c r="C89" s="143"/>
      <c r="D89" s="143"/>
      <c r="E89" s="415"/>
      <c r="F89" s="415"/>
      <c r="G89" s="415"/>
      <c r="H89" s="415"/>
      <c r="I89" s="415"/>
      <c r="J89" s="411"/>
      <c r="K89" s="411"/>
      <c r="L89" s="411"/>
      <c r="M89" s="411"/>
      <c r="N89" s="411"/>
      <c r="O89" s="411"/>
      <c r="P89" s="411"/>
      <c r="Q89" s="411"/>
      <c r="R89" s="410"/>
    </row>
    <row r="90" spans="1:18" x14ac:dyDescent="0.35">
      <c r="A90" s="409"/>
      <c r="D90" s="143"/>
      <c r="E90" s="413"/>
      <c r="F90" s="413"/>
      <c r="G90" s="413"/>
      <c r="H90" s="413"/>
      <c r="I90" s="413"/>
      <c r="J90" s="413"/>
      <c r="K90" s="413"/>
      <c r="L90" s="413"/>
      <c r="M90" s="413"/>
      <c r="N90" s="413"/>
      <c r="O90" s="413"/>
      <c r="P90" s="413"/>
      <c r="Q90" s="413"/>
      <c r="R90" s="412"/>
    </row>
    <row r="91" spans="1:18" x14ac:dyDescent="0.35">
      <c r="A91" s="409"/>
      <c r="D91" s="143"/>
      <c r="E91" s="413"/>
      <c r="F91" s="413"/>
      <c r="G91" s="413"/>
      <c r="H91" s="413"/>
      <c r="I91" s="413"/>
      <c r="J91" s="413"/>
      <c r="K91" s="413"/>
      <c r="L91" s="413"/>
      <c r="M91" s="413"/>
      <c r="N91" s="413"/>
      <c r="O91" s="413"/>
      <c r="P91" s="413"/>
      <c r="Q91" s="413"/>
      <c r="R91" s="412"/>
    </row>
    <row r="92" spans="1:18" x14ac:dyDescent="0.35">
      <c r="A92" s="409"/>
      <c r="D92" s="143"/>
      <c r="E92" s="413"/>
      <c r="F92" s="413"/>
      <c r="G92" s="413"/>
      <c r="H92" s="413"/>
      <c r="I92" s="413"/>
      <c r="J92" s="413"/>
      <c r="K92" s="413"/>
      <c r="L92" s="413"/>
      <c r="M92" s="413"/>
      <c r="N92" s="413"/>
      <c r="O92" s="413"/>
      <c r="P92" s="413"/>
      <c r="Q92" s="413"/>
      <c r="R92" s="412"/>
    </row>
    <row r="93" spans="1:18" x14ac:dyDescent="0.35">
      <c r="A93" s="409"/>
      <c r="D93" s="143"/>
      <c r="E93" s="413"/>
      <c r="F93" s="413"/>
      <c r="G93" s="413"/>
      <c r="H93" s="413"/>
      <c r="I93" s="413"/>
      <c r="J93" s="413"/>
      <c r="K93" s="413"/>
      <c r="L93" s="413"/>
      <c r="M93" s="413"/>
      <c r="N93" s="413"/>
      <c r="O93" s="413"/>
      <c r="P93" s="413"/>
      <c r="Q93" s="413"/>
      <c r="R93" s="412"/>
    </row>
    <row r="94" spans="1:18" x14ac:dyDescent="0.35">
      <c r="A94" s="409"/>
      <c r="B94" s="413"/>
      <c r="C94" s="413"/>
      <c r="D94" s="413"/>
      <c r="E94" s="413"/>
      <c r="F94" s="413"/>
      <c r="G94" s="413"/>
      <c r="H94" s="413"/>
      <c r="I94" s="413"/>
      <c r="J94" s="413"/>
      <c r="K94" s="413"/>
      <c r="L94" s="413"/>
      <c r="M94" s="413"/>
      <c r="N94" s="413"/>
      <c r="O94" s="413"/>
      <c r="P94" s="413"/>
      <c r="Q94" s="413"/>
      <c r="R94" s="412"/>
    </row>
    <row r="95" spans="1:18" x14ac:dyDescent="0.35">
      <c r="A95" s="409"/>
      <c r="B95" s="413"/>
      <c r="C95" s="413"/>
      <c r="D95" s="413"/>
      <c r="E95" s="413"/>
      <c r="F95" s="413"/>
      <c r="G95" s="413"/>
      <c r="H95" s="413"/>
      <c r="I95" s="413"/>
      <c r="J95" s="413"/>
      <c r="K95" s="413"/>
      <c r="L95" s="413"/>
      <c r="M95" s="413"/>
      <c r="N95" s="413"/>
      <c r="O95" s="413"/>
      <c r="P95" s="413"/>
      <c r="Q95" s="413"/>
      <c r="R95" s="412"/>
    </row>
    <row r="96" spans="1:18" x14ac:dyDescent="0.35">
      <c r="A96" s="409"/>
      <c r="B96" s="413"/>
      <c r="C96" s="413"/>
      <c r="D96" s="413"/>
      <c r="E96" s="413"/>
      <c r="F96" s="413"/>
      <c r="G96" s="413"/>
      <c r="H96" s="413"/>
      <c r="I96" s="413"/>
      <c r="J96" s="413"/>
      <c r="K96" s="413"/>
      <c r="L96" s="413"/>
      <c r="M96" s="413"/>
      <c r="N96" s="413"/>
      <c r="O96" s="413"/>
      <c r="P96" s="413"/>
      <c r="Q96" s="413"/>
      <c r="R96" s="412"/>
    </row>
    <row r="97" spans="1:18" x14ac:dyDescent="0.35">
      <c r="A97" s="409"/>
      <c r="B97" s="413"/>
      <c r="C97" s="413"/>
      <c r="D97" s="413"/>
      <c r="E97" s="413"/>
      <c r="F97" s="413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413"/>
      <c r="R97" s="412"/>
    </row>
    <row r="98" spans="1:18" x14ac:dyDescent="0.35">
      <c r="A98" s="409"/>
      <c r="B98" s="413"/>
      <c r="C98" s="413"/>
      <c r="D98" s="413"/>
      <c r="E98" s="413"/>
      <c r="F98" s="413"/>
      <c r="G98" s="413"/>
      <c r="H98" s="413"/>
      <c r="I98" s="413"/>
      <c r="J98" s="413"/>
      <c r="K98" s="413"/>
      <c r="L98" s="413"/>
      <c r="M98" s="413"/>
      <c r="N98" s="413"/>
      <c r="O98" s="413"/>
      <c r="P98" s="413"/>
      <c r="Q98" s="413"/>
      <c r="R98" s="412"/>
    </row>
    <row r="99" spans="1:18" x14ac:dyDescent="0.35">
      <c r="A99" s="409"/>
      <c r="B99" s="413"/>
      <c r="C99" s="413"/>
      <c r="D99" s="413"/>
      <c r="E99" s="413"/>
      <c r="F99" s="413"/>
      <c r="G99" s="413"/>
      <c r="H99" s="413"/>
      <c r="I99" s="413"/>
      <c r="J99" s="413"/>
      <c r="K99" s="413"/>
      <c r="L99" s="413"/>
      <c r="M99" s="413"/>
      <c r="N99" s="413"/>
      <c r="O99" s="413"/>
      <c r="P99" s="413"/>
      <c r="Q99" s="413"/>
      <c r="R99" s="412"/>
    </row>
    <row r="100" spans="1:18" x14ac:dyDescent="0.35">
      <c r="A100" s="409"/>
      <c r="B100" s="413"/>
      <c r="C100" s="413"/>
      <c r="D100" s="413"/>
      <c r="E100" s="413"/>
      <c r="F100" s="413"/>
      <c r="G100" s="413"/>
      <c r="H100" s="413"/>
      <c r="I100" s="413"/>
      <c r="J100" s="413"/>
      <c r="K100" s="413"/>
      <c r="L100" s="413"/>
      <c r="M100" s="413"/>
      <c r="N100" s="413"/>
      <c r="O100" s="413"/>
      <c r="P100" s="413"/>
      <c r="Q100" s="413"/>
      <c r="R100" s="412"/>
    </row>
    <row r="101" spans="1:18" x14ac:dyDescent="0.35">
      <c r="A101" s="409"/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  <c r="Q101" s="413"/>
      <c r="R101" s="412"/>
    </row>
    <row r="102" spans="1:18" x14ac:dyDescent="0.35">
      <c r="A102" s="409"/>
      <c r="B102" s="413"/>
      <c r="C102" s="413"/>
      <c r="D102" s="413"/>
      <c r="E102" s="413"/>
      <c r="F102" s="413"/>
      <c r="G102" s="413"/>
      <c r="H102" s="413"/>
      <c r="I102" s="413"/>
      <c r="J102" s="413"/>
      <c r="K102" s="413"/>
      <c r="L102" s="413"/>
      <c r="M102" s="413"/>
      <c r="N102" s="413"/>
      <c r="O102" s="413"/>
      <c r="P102" s="413"/>
      <c r="Q102" s="413"/>
      <c r="R102" s="412"/>
    </row>
    <row r="103" spans="1:18" x14ac:dyDescent="0.35">
      <c r="A103" s="409"/>
      <c r="B103" s="411"/>
      <c r="C103" s="411"/>
      <c r="D103" s="411"/>
      <c r="E103" s="411"/>
      <c r="F103" s="411"/>
      <c r="G103" s="411"/>
      <c r="H103" s="411"/>
      <c r="I103" s="411"/>
      <c r="J103" s="411"/>
      <c r="K103" s="411"/>
      <c r="L103" s="411"/>
      <c r="M103" s="411"/>
      <c r="N103" s="411"/>
      <c r="O103" s="411"/>
      <c r="P103" s="411"/>
      <c r="Q103" s="411"/>
      <c r="R103" s="410"/>
    </row>
    <row r="104" spans="1:18" x14ac:dyDescent="0.35">
      <c r="A104" s="409"/>
      <c r="B104" s="411"/>
      <c r="C104" s="411"/>
      <c r="D104" s="411"/>
      <c r="E104" s="411"/>
      <c r="F104" s="411"/>
      <c r="G104" s="411"/>
      <c r="H104" s="411"/>
      <c r="I104" s="411"/>
      <c r="J104" s="411"/>
      <c r="K104" s="411"/>
      <c r="L104" s="411"/>
      <c r="M104" s="411"/>
      <c r="N104" s="411"/>
      <c r="O104" s="411"/>
      <c r="P104" s="411"/>
      <c r="Q104" s="411"/>
      <c r="R104" s="410"/>
    </row>
    <row r="105" spans="1:18" x14ac:dyDescent="0.35">
      <c r="A105" s="409"/>
      <c r="B105" s="415"/>
      <c r="C105" s="415"/>
      <c r="D105" s="415"/>
      <c r="E105" s="415"/>
      <c r="F105" s="415"/>
      <c r="G105" s="415"/>
      <c r="H105" s="415"/>
      <c r="I105" s="415"/>
      <c r="J105" s="411"/>
      <c r="K105" s="411"/>
      <c r="L105" s="411"/>
      <c r="M105" s="411"/>
      <c r="N105" s="411"/>
      <c r="O105" s="411"/>
      <c r="P105" s="411"/>
      <c r="Q105" s="411"/>
      <c r="R105" s="410"/>
    </row>
    <row r="106" spans="1:18" x14ac:dyDescent="0.35">
      <c r="A106" s="409"/>
      <c r="B106" s="151"/>
      <c r="C106" s="143"/>
      <c r="D106" s="143"/>
      <c r="E106" s="415"/>
      <c r="F106" s="415"/>
      <c r="G106" s="415"/>
      <c r="H106" s="415"/>
      <c r="I106" s="415"/>
      <c r="J106" s="411"/>
      <c r="K106" s="411"/>
      <c r="L106" s="411"/>
      <c r="M106" s="411"/>
      <c r="N106" s="411"/>
      <c r="O106" s="411"/>
      <c r="P106" s="411"/>
      <c r="Q106" s="411"/>
      <c r="R106" s="410"/>
    </row>
    <row r="107" spans="1:18" x14ac:dyDescent="0.35">
      <c r="A107" s="409"/>
      <c r="D107" s="143"/>
      <c r="E107" s="414"/>
      <c r="F107" s="413"/>
      <c r="G107" s="413"/>
      <c r="H107" s="413"/>
      <c r="I107" s="413"/>
      <c r="J107" s="413"/>
      <c r="K107" s="413"/>
      <c r="L107" s="413"/>
      <c r="M107" s="413"/>
      <c r="N107" s="413"/>
      <c r="O107" s="413"/>
      <c r="P107" s="413"/>
      <c r="Q107" s="413"/>
      <c r="R107" s="412"/>
    </row>
    <row r="108" spans="1:18" x14ac:dyDescent="0.35">
      <c r="A108" s="409"/>
      <c r="D108" s="143"/>
      <c r="E108" s="414"/>
      <c r="F108" s="413"/>
      <c r="G108" s="413"/>
      <c r="H108" s="413"/>
      <c r="I108" s="413"/>
      <c r="J108" s="413"/>
      <c r="K108" s="413"/>
      <c r="L108" s="413"/>
      <c r="M108" s="413"/>
      <c r="N108" s="413"/>
      <c r="O108" s="413"/>
      <c r="P108" s="413"/>
      <c r="Q108" s="413"/>
      <c r="R108" s="412"/>
    </row>
    <row r="109" spans="1:18" x14ac:dyDescent="0.35">
      <c r="A109" s="409"/>
      <c r="D109" s="143"/>
      <c r="E109" s="414"/>
      <c r="F109" s="413"/>
      <c r="G109" s="413"/>
      <c r="H109" s="413"/>
      <c r="I109" s="413"/>
      <c r="J109" s="413"/>
      <c r="K109" s="413"/>
      <c r="L109" s="413"/>
      <c r="M109" s="413"/>
      <c r="N109" s="413"/>
      <c r="O109" s="413"/>
      <c r="P109" s="413"/>
      <c r="Q109" s="413"/>
      <c r="R109" s="412"/>
    </row>
    <row r="110" spans="1:18" x14ac:dyDescent="0.35">
      <c r="A110" s="409"/>
      <c r="D110" s="143"/>
      <c r="E110" s="414"/>
      <c r="F110" s="413"/>
      <c r="G110" s="413"/>
      <c r="H110" s="413"/>
      <c r="I110" s="413"/>
      <c r="J110" s="413"/>
      <c r="K110" s="413"/>
      <c r="L110" s="413"/>
      <c r="M110" s="413"/>
      <c r="N110" s="413"/>
      <c r="O110" s="413"/>
      <c r="P110" s="413"/>
      <c r="Q110" s="413"/>
      <c r="R110" s="412"/>
    </row>
    <row r="111" spans="1:18" x14ac:dyDescent="0.35">
      <c r="A111" s="409"/>
      <c r="D111" s="143"/>
      <c r="E111" s="414"/>
      <c r="F111" s="413"/>
      <c r="G111" s="413"/>
      <c r="H111" s="413"/>
      <c r="I111" s="413"/>
      <c r="J111" s="413"/>
      <c r="K111" s="413"/>
      <c r="L111" s="413"/>
      <c r="M111" s="413"/>
      <c r="N111" s="413"/>
      <c r="O111" s="413"/>
      <c r="P111" s="413"/>
      <c r="Q111" s="413"/>
      <c r="R111" s="412"/>
    </row>
    <row r="112" spans="1:18" x14ac:dyDescent="0.35">
      <c r="A112" s="409"/>
      <c r="D112" s="143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3"/>
      <c r="R112" s="412"/>
    </row>
    <row r="113" spans="1:18" x14ac:dyDescent="0.35">
      <c r="A113" s="409"/>
      <c r="D113" s="143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3"/>
      <c r="R113" s="412"/>
    </row>
    <row r="114" spans="1:18" x14ac:dyDescent="0.35">
      <c r="A114" s="409"/>
      <c r="D114" s="143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3"/>
      <c r="R114" s="412"/>
    </row>
    <row r="115" spans="1:18" x14ac:dyDescent="0.35">
      <c r="A115" s="409"/>
      <c r="D115" s="143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3"/>
      <c r="R115" s="412"/>
    </row>
    <row r="116" spans="1:18" x14ac:dyDescent="0.35">
      <c r="A116" s="409"/>
      <c r="D116" s="143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3"/>
      <c r="R116" s="412"/>
    </row>
    <row r="117" spans="1:18" x14ac:dyDescent="0.35">
      <c r="A117" s="409"/>
      <c r="D117" s="143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3"/>
      <c r="R117" s="412"/>
    </row>
    <row r="118" spans="1:18" x14ac:dyDescent="0.35">
      <c r="A118" s="409"/>
      <c r="D118" s="143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3"/>
      <c r="R118" s="412"/>
    </row>
    <row r="119" spans="1:18" x14ac:dyDescent="0.35">
      <c r="A119" s="409"/>
      <c r="B119" s="151"/>
      <c r="C119" s="143"/>
      <c r="D119" s="143"/>
      <c r="E119" s="413"/>
      <c r="F119" s="413"/>
      <c r="G119" s="413"/>
      <c r="H119" s="413"/>
      <c r="I119" s="413"/>
      <c r="J119" s="413"/>
      <c r="K119" s="413"/>
      <c r="L119" s="413"/>
      <c r="M119" s="413"/>
      <c r="N119" s="413"/>
      <c r="O119" s="413"/>
      <c r="P119" s="413"/>
      <c r="Q119" s="413"/>
      <c r="R119" s="412"/>
    </row>
    <row r="120" spans="1:18" x14ac:dyDescent="0.35">
      <c r="A120" s="409"/>
      <c r="B120" s="151"/>
      <c r="C120" s="143"/>
      <c r="D120" s="143"/>
      <c r="E120" s="411"/>
      <c r="F120" s="411"/>
      <c r="G120" s="411"/>
      <c r="H120" s="411"/>
      <c r="I120" s="411"/>
      <c r="J120" s="411"/>
      <c r="K120" s="411"/>
      <c r="L120" s="411"/>
      <c r="M120" s="411"/>
      <c r="N120" s="411"/>
      <c r="O120" s="411"/>
      <c r="P120" s="411"/>
      <c r="Q120" s="411"/>
      <c r="R120" s="410"/>
    </row>
    <row r="121" spans="1:18" x14ac:dyDescent="0.35">
      <c r="A121" s="409"/>
      <c r="B121" s="151"/>
      <c r="C121" s="143"/>
      <c r="D121" s="143"/>
      <c r="E121" s="411"/>
      <c r="F121" s="411"/>
      <c r="G121" s="411"/>
      <c r="H121" s="411"/>
      <c r="I121" s="411"/>
      <c r="J121" s="411"/>
      <c r="K121" s="411"/>
      <c r="L121" s="411"/>
      <c r="M121" s="411"/>
      <c r="N121" s="411"/>
      <c r="O121" s="411"/>
      <c r="P121" s="411"/>
      <c r="Q121" s="411"/>
      <c r="R121" s="410"/>
    </row>
    <row r="122" spans="1:18" x14ac:dyDescent="0.35">
      <c r="A122" s="409"/>
      <c r="B122" s="416"/>
      <c r="D122" s="143"/>
      <c r="E122" s="415"/>
      <c r="F122" s="415"/>
      <c r="G122" s="415"/>
      <c r="H122" s="415"/>
      <c r="I122" s="415"/>
      <c r="J122" s="411"/>
      <c r="K122" s="411"/>
      <c r="L122" s="411"/>
      <c r="M122" s="411"/>
      <c r="N122" s="411"/>
      <c r="O122" s="411"/>
      <c r="P122" s="411"/>
      <c r="Q122" s="411"/>
      <c r="R122" s="410"/>
    </row>
    <row r="123" spans="1:18" x14ac:dyDescent="0.35">
      <c r="A123" s="409"/>
      <c r="B123" s="151"/>
      <c r="C123" s="143"/>
      <c r="D123" s="143"/>
      <c r="E123" s="415"/>
      <c r="F123" s="415"/>
      <c r="G123" s="415"/>
      <c r="H123" s="415"/>
      <c r="I123" s="415"/>
      <c r="J123" s="411"/>
      <c r="K123" s="411"/>
      <c r="L123" s="411"/>
      <c r="M123" s="411"/>
      <c r="N123" s="411"/>
      <c r="O123" s="411"/>
      <c r="P123" s="411"/>
      <c r="Q123" s="411"/>
      <c r="R123" s="410"/>
    </row>
    <row r="124" spans="1:18" x14ac:dyDescent="0.35">
      <c r="A124" s="409"/>
      <c r="D124" s="143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3"/>
      <c r="R124" s="412"/>
    </row>
    <row r="125" spans="1:18" x14ac:dyDescent="0.35">
      <c r="A125" s="409"/>
      <c r="D125" s="143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3"/>
      <c r="R125" s="412"/>
    </row>
    <row r="126" spans="1:18" x14ac:dyDescent="0.35">
      <c r="A126" s="409"/>
      <c r="D126" s="143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3"/>
      <c r="R126" s="412"/>
    </row>
    <row r="127" spans="1:18" x14ac:dyDescent="0.35">
      <c r="A127" s="409"/>
      <c r="D127" s="143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3"/>
      <c r="R127" s="412"/>
    </row>
    <row r="128" spans="1:18" x14ac:dyDescent="0.35">
      <c r="A128" s="409"/>
      <c r="D128" s="143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3"/>
      <c r="R128" s="412"/>
    </row>
    <row r="129" spans="1:18" x14ac:dyDescent="0.35">
      <c r="A129" s="409"/>
      <c r="D129" s="143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3"/>
      <c r="R129" s="412"/>
    </row>
    <row r="130" spans="1:18" x14ac:dyDescent="0.35">
      <c r="A130" s="409"/>
      <c r="D130" s="143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3"/>
      <c r="R130" s="412"/>
    </row>
    <row r="131" spans="1:18" x14ac:dyDescent="0.35">
      <c r="A131" s="409"/>
      <c r="D131" s="143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3"/>
      <c r="R131" s="412"/>
    </row>
    <row r="132" spans="1:18" x14ac:dyDescent="0.35">
      <c r="A132" s="409"/>
      <c r="D132" s="143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3"/>
      <c r="R132" s="412"/>
    </row>
    <row r="133" spans="1:18" x14ac:dyDescent="0.35">
      <c r="A133" s="409"/>
      <c r="D133" s="143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3"/>
      <c r="R133" s="412"/>
    </row>
    <row r="134" spans="1:18" x14ac:dyDescent="0.35">
      <c r="A134" s="409"/>
      <c r="D134" s="143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3"/>
      <c r="R134" s="412"/>
    </row>
    <row r="135" spans="1:18" x14ac:dyDescent="0.35">
      <c r="A135" s="409"/>
      <c r="D135" s="143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3"/>
      <c r="R135" s="412"/>
    </row>
    <row r="136" spans="1:18" x14ac:dyDescent="0.35">
      <c r="A136" s="409"/>
      <c r="B136" s="151"/>
      <c r="C136" s="143"/>
      <c r="D136" s="143"/>
      <c r="E136" s="413"/>
      <c r="F136" s="413"/>
      <c r="G136" s="413"/>
      <c r="H136" s="413"/>
      <c r="I136" s="413"/>
      <c r="J136" s="413"/>
      <c r="K136" s="413"/>
      <c r="L136" s="413"/>
      <c r="M136" s="413"/>
      <c r="N136" s="413"/>
      <c r="O136" s="413"/>
      <c r="P136" s="413"/>
      <c r="Q136" s="413"/>
      <c r="R136" s="412"/>
    </row>
    <row r="137" spans="1:18" x14ac:dyDescent="0.35">
      <c r="A137" s="409"/>
      <c r="B137" s="151"/>
      <c r="C137" s="143"/>
      <c r="D137" s="143"/>
      <c r="E137" s="411"/>
      <c r="F137" s="411"/>
      <c r="G137" s="411"/>
      <c r="H137" s="411"/>
      <c r="I137" s="411"/>
      <c r="J137" s="411"/>
      <c r="K137" s="411"/>
      <c r="L137" s="411"/>
      <c r="M137" s="411"/>
      <c r="N137" s="411"/>
      <c r="O137" s="411"/>
      <c r="P137" s="411"/>
      <c r="Q137" s="411"/>
      <c r="R137" s="410"/>
    </row>
    <row r="138" spans="1:18" x14ac:dyDescent="0.35">
      <c r="A138" s="409"/>
      <c r="B138" s="151"/>
      <c r="C138" s="143"/>
      <c r="D138" s="143"/>
      <c r="E138" s="411"/>
      <c r="F138" s="411"/>
      <c r="G138" s="411"/>
      <c r="H138" s="411"/>
      <c r="I138" s="411"/>
      <c r="J138" s="411"/>
      <c r="K138" s="411"/>
      <c r="L138" s="411"/>
      <c r="M138" s="411"/>
      <c r="N138" s="411"/>
      <c r="O138" s="411"/>
      <c r="P138" s="411"/>
      <c r="Q138" s="411"/>
      <c r="R138" s="410"/>
    </row>
    <row r="139" spans="1:18" x14ac:dyDescent="0.35">
      <c r="A139" s="409"/>
      <c r="B139" s="151"/>
      <c r="C139" s="143"/>
      <c r="D139" s="143"/>
      <c r="E139" s="411"/>
      <c r="F139" s="411"/>
      <c r="G139" s="411"/>
      <c r="H139" s="411"/>
      <c r="I139" s="411"/>
      <c r="J139" s="411"/>
      <c r="K139" s="411"/>
      <c r="L139" s="411"/>
      <c r="M139" s="411"/>
      <c r="N139" s="411"/>
      <c r="O139" s="411"/>
      <c r="P139" s="411"/>
      <c r="Q139" s="411"/>
      <c r="R139" s="410"/>
    </row>
    <row r="140" spans="1:18" x14ac:dyDescent="0.35">
      <c r="B140" s="151"/>
      <c r="C140" s="143"/>
      <c r="D140" s="143"/>
      <c r="E140" s="411"/>
      <c r="F140" s="411"/>
      <c r="G140" s="411"/>
      <c r="H140" s="411"/>
      <c r="I140" s="411"/>
      <c r="J140" s="411"/>
      <c r="K140" s="411"/>
      <c r="L140" s="411"/>
      <c r="M140" s="411"/>
      <c r="N140" s="411"/>
      <c r="O140" s="411"/>
      <c r="P140" s="411"/>
      <c r="Q140" s="411"/>
      <c r="R140" s="410"/>
    </row>
    <row r="141" spans="1:18" x14ac:dyDescent="0.35">
      <c r="B141" s="151"/>
      <c r="C141" s="143"/>
      <c r="D141" s="143"/>
      <c r="E141" s="411"/>
      <c r="F141" s="411"/>
      <c r="G141" s="411"/>
      <c r="H141" s="411"/>
      <c r="I141" s="411"/>
      <c r="J141" s="411"/>
      <c r="K141" s="411"/>
      <c r="L141" s="411"/>
      <c r="M141" s="411"/>
      <c r="N141" s="411"/>
      <c r="O141" s="411"/>
      <c r="P141" s="411"/>
      <c r="Q141" s="411"/>
      <c r="R141" s="410"/>
    </row>
    <row r="142" spans="1:18" x14ac:dyDescent="0.35">
      <c r="B142" s="151"/>
      <c r="C142" s="143"/>
      <c r="D142" s="143"/>
      <c r="E142" s="411"/>
      <c r="F142" s="411"/>
      <c r="G142" s="411"/>
      <c r="H142" s="411"/>
      <c r="I142" s="411"/>
      <c r="J142" s="411"/>
      <c r="K142" s="411"/>
      <c r="L142" s="411"/>
      <c r="M142" s="411"/>
      <c r="N142" s="411"/>
      <c r="O142" s="411"/>
      <c r="P142" s="411"/>
      <c r="Q142" s="411"/>
      <c r="R142" s="410"/>
    </row>
    <row r="143" spans="1:18" x14ac:dyDescent="0.35">
      <c r="B143" s="151"/>
      <c r="C143" s="143"/>
      <c r="D143" s="143"/>
      <c r="E143" s="411"/>
      <c r="F143" s="411"/>
      <c r="G143" s="411"/>
      <c r="H143" s="411"/>
      <c r="I143" s="411"/>
      <c r="J143" s="411"/>
      <c r="K143" s="411"/>
      <c r="L143" s="411"/>
      <c r="M143" s="411"/>
      <c r="N143" s="411"/>
      <c r="O143" s="411"/>
      <c r="P143" s="411"/>
      <c r="Q143" s="411"/>
      <c r="R143" s="410"/>
    </row>
    <row r="144" spans="1:18" x14ac:dyDescent="0.35">
      <c r="B144" s="151"/>
      <c r="C144" s="143"/>
      <c r="D144" s="143"/>
      <c r="E144" s="411"/>
      <c r="F144" s="411"/>
      <c r="G144" s="411"/>
      <c r="H144" s="411"/>
      <c r="I144" s="411"/>
      <c r="J144" s="411"/>
      <c r="K144" s="411"/>
      <c r="L144" s="411"/>
      <c r="M144" s="411"/>
      <c r="N144" s="411"/>
      <c r="O144" s="411"/>
      <c r="P144" s="411"/>
      <c r="Q144" s="411"/>
      <c r="R144" s="410"/>
    </row>
    <row r="145" spans="2:18" x14ac:dyDescent="0.35">
      <c r="B145" s="151"/>
      <c r="C145" s="143"/>
      <c r="D145" s="143"/>
      <c r="E145" s="411"/>
      <c r="F145" s="411"/>
      <c r="G145" s="411"/>
      <c r="H145" s="411"/>
      <c r="I145" s="411"/>
      <c r="J145" s="411"/>
      <c r="K145" s="411"/>
      <c r="L145" s="411"/>
      <c r="M145" s="411"/>
      <c r="N145" s="411"/>
      <c r="O145" s="411"/>
      <c r="P145" s="411"/>
      <c r="Q145" s="411"/>
      <c r="R145" s="410"/>
    </row>
    <row r="146" spans="2:18" x14ac:dyDescent="0.35">
      <c r="B146" s="151"/>
      <c r="C146" s="143"/>
      <c r="D146" s="143"/>
      <c r="E146" s="411"/>
      <c r="F146" s="411"/>
      <c r="G146" s="411"/>
      <c r="H146" s="411"/>
      <c r="I146" s="411"/>
      <c r="J146" s="411"/>
      <c r="K146" s="411"/>
      <c r="L146" s="411"/>
      <c r="M146" s="411"/>
      <c r="N146" s="411"/>
      <c r="O146" s="411"/>
      <c r="P146" s="411"/>
      <c r="Q146" s="411"/>
      <c r="R146" s="410"/>
    </row>
    <row r="147" spans="2:18" x14ac:dyDescent="0.35">
      <c r="B147" s="151"/>
      <c r="C147" s="143"/>
      <c r="D147" s="143"/>
      <c r="E147" s="411"/>
      <c r="F147" s="411"/>
      <c r="G147" s="411"/>
      <c r="H147" s="411"/>
      <c r="I147" s="411"/>
      <c r="J147" s="411"/>
      <c r="K147" s="411"/>
      <c r="L147" s="411"/>
      <c r="M147" s="411"/>
      <c r="N147" s="411"/>
      <c r="O147" s="411"/>
      <c r="P147" s="411"/>
      <c r="Q147" s="411"/>
      <c r="R147" s="410"/>
    </row>
    <row r="148" spans="2:18" x14ac:dyDescent="0.35">
      <c r="B148" s="151"/>
      <c r="C148" s="143"/>
      <c r="D148" s="143"/>
      <c r="E148" s="411"/>
      <c r="F148" s="411"/>
      <c r="G148" s="411"/>
      <c r="H148" s="411"/>
      <c r="I148" s="411"/>
      <c r="J148" s="411"/>
      <c r="K148" s="411"/>
      <c r="L148" s="411"/>
      <c r="M148" s="411"/>
      <c r="N148" s="411"/>
      <c r="O148" s="411"/>
      <c r="P148" s="411"/>
      <c r="Q148" s="411"/>
      <c r="R148" s="410"/>
    </row>
    <row r="149" spans="2:18" x14ac:dyDescent="0.35">
      <c r="B149" s="151"/>
      <c r="C149" s="143"/>
      <c r="D149" s="143"/>
      <c r="E149" s="411"/>
      <c r="F149" s="411"/>
      <c r="G149" s="411"/>
      <c r="H149" s="411"/>
      <c r="I149" s="411"/>
      <c r="J149" s="411"/>
      <c r="K149" s="411"/>
      <c r="L149" s="411"/>
      <c r="M149" s="411"/>
      <c r="N149" s="411"/>
      <c r="O149" s="411"/>
      <c r="P149" s="411"/>
      <c r="Q149" s="411"/>
      <c r="R149" s="410"/>
    </row>
    <row r="150" spans="2:18" x14ac:dyDescent="0.35">
      <c r="B150" s="151"/>
      <c r="C150" s="143"/>
      <c r="D150" s="143"/>
      <c r="E150" s="411"/>
      <c r="F150" s="411"/>
      <c r="G150" s="411"/>
      <c r="H150" s="411"/>
      <c r="I150" s="411"/>
      <c r="J150" s="411"/>
      <c r="K150" s="411"/>
      <c r="L150" s="411"/>
      <c r="M150" s="411"/>
      <c r="N150" s="411"/>
      <c r="O150" s="411"/>
      <c r="P150" s="411"/>
      <c r="Q150" s="411"/>
      <c r="R150" s="410"/>
    </row>
    <row r="151" spans="2:18" x14ac:dyDescent="0.35">
      <c r="B151" s="151"/>
      <c r="C151" s="143"/>
      <c r="D151" s="143"/>
      <c r="E151" s="411"/>
      <c r="F151" s="411"/>
      <c r="G151" s="411"/>
      <c r="H151" s="411"/>
      <c r="I151" s="411"/>
      <c r="J151" s="411"/>
      <c r="K151" s="411"/>
      <c r="L151" s="411"/>
      <c r="M151" s="411"/>
      <c r="N151" s="411"/>
      <c r="O151" s="411"/>
      <c r="P151" s="411"/>
      <c r="Q151" s="411"/>
      <c r="R151" s="410"/>
    </row>
    <row r="152" spans="2:18" x14ac:dyDescent="0.35">
      <c r="B152" s="151"/>
      <c r="C152" s="143"/>
      <c r="D152" s="143"/>
      <c r="E152" s="411"/>
      <c r="F152" s="411"/>
      <c r="G152" s="411"/>
      <c r="H152" s="411"/>
      <c r="I152" s="411"/>
      <c r="J152" s="411"/>
      <c r="K152" s="411"/>
      <c r="L152" s="411"/>
      <c r="M152" s="411"/>
      <c r="N152" s="411"/>
      <c r="O152" s="411"/>
      <c r="P152" s="411"/>
      <c r="Q152" s="411"/>
      <c r="R152" s="410"/>
    </row>
    <row r="153" spans="2:18" x14ac:dyDescent="0.35">
      <c r="B153" s="151"/>
      <c r="C153" s="143"/>
      <c r="D153" s="143"/>
      <c r="E153" s="411"/>
      <c r="F153" s="411"/>
      <c r="G153" s="411"/>
      <c r="H153" s="411"/>
      <c r="I153" s="411"/>
      <c r="J153" s="411"/>
      <c r="K153" s="411"/>
      <c r="L153" s="411"/>
      <c r="M153" s="411"/>
      <c r="N153" s="411"/>
      <c r="O153" s="411"/>
      <c r="P153" s="411"/>
      <c r="Q153" s="411"/>
      <c r="R153" s="410"/>
    </row>
    <row r="154" spans="2:18" x14ac:dyDescent="0.35">
      <c r="B154" s="151"/>
      <c r="C154" s="143"/>
      <c r="D154" s="143"/>
      <c r="E154" s="411"/>
      <c r="F154" s="411"/>
      <c r="G154" s="411"/>
      <c r="H154" s="411"/>
      <c r="I154" s="411"/>
      <c r="J154" s="411"/>
      <c r="K154" s="411"/>
      <c r="L154" s="411"/>
      <c r="M154" s="411"/>
      <c r="N154" s="411"/>
      <c r="O154" s="411"/>
      <c r="P154" s="411"/>
      <c r="Q154" s="411"/>
      <c r="R154" s="410"/>
    </row>
    <row r="155" spans="2:18" x14ac:dyDescent="0.35">
      <c r="B155" s="151"/>
      <c r="C155" s="143"/>
      <c r="D155" s="143"/>
      <c r="E155" s="411"/>
      <c r="F155" s="411"/>
      <c r="G155" s="411"/>
      <c r="H155" s="411"/>
      <c r="I155" s="411"/>
      <c r="J155" s="411"/>
      <c r="K155" s="411"/>
      <c r="L155" s="411"/>
      <c r="M155" s="411"/>
      <c r="N155" s="411"/>
      <c r="O155" s="411"/>
      <c r="P155" s="411"/>
      <c r="Q155" s="411"/>
      <c r="R155" s="410"/>
    </row>
    <row r="156" spans="2:18" x14ac:dyDescent="0.35">
      <c r="B156" s="151"/>
      <c r="C156" s="143"/>
      <c r="D156" s="143"/>
      <c r="E156" s="411"/>
      <c r="F156" s="411"/>
      <c r="G156" s="411"/>
      <c r="H156" s="411"/>
      <c r="I156" s="411"/>
      <c r="J156" s="411"/>
      <c r="K156" s="411"/>
      <c r="L156" s="411"/>
      <c r="M156" s="411"/>
      <c r="N156" s="411"/>
      <c r="O156" s="411"/>
      <c r="P156" s="411"/>
      <c r="Q156" s="411"/>
      <c r="R156" s="410"/>
    </row>
    <row r="157" spans="2:18" x14ac:dyDescent="0.35">
      <c r="B157" s="151"/>
      <c r="C157" s="143"/>
      <c r="D157" s="143"/>
      <c r="E157" s="411"/>
      <c r="F157" s="411"/>
      <c r="G157" s="411"/>
      <c r="H157" s="411"/>
      <c r="I157" s="411"/>
      <c r="J157" s="411"/>
      <c r="K157" s="411"/>
      <c r="L157" s="411"/>
      <c r="M157" s="411"/>
      <c r="N157" s="411"/>
      <c r="O157" s="411"/>
      <c r="P157" s="411"/>
      <c r="Q157" s="411"/>
      <c r="R157" s="410"/>
    </row>
    <row r="158" spans="2:18" x14ac:dyDescent="0.35">
      <c r="B158" s="151"/>
      <c r="C158" s="143"/>
      <c r="D158" s="143"/>
      <c r="E158" s="411"/>
      <c r="F158" s="411"/>
      <c r="G158" s="411"/>
      <c r="H158" s="411"/>
      <c r="I158" s="411"/>
      <c r="J158" s="411"/>
      <c r="K158" s="411"/>
      <c r="L158" s="411"/>
      <c r="M158" s="411"/>
      <c r="N158" s="411"/>
      <c r="O158" s="411"/>
      <c r="P158" s="411"/>
      <c r="Q158" s="411"/>
      <c r="R158" s="410"/>
    </row>
    <row r="159" spans="2:18" x14ac:dyDescent="0.35">
      <c r="B159" s="151"/>
      <c r="C159" s="143"/>
      <c r="D159" s="143"/>
      <c r="E159" s="411"/>
      <c r="F159" s="411"/>
      <c r="G159" s="411"/>
      <c r="H159" s="411"/>
      <c r="I159" s="411"/>
      <c r="J159" s="411"/>
      <c r="K159" s="411"/>
      <c r="L159" s="411"/>
      <c r="M159" s="411"/>
      <c r="N159" s="411"/>
      <c r="O159" s="411"/>
      <c r="P159" s="411"/>
      <c r="Q159" s="411"/>
      <c r="R159" s="410"/>
    </row>
    <row r="160" spans="2:18" x14ac:dyDescent="0.35">
      <c r="B160" s="151"/>
      <c r="C160" s="143"/>
      <c r="D160" s="143"/>
      <c r="E160" s="411"/>
      <c r="F160" s="411"/>
      <c r="G160" s="411"/>
      <c r="H160" s="411"/>
      <c r="I160" s="411"/>
      <c r="J160" s="411"/>
      <c r="K160" s="411"/>
      <c r="L160" s="411"/>
      <c r="M160" s="411"/>
      <c r="N160" s="411"/>
      <c r="O160" s="411"/>
      <c r="P160" s="411"/>
      <c r="Q160" s="411"/>
      <c r="R160" s="410"/>
    </row>
    <row r="161" spans="2:18" x14ac:dyDescent="0.35">
      <c r="B161" s="151"/>
      <c r="C161" s="143"/>
      <c r="D161" s="143"/>
      <c r="E161" s="411"/>
      <c r="F161" s="411"/>
      <c r="G161" s="411"/>
      <c r="H161" s="411"/>
      <c r="I161" s="411"/>
      <c r="J161" s="411"/>
      <c r="K161" s="411"/>
      <c r="L161" s="411"/>
      <c r="M161" s="411"/>
      <c r="N161" s="411"/>
      <c r="O161" s="411"/>
      <c r="P161" s="411"/>
      <c r="Q161" s="411"/>
      <c r="R161" s="410"/>
    </row>
    <row r="162" spans="2:18" x14ac:dyDescent="0.35">
      <c r="B162" s="151"/>
      <c r="C162" s="143"/>
      <c r="D162" s="143"/>
      <c r="E162" s="411"/>
      <c r="F162" s="411"/>
      <c r="G162" s="411"/>
      <c r="H162" s="411"/>
      <c r="I162" s="411"/>
      <c r="J162" s="411"/>
      <c r="K162" s="411"/>
      <c r="L162" s="411"/>
      <c r="M162" s="411"/>
      <c r="N162" s="411"/>
      <c r="O162" s="411"/>
      <c r="P162" s="411"/>
      <c r="Q162" s="411"/>
      <c r="R162" s="410"/>
    </row>
    <row r="163" spans="2:18" x14ac:dyDescent="0.35">
      <c r="B163" s="151"/>
      <c r="C163" s="143"/>
      <c r="D163" s="143"/>
      <c r="E163" s="411"/>
      <c r="F163" s="411"/>
      <c r="G163" s="411"/>
      <c r="H163" s="411"/>
      <c r="I163" s="411"/>
      <c r="J163" s="411"/>
      <c r="K163" s="411"/>
      <c r="L163" s="411"/>
      <c r="M163" s="411"/>
      <c r="N163" s="411"/>
      <c r="O163" s="411"/>
      <c r="P163" s="411"/>
      <c r="Q163" s="411"/>
      <c r="R163" s="410"/>
    </row>
    <row r="164" spans="2:18" x14ac:dyDescent="0.35">
      <c r="B164" s="151"/>
      <c r="C164" s="143"/>
      <c r="D164" s="143"/>
      <c r="E164" s="411"/>
      <c r="F164" s="411"/>
      <c r="G164" s="411"/>
      <c r="H164" s="411"/>
      <c r="I164" s="411"/>
      <c r="J164" s="411"/>
      <c r="K164" s="411"/>
      <c r="L164" s="411"/>
      <c r="M164" s="411"/>
      <c r="N164" s="411"/>
      <c r="O164" s="411"/>
      <c r="P164" s="411"/>
      <c r="Q164" s="411"/>
      <c r="R164" s="410"/>
    </row>
    <row r="165" spans="2:18" x14ac:dyDescent="0.35">
      <c r="B165" s="151"/>
      <c r="C165" s="143"/>
      <c r="D165" s="143"/>
      <c r="E165" s="411"/>
      <c r="F165" s="411"/>
      <c r="G165" s="411"/>
      <c r="H165" s="411"/>
      <c r="I165" s="411"/>
      <c r="J165" s="411"/>
      <c r="K165" s="411"/>
      <c r="L165" s="411"/>
      <c r="M165" s="411"/>
      <c r="N165" s="411"/>
      <c r="O165" s="411"/>
      <c r="P165" s="411"/>
      <c r="Q165" s="411"/>
      <c r="R165" s="410"/>
    </row>
    <row r="166" spans="2:18" x14ac:dyDescent="0.35">
      <c r="B166" s="151"/>
      <c r="C166" s="143"/>
      <c r="D166" s="143"/>
      <c r="E166" s="411"/>
      <c r="F166" s="411"/>
      <c r="G166" s="411"/>
      <c r="H166" s="411"/>
      <c r="I166" s="411"/>
      <c r="J166" s="411"/>
      <c r="K166" s="411"/>
      <c r="L166" s="411"/>
      <c r="M166" s="411"/>
      <c r="N166" s="411"/>
      <c r="O166" s="411"/>
      <c r="P166" s="411"/>
      <c r="Q166" s="411"/>
      <c r="R166" s="410"/>
    </row>
    <row r="167" spans="2:18" x14ac:dyDescent="0.35">
      <c r="B167" s="151"/>
      <c r="C167" s="143"/>
      <c r="D167" s="143"/>
      <c r="E167" s="411"/>
      <c r="F167" s="411"/>
      <c r="G167" s="411"/>
      <c r="H167" s="411"/>
      <c r="I167" s="411"/>
      <c r="J167" s="411"/>
      <c r="K167" s="411"/>
      <c r="L167" s="411"/>
      <c r="M167" s="411"/>
      <c r="N167" s="411"/>
      <c r="O167" s="411"/>
      <c r="P167" s="411"/>
      <c r="Q167" s="411"/>
      <c r="R167" s="410"/>
    </row>
    <row r="168" spans="2:18" x14ac:dyDescent="0.35">
      <c r="B168" s="151"/>
      <c r="C168" s="143"/>
      <c r="D168" s="143"/>
      <c r="E168" s="411"/>
      <c r="F168" s="411"/>
      <c r="G168" s="411"/>
      <c r="H168" s="411"/>
      <c r="I168" s="411"/>
      <c r="J168" s="411"/>
      <c r="K168" s="411"/>
      <c r="L168" s="411"/>
      <c r="M168" s="411"/>
      <c r="N168" s="411"/>
      <c r="O168" s="411"/>
      <c r="P168" s="411"/>
      <c r="Q168" s="411"/>
      <c r="R168" s="410"/>
    </row>
    <row r="169" spans="2:18" x14ac:dyDescent="0.35">
      <c r="B169" s="151"/>
      <c r="C169" s="143"/>
      <c r="D169" s="143"/>
      <c r="E169" s="411"/>
      <c r="F169" s="411"/>
      <c r="G169" s="411"/>
      <c r="H169" s="411"/>
      <c r="I169" s="411"/>
      <c r="J169" s="411"/>
      <c r="K169" s="411"/>
      <c r="L169" s="411"/>
      <c r="M169" s="411"/>
      <c r="N169" s="411"/>
      <c r="O169" s="411"/>
      <c r="P169" s="411"/>
      <c r="Q169" s="411"/>
      <c r="R169" s="410"/>
    </row>
    <row r="170" spans="2:18" x14ac:dyDescent="0.35">
      <c r="B170" s="151"/>
      <c r="C170" s="143"/>
      <c r="D170" s="143"/>
      <c r="E170" s="411"/>
      <c r="F170" s="411"/>
      <c r="G170" s="411"/>
      <c r="H170" s="411"/>
      <c r="I170" s="411"/>
      <c r="J170" s="411"/>
      <c r="K170" s="411"/>
      <c r="L170" s="411"/>
      <c r="M170" s="411"/>
      <c r="N170" s="411"/>
      <c r="O170" s="411"/>
      <c r="P170" s="411"/>
      <c r="Q170" s="411"/>
      <c r="R170" s="410"/>
    </row>
    <row r="171" spans="2:18" x14ac:dyDescent="0.35">
      <c r="B171" s="151"/>
      <c r="C171" s="143"/>
      <c r="D171" s="143"/>
      <c r="E171" s="411"/>
      <c r="F171" s="411"/>
      <c r="G171" s="411"/>
      <c r="H171" s="411"/>
      <c r="I171" s="411"/>
      <c r="J171" s="411"/>
      <c r="K171" s="411"/>
      <c r="L171" s="411"/>
      <c r="M171" s="411"/>
      <c r="N171" s="411"/>
      <c r="O171" s="411"/>
      <c r="P171" s="411"/>
      <c r="Q171" s="411"/>
      <c r="R171" s="410"/>
    </row>
    <row r="172" spans="2:18" x14ac:dyDescent="0.35">
      <c r="B172" s="151"/>
      <c r="C172" s="143"/>
      <c r="D172" s="143"/>
      <c r="E172" s="411"/>
      <c r="F172" s="411"/>
      <c r="G172" s="411"/>
      <c r="H172" s="411"/>
      <c r="I172" s="411"/>
      <c r="J172" s="411"/>
      <c r="K172" s="411"/>
      <c r="L172" s="411"/>
      <c r="M172" s="411"/>
      <c r="N172" s="411"/>
      <c r="O172" s="411"/>
      <c r="P172" s="411"/>
      <c r="Q172" s="411"/>
      <c r="R172" s="410"/>
    </row>
    <row r="173" spans="2:18" x14ac:dyDescent="0.35">
      <c r="B173" s="151"/>
      <c r="C173" s="143"/>
      <c r="D173" s="143"/>
      <c r="E173" s="411"/>
      <c r="F173" s="411"/>
      <c r="G173" s="411"/>
      <c r="H173" s="411"/>
      <c r="I173" s="411"/>
      <c r="J173" s="411"/>
      <c r="K173" s="411"/>
      <c r="L173" s="411"/>
      <c r="M173" s="411"/>
      <c r="N173" s="411"/>
      <c r="O173" s="411"/>
      <c r="P173" s="411"/>
      <c r="Q173" s="411"/>
      <c r="R173" s="410"/>
    </row>
    <row r="174" spans="2:18" x14ac:dyDescent="0.35">
      <c r="B174" s="151"/>
      <c r="C174" s="143"/>
      <c r="D174" s="143"/>
      <c r="E174" s="411"/>
      <c r="F174" s="411"/>
      <c r="G174" s="411"/>
      <c r="H174" s="411"/>
      <c r="I174" s="411"/>
      <c r="J174" s="411"/>
      <c r="K174" s="411"/>
      <c r="L174" s="411"/>
      <c r="M174" s="411"/>
      <c r="N174" s="411"/>
      <c r="O174" s="411"/>
      <c r="P174" s="411"/>
      <c r="Q174" s="411"/>
      <c r="R174" s="410"/>
    </row>
    <row r="175" spans="2:18" x14ac:dyDescent="0.35">
      <c r="B175" s="151"/>
      <c r="C175" s="143"/>
      <c r="D175" s="143"/>
      <c r="E175" s="411"/>
      <c r="F175" s="411"/>
      <c r="G175" s="411"/>
      <c r="H175" s="411"/>
      <c r="I175" s="411"/>
      <c r="J175" s="411"/>
      <c r="K175" s="411"/>
      <c r="L175" s="411"/>
      <c r="M175" s="411"/>
      <c r="N175" s="411"/>
      <c r="O175" s="411"/>
      <c r="P175" s="411"/>
      <c r="Q175" s="411"/>
      <c r="R175" s="410"/>
    </row>
    <row r="176" spans="2:18" x14ac:dyDescent="0.35">
      <c r="B176" s="151"/>
      <c r="C176" s="143"/>
      <c r="D176" s="143"/>
      <c r="E176" s="411"/>
      <c r="F176" s="411"/>
      <c r="G176" s="411"/>
      <c r="H176" s="411"/>
      <c r="I176" s="411"/>
      <c r="J176" s="411"/>
      <c r="K176" s="411"/>
      <c r="L176" s="411"/>
      <c r="M176" s="411"/>
      <c r="N176" s="411"/>
      <c r="O176" s="411"/>
      <c r="P176" s="411"/>
      <c r="Q176" s="411"/>
      <c r="R176" s="410"/>
    </row>
    <row r="177" spans="2:18" x14ac:dyDescent="0.35">
      <c r="B177" s="151"/>
      <c r="C177" s="143"/>
      <c r="D177" s="143"/>
      <c r="E177" s="411"/>
      <c r="F177" s="411"/>
      <c r="G177" s="411"/>
      <c r="H177" s="411"/>
      <c r="I177" s="411"/>
      <c r="J177" s="411"/>
      <c r="K177" s="411"/>
      <c r="L177" s="411"/>
      <c r="M177" s="411"/>
      <c r="N177" s="411"/>
      <c r="O177" s="411"/>
      <c r="P177" s="411"/>
      <c r="Q177" s="411"/>
      <c r="R177" s="410"/>
    </row>
    <row r="178" spans="2:18" x14ac:dyDescent="0.35">
      <c r="B178" s="151"/>
      <c r="C178" s="143"/>
      <c r="D178" s="143"/>
      <c r="E178" s="411"/>
      <c r="F178" s="411"/>
      <c r="G178" s="411"/>
      <c r="H178" s="411"/>
      <c r="I178" s="411"/>
      <c r="J178" s="411"/>
      <c r="K178" s="411"/>
      <c r="L178" s="411"/>
      <c r="M178" s="411"/>
      <c r="N178" s="411"/>
      <c r="O178" s="411"/>
      <c r="P178" s="411"/>
      <c r="Q178" s="411"/>
      <c r="R178" s="410"/>
    </row>
    <row r="179" spans="2:18" x14ac:dyDescent="0.35">
      <c r="B179" s="151"/>
      <c r="C179" s="143"/>
      <c r="D179" s="143"/>
      <c r="E179" s="411"/>
      <c r="F179" s="411"/>
      <c r="G179" s="411"/>
      <c r="H179" s="411"/>
      <c r="I179" s="411"/>
      <c r="J179" s="411"/>
      <c r="K179" s="411"/>
      <c r="L179" s="411"/>
      <c r="M179" s="411"/>
      <c r="N179" s="411"/>
      <c r="O179" s="411"/>
      <c r="P179" s="411"/>
      <c r="Q179" s="411"/>
      <c r="R179" s="410"/>
    </row>
    <row r="180" spans="2:18" x14ac:dyDescent="0.35">
      <c r="B180" s="151"/>
      <c r="C180" s="143"/>
      <c r="D180" s="143"/>
      <c r="E180" s="411"/>
      <c r="F180" s="411"/>
      <c r="G180" s="411"/>
      <c r="H180" s="411"/>
      <c r="I180" s="411"/>
      <c r="J180" s="411"/>
      <c r="K180" s="411"/>
      <c r="L180" s="411"/>
      <c r="M180" s="411"/>
      <c r="N180" s="411"/>
      <c r="O180" s="411"/>
      <c r="P180" s="411"/>
      <c r="Q180" s="411"/>
      <c r="R180" s="410"/>
    </row>
    <row r="181" spans="2:18" x14ac:dyDescent="0.35">
      <c r="B181" s="151"/>
      <c r="C181" s="143"/>
      <c r="D181" s="143"/>
      <c r="E181" s="411"/>
      <c r="F181" s="411"/>
      <c r="G181" s="411"/>
      <c r="H181" s="411"/>
      <c r="I181" s="411"/>
      <c r="J181" s="411"/>
      <c r="K181" s="411"/>
      <c r="L181" s="411"/>
      <c r="M181" s="411"/>
      <c r="N181" s="411"/>
      <c r="O181" s="411"/>
      <c r="P181" s="411"/>
      <c r="Q181" s="411"/>
      <c r="R181" s="410"/>
    </row>
    <row r="182" spans="2:18" x14ac:dyDescent="0.35">
      <c r="B182" s="151"/>
      <c r="C182" s="143"/>
      <c r="D182" s="143"/>
      <c r="E182" s="411"/>
      <c r="F182" s="411"/>
      <c r="G182" s="411"/>
      <c r="H182" s="411"/>
      <c r="I182" s="411"/>
      <c r="J182" s="411"/>
      <c r="K182" s="411"/>
      <c r="L182" s="411"/>
      <c r="M182" s="411"/>
      <c r="N182" s="411"/>
      <c r="O182" s="411"/>
      <c r="P182" s="411"/>
      <c r="Q182" s="411"/>
      <c r="R182" s="410"/>
    </row>
    <row r="183" spans="2:18" x14ac:dyDescent="0.35">
      <c r="B183" s="151"/>
      <c r="C183" s="143"/>
      <c r="D183" s="143"/>
      <c r="E183" s="411"/>
      <c r="F183" s="411"/>
      <c r="G183" s="411"/>
      <c r="H183" s="411"/>
      <c r="I183" s="411"/>
      <c r="J183" s="411"/>
      <c r="K183" s="411"/>
      <c r="L183" s="411"/>
      <c r="M183" s="411"/>
      <c r="N183" s="411"/>
      <c r="O183" s="411"/>
      <c r="P183" s="411"/>
      <c r="Q183" s="411"/>
      <c r="R183" s="410"/>
    </row>
    <row r="184" spans="2:18" x14ac:dyDescent="0.35">
      <c r="B184" s="151"/>
      <c r="C184" s="143"/>
      <c r="D184" s="143"/>
      <c r="E184" s="411"/>
      <c r="F184" s="411"/>
      <c r="G184" s="411"/>
      <c r="H184" s="411"/>
      <c r="I184" s="411"/>
      <c r="J184" s="411"/>
      <c r="K184" s="411"/>
      <c r="L184" s="411"/>
      <c r="M184" s="411"/>
      <c r="N184" s="411"/>
      <c r="O184" s="411"/>
      <c r="P184" s="411"/>
      <c r="Q184" s="411"/>
      <c r="R184" s="410"/>
    </row>
    <row r="185" spans="2:18" x14ac:dyDescent="0.35">
      <c r="B185" s="151"/>
      <c r="C185" s="143"/>
      <c r="D185" s="143"/>
      <c r="E185" s="411"/>
      <c r="F185" s="411"/>
      <c r="G185" s="411"/>
      <c r="H185" s="411"/>
      <c r="I185" s="411"/>
      <c r="J185" s="411"/>
      <c r="K185" s="411"/>
      <c r="L185" s="411"/>
      <c r="M185" s="411"/>
      <c r="N185" s="411"/>
      <c r="O185" s="411"/>
      <c r="P185" s="411"/>
      <c r="Q185" s="411"/>
      <c r="R185" s="410"/>
    </row>
    <row r="186" spans="2:18" x14ac:dyDescent="0.35">
      <c r="B186" s="151"/>
      <c r="C186" s="143"/>
      <c r="D186" s="143"/>
      <c r="E186" s="411"/>
      <c r="F186" s="411"/>
      <c r="G186" s="411"/>
      <c r="H186" s="411"/>
      <c r="I186" s="411"/>
      <c r="J186" s="411"/>
      <c r="K186" s="411"/>
      <c r="L186" s="411"/>
      <c r="M186" s="411"/>
      <c r="N186" s="411"/>
      <c r="O186" s="411"/>
      <c r="P186" s="411"/>
      <c r="Q186" s="411"/>
      <c r="R186" s="410"/>
    </row>
    <row r="187" spans="2:18" x14ac:dyDescent="0.35">
      <c r="B187" s="151"/>
      <c r="C187" s="143"/>
      <c r="D187" s="143"/>
      <c r="E187" s="411"/>
      <c r="F187" s="411"/>
      <c r="G187" s="411"/>
      <c r="H187" s="411"/>
      <c r="I187" s="411"/>
      <c r="J187" s="411"/>
      <c r="K187" s="411"/>
      <c r="L187" s="411"/>
      <c r="M187" s="411"/>
      <c r="N187" s="411"/>
      <c r="O187" s="411"/>
      <c r="P187" s="411"/>
      <c r="Q187" s="411"/>
      <c r="R187" s="410"/>
    </row>
    <row r="188" spans="2:18" x14ac:dyDescent="0.35">
      <c r="B188" s="151"/>
      <c r="C188" s="143"/>
      <c r="D188" s="143"/>
      <c r="E188" s="411"/>
      <c r="F188" s="411"/>
      <c r="G188" s="411"/>
      <c r="H188" s="411"/>
      <c r="I188" s="411"/>
      <c r="J188" s="411"/>
      <c r="K188" s="411"/>
      <c r="L188" s="411"/>
      <c r="M188" s="411"/>
      <c r="N188" s="411"/>
      <c r="O188" s="411"/>
      <c r="P188" s="411"/>
      <c r="Q188" s="411"/>
      <c r="R188" s="410"/>
    </row>
    <row r="189" spans="2:18" x14ac:dyDescent="0.35">
      <c r="B189" s="151"/>
      <c r="C189" s="143"/>
      <c r="D189" s="143"/>
      <c r="E189" s="411"/>
      <c r="F189" s="411"/>
      <c r="G189" s="411"/>
      <c r="H189" s="411"/>
      <c r="I189" s="411"/>
      <c r="J189" s="411"/>
      <c r="K189" s="411"/>
      <c r="L189" s="411"/>
      <c r="M189" s="411"/>
      <c r="N189" s="411"/>
      <c r="O189" s="411"/>
      <c r="P189" s="411"/>
      <c r="Q189" s="411"/>
      <c r="R189" s="410"/>
    </row>
    <row r="190" spans="2:18" x14ac:dyDescent="0.35">
      <c r="B190" s="151"/>
      <c r="C190" s="143"/>
      <c r="D190" s="143"/>
      <c r="E190" s="411"/>
      <c r="F190" s="411"/>
      <c r="G190" s="411"/>
      <c r="H190" s="411"/>
      <c r="I190" s="411"/>
      <c r="J190" s="411"/>
      <c r="K190" s="411"/>
      <c r="L190" s="411"/>
      <c r="M190" s="411"/>
      <c r="N190" s="411"/>
      <c r="O190" s="411"/>
      <c r="P190" s="411"/>
      <c r="Q190" s="411"/>
      <c r="R190" s="410"/>
    </row>
    <row r="191" spans="2:18" x14ac:dyDescent="0.35">
      <c r="B191" s="151"/>
      <c r="C191" s="143"/>
      <c r="D191" s="143"/>
      <c r="E191" s="411"/>
      <c r="F191" s="411"/>
      <c r="G191" s="411"/>
      <c r="H191" s="411"/>
      <c r="I191" s="411"/>
      <c r="J191" s="411"/>
      <c r="K191" s="411"/>
      <c r="L191" s="411"/>
      <c r="M191" s="411"/>
      <c r="N191" s="411"/>
      <c r="O191" s="411"/>
      <c r="P191" s="411"/>
      <c r="Q191" s="411"/>
      <c r="R191" s="410"/>
    </row>
    <row r="192" spans="2:18" x14ac:dyDescent="0.35">
      <c r="B192" s="151"/>
      <c r="C192" s="143"/>
      <c r="D192" s="143"/>
      <c r="E192" s="411"/>
      <c r="F192" s="411"/>
      <c r="G192" s="411"/>
      <c r="H192" s="411"/>
      <c r="I192" s="411"/>
      <c r="J192" s="411"/>
      <c r="K192" s="411"/>
      <c r="L192" s="411"/>
      <c r="M192" s="411"/>
      <c r="N192" s="411"/>
      <c r="O192" s="411"/>
      <c r="P192" s="411"/>
      <c r="Q192" s="411"/>
      <c r="R192" s="410"/>
    </row>
    <row r="193" spans="2:18" x14ac:dyDescent="0.35">
      <c r="B193" s="151"/>
      <c r="C193" s="143"/>
      <c r="D193" s="143"/>
      <c r="E193" s="411"/>
      <c r="F193" s="411"/>
      <c r="G193" s="411"/>
      <c r="H193" s="411"/>
      <c r="I193" s="411"/>
      <c r="J193" s="411"/>
      <c r="K193" s="411"/>
      <c r="L193" s="411"/>
      <c r="M193" s="411"/>
      <c r="N193" s="411"/>
      <c r="O193" s="411"/>
      <c r="P193" s="411"/>
      <c r="Q193" s="411"/>
      <c r="R193" s="410"/>
    </row>
    <row r="194" spans="2:18" x14ac:dyDescent="0.35">
      <c r="B194" s="151"/>
      <c r="C194" s="143"/>
      <c r="D194" s="143"/>
      <c r="E194" s="411"/>
      <c r="F194" s="411"/>
      <c r="G194" s="411"/>
      <c r="H194" s="411"/>
      <c r="I194" s="411"/>
      <c r="J194" s="411"/>
      <c r="K194" s="411"/>
      <c r="L194" s="411"/>
      <c r="M194" s="411"/>
      <c r="N194" s="411"/>
      <c r="O194" s="411"/>
      <c r="P194" s="411"/>
      <c r="Q194" s="411"/>
      <c r="R194" s="410"/>
    </row>
    <row r="195" spans="2:18" x14ac:dyDescent="0.35">
      <c r="B195" s="151"/>
      <c r="C195" s="143"/>
      <c r="D195" s="143"/>
      <c r="E195" s="411"/>
      <c r="F195" s="411"/>
      <c r="G195" s="411"/>
      <c r="H195" s="411"/>
      <c r="I195" s="411"/>
      <c r="J195" s="411"/>
      <c r="K195" s="411"/>
      <c r="L195" s="411"/>
      <c r="M195" s="411"/>
      <c r="N195" s="411"/>
      <c r="O195" s="411"/>
      <c r="P195" s="411"/>
      <c r="Q195" s="411"/>
      <c r="R195" s="410"/>
    </row>
    <row r="196" spans="2:18" x14ac:dyDescent="0.35">
      <c r="B196" s="151"/>
      <c r="C196" s="143"/>
      <c r="D196" s="143"/>
      <c r="E196" s="411"/>
      <c r="F196" s="411"/>
      <c r="G196" s="411"/>
      <c r="H196" s="411"/>
      <c r="I196" s="411"/>
      <c r="J196" s="411"/>
      <c r="K196" s="411"/>
      <c r="L196" s="411"/>
      <c r="M196" s="411"/>
      <c r="N196" s="411"/>
      <c r="O196" s="411"/>
      <c r="P196" s="411"/>
      <c r="Q196" s="411"/>
      <c r="R196" s="410"/>
    </row>
    <row r="197" spans="2:18" x14ac:dyDescent="0.35">
      <c r="B197" s="151"/>
      <c r="C197" s="143"/>
      <c r="D197" s="143"/>
      <c r="E197" s="411"/>
      <c r="F197" s="411"/>
      <c r="G197" s="411"/>
      <c r="H197" s="411"/>
      <c r="I197" s="411"/>
      <c r="J197" s="411"/>
      <c r="K197" s="411"/>
      <c r="L197" s="411"/>
      <c r="M197" s="411"/>
      <c r="N197" s="411"/>
      <c r="O197" s="411"/>
      <c r="P197" s="411"/>
      <c r="Q197" s="411"/>
      <c r="R197" s="410"/>
    </row>
    <row r="198" spans="2:18" x14ac:dyDescent="0.35">
      <c r="B198" s="151"/>
      <c r="C198" s="143"/>
      <c r="D198" s="143"/>
      <c r="E198" s="411"/>
      <c r="F198" s="411"/>
      <c r="G198" s="411"/>
      <c r="H198" s="411"/>
      <c r="I198" s="411"/>
      <c r="J198" s="411"/>
      <c r="K198" s="411"/>
      <c r="L198" s="411"/>
      <c r="M198" s="411"/>
      <c r="N198" s="411"/>
      <c r="O198" s="411"/>
      <c r="P198" s="411"/>
      <c r="Q198" s="411"/>
      <c r="R198" s="410"/>
    </row>
    <row r="199" spans="2:18" x14ac:dyDescent="0.35">
      <c r="B199" s="151"/>
      <c r="C199" s="143"/>
      <c r="D199" s="143"/>
      <c r="E199" s="411"/>
      <c r="F199" s="411"/>
      <c r="G199" s="411"/>
      <c r="H199" s="411"/>
      <c r="I199" s="411"/>
      <c r="J199" s="411"/>
      <c r="K199" s="411"/>
      <c r="L199" s="411"/>
      <c r="M199" s="411"/>
      <c r="N199" s="411"/>
      <c r="O199" s="411"/>
      <c r="P199" s="411"/>
      <c r="Q199" s="411"/>
      <c r="R199" s="410"/>
    </row>
    <row r="200" spans="2:18" x14ac:dyDescent="0.35">
      <c r="B200" s="151"/>
      <c r="C200" s="143"/>
      <c r="D200" s="143"/>
      <c r="E200" s="411"/>
      <c r="F200" s="411"/>
      <c r="G200" s="411"/>
      <c r="H200" s="411"/>
      <c r="I200" s="411"/>
      <c r="J200" s="411"/>
      <c r="K200" s="411"/>
      <c r="L200" s="411"/>
      <c r="M200" s="411"/>
      <c r="N200" s="411"/>
      <c r="O200" s="411"/>
      <c r="P200" s="411"/>
      <c r="Q200" s="411"/>
      <c r="R200" s="410"/>
    </row>
    <row r="201" spans="2:18" x14ac:dyDescent="0.35">
      <c r="B201" s="151"/>
      <c r="C201" s="143"/>
      <c r="D201" s="143"/>
      <c r="E201" s="411"/>
      <c r="F201" s="411"/>
      <c r="G201" s="411"/>
      <c r="H201" s="411"/>
      <c r="I201" s="411"/>
      <c r="J201" s="411"/>
      <c r="K201" s="411"/>
      <c r="L201" s="411"/>
      <c r="M201" s="411"/>
      <c r="N201" s="411"/>
      <c r="O201" s="411"/>
      <c r="P201" s="411"/>
      <c r="Q201" s="411"/>
      <c r="R201" s="410"/>
    </row>
    <row r="202" spans="2:18" x14ac:dyDescent="0.35">
      <c r="B202" s="151"/>
      <c r="C202" s="143"/>
      <c r="D202" s="143"/>
      <c r="E202" s="411"/>
      <c r="F202" s="411"/>
      <c r="G202" s="411"/>
      <c r="H202" s="411"/>
      <c r="I202" s="411"/>
      <c r="J202" s="411"/>
      <c r="K202" s="411"/>
      <c r="L202" s="411"/>
      <c r="M202" s="411"/>
      <c r="N202" s="411"/>
      <c r="O202" s="411"/>
      <c r="P202" s="411"/>
      <c r="Q202" s="411"/>
      <c r="R202" s="410"/>
    </row>
    <row r="203" spans="2:18" x14ac:dyDescent="0.35">
      <c r="B203" s="151"/>
      <c r="C203" s="143"/>
      <c r="D203" s="143"/>
      <c r="E203" s="411"/>
      <c r="F203" s="411"/>
      <c r="G203" s="411"/>
      <c r="H203" s="411"/>
      <c r="I203" s="411"/>
      <c r="J203" s="411"/>
      <c r="K203" s="411"/>
      <c r="L203" s="411"/>
      <c r="M203" s="411"/>
      <c r="N203" s="411"/>
      <c r="O203" s="411"/>
      <c r="P203" s="411"/>
      <c r="Q203" s="411"/>
      <c r="R203" s="410"/>
    </row>
    <row r="204" spans="2:18" x14ac:dyDescent="0.35">
      <c r="B204" s="151"/>
      <c r="C204" s="143"/>
      <c r="D204" s="143"/>
      <c r="E204" s="411"/>
      <c r="F204" s="411"/>
      <c r="G204" s="411"/>
      <c r="H204" s="411"/>
      <c r="I204" s="411"/>
      <c r="J204" s="411"/>
      <c r="K204" s="411"/>
      <c r="L204" s="411"/>
      <c r="M204" s="411"/>
      <c r="N204" s="411"/>
      <c r="O204" s="411"/>
      <c r="P204" s="411"/>
      <c r="Q204" s="411"/>
      <c r="R204" s="410"/>
    </row>
    <row r="205" spans="2:18" x14ac:dyDescent="0.35">
      <c r="B205" s="151"/>
      <c r="C205" s="143"/>
      <c r="D205" s="143"/>
      <c r="E205" s="411"/>
      <c r="F205" s="411"/>
      <c r="G205" s="411"/>
      <c r="H205" s="411"/>
      <c r="I205" s="411"/>
      <c r="J205" s="411"/>
      <c r="K205" s="411"/>
      <c r="L205" s="411"/>
      <c r="M205" s="411"/>
      <c r="N205" s="411"/>
      <c r="O205" s="411"/>
      <c r="P205" s="411"/>
      <c r="Q205" s="411"/>
      <c r="R205" s="410"/>
    </row>
    <row r="206" spans="2:18" x14ac:dyDescent="0.35">
      <c r="B206" s="151"/>
      <c r="C206" s="143"/>
      <c r="D206" s="143"/>
      <c r="E206" s="411"/>
      <c r="F206" s="411"/>
      <c r="G206" s="411"/>
      <c r="H206" s="411"/>
      <c r="I206" s="411"/>
      <c r="J206" s="411"/>
      <c r="K206" s="411"/>
      <c r="L206" s="411"/>
      <c r="M206" s="411"/>
      <c r="N206" s="411"/>
      <c r="O206" s="411"/>
      <c r="P206" s="411"/>
      <c r="Q206" s="411"/>
      <c r="R206" s="410"/>
    </row>
    <row r="207" spans="2:18" x14ac:dyDescent="0.35">
      <c r="B207" s="151"/>
      <c r="C207" s="143"/>
      <c r="D207" s="143"/>
      <c r="E207" s="411"/>
      <c r="F207" s="411"/>
      <c r="G207" s="411"/>
      <c r="H207" s="411"/>
      <c r="I207" s="411"/>
      <c r="J207" s="411"/>
      <c r="K207" s="411"/>
      <c r="L207" s="411"/>
      <c r="M207" s="411"/>
      <c r="N207" s="411"/>
      <c r="O207" s="411"/>
      <c r="P207" s="411"/>
      <c r="Q207" s="411"/>
      <c r="R207" s="410"/>
    </row>
    <row r="208" spans="2:18" x14ac:dyDescent="0.35">
      <c r="B208" s="151"/>
      <c r="C208" s="143"/>
      <c r="D208" s="143"/>
      <c r="E208" s="411"/>
      <c r="F208" s="411"/>
      <c r="G208" s="411"/>
      <c r="H208" s="411"/>
      <c r="I208" s="411"/>
      <c r="J208" s="411"/>
      <c r="K208" s="411"/>
      <c r="L208" s="411"/>
      <c r="M208" s="411"/>
      <c r="N208" s="411"/>
      <c r="O208" s="411"/>
      <c r="P208" s="411"/>
      <c r="Q208" s="411"/>
      <c r="R208" s="410"/>
    </row>
    <row r="209" spans="2:18" x14ac:dyDescent="0.35">
      <c r="B209" s="151"/>
      <c r="C209" s="143"/>
      <c r="D209" s="143"/>
      <c r="E209" s="411"/>
      <c r="F209" s="411"/>
      <c r="G209" s="411"/>
      <c r="H209" s="411"/>
      <c r="I209" s="411"/>
      <c r="J209" s="411"/>
      <c r="K209" s="411"/>
      <c r="L209" s="411"/>
      <c r="M209" s="411"/>
      <c r="N209" s="411"/>
      <c r="O209" s="411"/>
      <c r="P209" s="411"/>
      <c r="Q209" s="411"/>
      <c r="R209" s="410"/>
    </row>
    <row r="210" spans="2:18" x14ac:dyDescent="0.35">
      <c r="B210" s="151"/>
      <c r="C210" s="143"/>
      <c r="D210" s="143"/>
      <c r="E210" s="411"/>
      <c r="F210" s="411"/>
      <c r="G210" s="411"/>
      <c r="H210" s="411"/>
      <c r="I210" s="411"/>
      <c r="J210" s="411"/>
      <c r="K210" s="411"/>
      <c r="L210" s="411"/>
      <c r="M210" s="411"/>
      <c r="N210" s="411"/>
      <c r="O210" s="411"/>
      <c r="P210" s="411"/>
      <c r="Q210" s="411"/>
      <c r="R210" s="410"/>
    </row>
    <row r="211" spans="2:18" x14ac:dyDescent="0.35">
      <c r="B211" s="151"/>
      <c r="C211" s="143"/>
      <c r="D211" s="143"/>
      <c r="E211" s="411"/>
      <c r="F211" s="411"/>
      <c r="G211" s="411"/>
      <c r="H211" s="411"/>
      <c r="I211" s="411"/>
      <c r="J211" s="411"/>
      <c r="K211" s="411"/>
      <c r="L211" s="411"/>
      <c r="M211" s="411"/>
      <c r="N211" s="411"/>
      <c r="O211" s="411"/>
      <c r="P211" s="411"/>
      <c r="Q211" s="411"/>
      <c r="R211" s="410"/>
    </row>
    <row r="212" spans="2:18" x14ac:dyDescent="0.35">
      <c r="B212" s="151"/>
      <c r="C212" s="143"/>
      <c r="D212" s="143"/>
      <c r="E212" s="411"/>
      <c r="F212" s="411"/>
      <c r="G212" s="411"/>
      <c r="H212" s="411"/>
      <c r="I212" s="411"/>
      <c r="J212" s="411"/>
      <c r="K212" s="411"/>
      <c r="L212" s="411"/>
      <c r="M212" s="411"/>
      <c r="N212" s="411"/>
      <c r="O212" s="411"/>
      <c r="P212" s="411"/>
      <c r="Q212" s="411"/>
      <c r="R212" s="410"/>
    </row>
    <row r="213" spans="2:18" x14ac:dyDescent="0.35">
      <c r="B213" s="151"/>
      <c r="C213" s="143"/>
      <c r="D213" s="143"/>
      <c r="E213" s="411"/>
      <c r="F213" s="411"/>
      <c r="G213" s="411"/>
      <c r="H213" s="411"/>
      <c r="I213" s="411"/>
      <c r="J213" s="411"/>
      <c r="K213" s="411"/>
      <c r="L213" s="411"/>
      <c r="M213" s="411"/>
      <c r="N213" s="411"/>
      <c r="O213" s="411"/>
      <c r="P213" s="411"/>
      <c r="Q213" s="411"/>
      <c r="R213" s="410"/>
    </row>
    <row r="214" spans="2:18" x14ac:dyDescent="0.35">
      <c r="B214" s="151"/>
      <c r="C214" s="143"/>
      <c r="D214" s="143"/>
      <c r="E214" s="411"/>
      <c r="F214" s="411"/>
      <c r="G214" s="411"/>
      <c r="H214" s="411"/>
      <c r="I214" s="411"/>
      <c r="J214" s="411"/>
      <c r="K214" s="411"/>
      <c r="L214" s="411"/>
      <c r="M214" s="411"/>
      <c r="N214" s="411"/>
      <c r="O214" s="411"/>
      <c r="P214" s="411"/>
      <c r="Q214" s="411"/>
      <c r="R214" s="410"/>
    </row>
    <row r="215" spans="2:18" x14ac:dyDescent="0.35">
      <c r="B215" s="151"/>
      <c r="C215" s="143"/>
      <c r="D215" s="143"/>
      <c r="E215" s="411"/>
      <c r="F215" s="411"/>
      <c r="G215" s="411"/>
      <c r="H215" s="411"/>
      <c r="I215" s="411"/>
      <c r="J215" s="411"/>
      <c r="K215" s="411"/>
      <c r="L215" s="411"/>
      <c r="M215" s="411"/>
      <c r="N215" s="411"/>
      <c r="O215" s="411"/>
      <c r="P215" s="411"/>
      <c r="Q215" s="411"/>
      <c r="R215" s="410"/>
    </row>
    <row r="216" spans="2:18" x14ac:dyDescent="0.35">
      <c r="B216" s="151"/>
      <c r="C216" s="143"/>
      <c r="D216" s="143"/>
      <c r="E216" s="411"/>
      <c r="F216" s="411"/>
      <c r="G216" s="411"/>
      <c r="H216" s="411"/>
      <c r="I216" s="411"/>
      <c r="J216" s="411"/>
      <c r="K216" s="411"/>
      <c r="L216" s="411"/>
      <c r="M216" s="411"/>
      <c r="N216" s="411"/>
      <c r="O216" s="411"/>
      <c r="P216" s="411"/>
      <c r="Q216" s="411"/>
      <c r="R216" s="410"/>
    </row>
    <row r="217" spans="2:18" x14ac:dyDescent="0.35">
      <c r="B217" s="151"/>
      <c r="C217" s="143"/>
      <c r="D217" s="143"/>
      <c r="E217" s="411"/>
      <c r="F217" s="411"/>
      <c r="G217" s="411"/>
      <c r="H217" s="411"/>
      <c r="I217" s="411"/>
      <c r="J217" s="411"/>
      <c r="K217" s="411"/>
      <c r="L217" s="411"/>
      <c r="M217" s="411"/>
      <c r="N217" s="411"/>
      <c r="O217" s="411"/>
      <c r="P217" s="411"/>
      <c r="Q217" s="411"/>
      <c r="R217" s="410"/>
    </row>
    <row r="218" spans="2:18" x14ac:dyDescent="0.35">
      <c r="B218" s="151"/>
      <c r="C218" s="143"/>
      <c r="D218" s="143"/>
      <c r="E218" s="411"/>
      <c r="F218" s="411"/>
      <c r="G218" s="411"/>
      <c r="H218" s="411"/>
      <c r="I218" s="411"/>
      <c r="J218" s="411"/>
      <c r="K218" s="411"/>
      <c r="L218" s="411"/>
      <c r="M218" s="411"/>
      <c r="N218" s="411"/>
      <c r="O218" s="411"/>
      <c r="P218" s="411"/>
      <c r="Q218" s="411"/>
      <c r="R218" s="410"/>
    </row>
    <row r="219" spans="2:18" x14ac:dyDescent="0.35">
      <c r="B219" s="151"/>
      <c r="C219" s="143"/>
      <c r="D219" s="143"/>
      <c r="E219" s="411"/>
      <c r="F219" s="411"/>
      <c r="G219" s="411"/>
      <c r="H219" s="411"/>
      <c r="I219" s="411"/>
      <c r="J219" s="411"/>
      <c r="K219" s="411"/>
      <c r="L219" s="411"/>
      <c r="M219" s="411"/>
      <c r="N219" s="411"/>
      <c r="O219" s="411"/>
      <c r="P219" s="411"/>
      <c r="Q219" s="411"/>
      <c r="R219" s="410"/>
    </row>
    <row r="220" spans="2:18" x14ac:dyDescent="0.35">
      <c r="B220" s="151"/>
      <c r="C220" s="143"/>
      <c r="D220" s="143"/>
      <c r="E220" s="411"/>
      <c r="F220" s="411"/>
      <c r="G220" s="411"/>
      <c r="H220" s="411"/>
      <c r="I220" s="411"/>
      <c r="J220" s="411"/>
      <c r="K220" s="411"/>
      <c r="L220" s="411"/>
      <c r="M220" s="411"/>
      <c r="N220" s="411"/>
      <c r="O220" s="411"/>
      <c r="P220" s="411"/>
      <c r="Q220" s="411"/>
      <c r="R220" s="410"/>
    </row>
    <row r="221" spans="2:18" x14ac:dyDescent="0.35">
      <c r="B221" s="151"/>
      <c r="C221" s="143"/>
      <c r="D221" s="143"/>
      <c r="E221" s="411"/>
      <c r="F221" s="411"/>
      <c r="G221" s="411"/>
      <c r="H221" s="411"/>
      <c r="I221" s="411"/>
      <c r="J221" s="411"/>
      <c r="K221" s="411"/>
      <c r="L221" s="411"/>
      <c r="M221" s="411"/>
      <c r="N221" s="411"/>
      <c r="O221" s="411"/>
      <c r="P221" s="411"/>
      <c r="Q221" s="411"/>
      <c r="R221" s="410"/>
    </row>
    <row r="222" spans="2:18" x14ac:dyDescent="0.35">
      <c r="B222" s="151"/>
      <c r="C222" s="143"/>
      <c r="D222" s="143"/>
      <c r="E222" s="411"/>
      <c r="F222" s="411"/>
      <c r="G222" s="411"/>
      <c r="H222" s="411"/>
      <c r="I222" s="411"/>
      <c r="J222" s="411"/>
      <c r="K222" s="411"/>
      <c r="L222" s="411"/>
      <c r="M222" s="411"/>
      <c r="N222" s="411"/>
      <c r="O222" s="411"/>
      <c r="P222" s="411"/>
      <c r="Q222" s="411"/>
      <c r="R222" s="410"/>
    </row>
    <row r="223" spans="2:18" x14ac:dyDescent="0.35">
      <c r="B223" s="151"/>
      <c r="C223" s="143"/>
      <c r="D223" s="143"/>
      <c r="E223" s="411"/>
      <c r="F223" s="411"/>
      <c r="G223" s="411"/>
      <c r="H223" s="411"/>
      <c r="I223" s="411"/>
      <c r="J223" s="411"/>
      <c r="K223" s="411"/>
      <c r="L223" s="411"/>
      <c r="M223" s="411"/>
      <c r="N223" s="411"/>
      <c r="O223" s="411"/>
      <c r="P223" s="411"/>
      <c r="Q223" s="411"/>
      <c r="R223" s="410"/>
    </row>
    <row r="224" spans="2:18" x14ac:dyDescent="0.35">
      <c r="B224" s="151"/>
      <c r="C224" s="143"/>
      <c r="D224" s="143"/>
      <c r="E224" s="411"/>
      <c r="F224" s="411"/>
      <c r="G224" s="411"/>
      <c r="H224" s="411"/>
      <c r="I224" s="411"/>
      <c r="J224" s="411"/>
      <c r="K224" s="411"/>
      <c r="L224" s="411"/>
      <c r="M224" s="411"/>
      <c r="N224" s="411"/>
      <c r="O224" s="411"/>
      <c r="P224" s="411"/>
      <c r="Q224" s="411"/>
      <c r="R224" s="410"/>
    </row>
    <row r="225" spans="2:18" x14ac:dyDescent="0.35">
      <c r="B225" s="151"/>
      <c r="C225" s="143"/>
      <c r="D225" s="143"/>
      <c r="E225" s="411"/>
      <c r="F225" s="411"/>
      <c r="G225" s="411"/>
      <c r="H225" s="411"/>
      <c r="I225" s="411"/>
      <c r="J225" s="411"/>
      <c r="K225" s="411"/>
      <c r="L225" s="411"/>
      <c r="M225" s="411"/>
      <c r="N225" s="411"/>
      <c r="O225" s="411"/>
      <c r="P225" s="411"/>
      <c r="Q225" s="411"/>
      <c r="R225" s="410"/>
    </row>
    <row r="226" spans="2:18" x14ac:dyDescent="0.35">
      <c r="B226" s="151"/>
      <c r="C226" s="143"/>
      <c r="D226" s="143"/>
      <c r="E226" s="411"/>
      <c r="F226" s="411"/>
      <c r="G226" s="411"/>
      <c r="H226" s="411"/>
      <c r="I226" s="411"/>
      <c r="J226" s="411"/>
      <c r="K226" s="411"/>
      <c r="L226" s="411"/>
      <c r="M226" s="411"/>
      <c r="N226" s="411"/>
      <c r="O226" s="411"/>
      <c r="P226" s="411"/>
      <c r="Q226" s="411"/>
      <c r="R226" s="410"/>
    </row>
    <row r="227" spans="2:18" x14ac:dyDescent="0.35">
      <c r="B227" s="151"/>
      <c r="C227" s="143"/>
      <c r="D227" s="143"/>
      <c r="E227" s="411"/>
      <c r="F227" s="411"/>
      <c r="G227" s="411"/>
      <c r="H227" s="411"/>
      <c r="I227" s="411"/>
      <c r="J227" s="411"/>
      <c r="K227" s="411"/>
      <c r="L227" s="411"/>
      <c r="M227" s="411"/>
      <c r="N227" s="411"/>
      <c r="O227" s="411"/>
      <c r="P227" s="411"/>
      <c r="Q227" s="411"/>
      <c r="R227" s="410"/>
    </row>
    <row r="228" spans="2:18" x14ac:dyDescent="0.35">
      <c r="B228" s="151"/>
      <c r="C228" s="143"/>
      <c r="D228" s="143"/>
      <c r="E228" s="411"/>
      <c r="F228" s="411"/>
      <c r="G228" s="411"/>
      <c r="H228" s="411"/>
      <c r="I228" s="411"/>
      <c r="J228" s="411"/>
      <c r="K228" s="411"/>
      <c r="L228" s="411"/>
      <c r="M228" s="411"/>
      <c r="N228" s="411"/>
      <c r="O228" s="411"/>
      <c r="P228" s="411"/>
      <c r="Q228" s="411"/>
      <c r="R228" s="410"/>
    </row>
    <row r="229" spans="2:18" x14ac:dyDescent="0.35">
      <c r="B229" s="151"/>
      <c r="C229" s="143"/>
      <c r="D229" s="143"/>
      <c r="E229" s="411"/>
      <c r="F229" s="411"/>
      <c r="G229" s="411"/>
      <c r="H229" s="411"/>
      <c r="I229" s="411"/>
      <c r="J229" s="411"/>
      <c r="K229" s="411"/>
      <c r="L229" s="411"/>
      <c r="M229" s="411"/>
      <c r="N229" s="411"/>
      <c r="O229" s="411"/>
      <c r="P229" s="411"/>
      <c r="Q229" s="411"/>
      <c r="R229" s="410"/>
    </row>
    <row r="230" spans="2:18" x14ac:dyDescent="0.35">
      <c r="B230" s="151"/>
      <c r="C230" s="143"/>
      <c r="D230" s="143"/>
      <c r="E230" s="411"/>
      <c r="F230" s="411"/>
      <c r="G230" s="411"/>
      <c r="H230" s="411"/>
      <c r="I230" s="411"/>
      <c r="J230" s="411"/>
      <c r="K230" s="411"/>
      <c r="L230" s="411"/>
      <c r="M230" s="411"/>
      <c r="N230" s="411"/>
      <c r="O230" s="411"/>
      <c r="P230" s="411"/>
      <c r="Q230" s="411"/>
      <c r="R230" s="410"/>
    </row>
    <row r="231" spans="2:18" x14ac:dyDescent="0.35">
      <c r="B231" s="151"/>
      <c r="C231" s="143"/>
      <c r="D231" s="143"/>
      <c r="E231" s="411"/>
      <c r="F231" s="411"/>
      <c r="G231" s="411"/>
      <c r="H231" s="411"/>
      <c r="I231" s="411"/>
      <c r="J231" s="411"/>
      <c r="K231" s="411"/>
      <c r="L231" s="411"/>
      <c r="M231" s="411"/>
      <c r="N231" s="411"/>
      <c r="O231" s="411"/>
      <c r="P231" s="411"/>
      <c r="Q231" s="411"/>
      <c r="R231" s="410"/>
    </row>
    <row r="232" spans="2:18" x14ac:dyDescent="0.35">
      <c r="B232" s="151"/>
      <c r="C232" s="143"/>
      <c r="D232" s="143"/>
      <c r="E232" s="411"/>
      <c r="F232" s="411"/>
      <c r="G232" s="411"/>
      <c r="H232" s="411"/>
      <c r="I232" s="411"/>
      <c r="J232" s="411"/>
      <c r="K232" s="411"/>
      <c r="L232" s="411"/>
      <c r="M232" s="411"/>
      <c r="N232" s="411"/>
      <c r="O232" s="411"/>
      <c r="P232" s="411"/>
      <c r="Q232" s="411"/>
      <c r="R232" s="410"/>
    </row>
    <row r="233" spans="2:18" x14ac:dyDescent="0.35">
      <c r="B233" s="151"/>
      <c r="C233" s="143"/>
      <c r="D233" s="143"/>
      <c r="E233" s="411"/>
      <c r="F233" s="411"/>
      <c r="G233" s="411"/>
      <c r="H233" s="411"/>
      <c r="I233" s="411"/>
      <c r="J233" s="411"/>
      <c r="K233" s="411"/>
      <c r="L233" s="411"/>
      <c r="M233" s="411"/>
      <c r="N233" s="411"/>
      <c r="O233" s="411"/>
      <c r="P233" s="411"/>
      <c r="Q233" s="411"/>
      <c r="R233" s="410"/>
    </row>
    <row r="234" spans="2:18" x14ac:dyDescent="0.35">
      <c r="B234" s="151"/>
      <c r="C234" s="143"/>
      <c r="D234" s="143"/>
      <c r="E234" s="411"/>
      <c r="F234" s="411"/>
      <c r="G234" s="411"/>
      <c r="H234" s="411"/>
      <c r="I234" s="411"/>
      <c r="J234" s="411"/>
      <c r="K234" s="411"/>
      <c r="L234" s="411"/>
      <c r="M234" s="411"/>
      <c r="N234" s="411"/>
      <c r="O234" s="411"/>
      <c r="P234" s="411"/>
      <c r="Q234" s="411"/>
      <c r="R234" s="410"/>
    </row>
    <row r="235" spans="2:18" x14ac:dyDescent="0.35">
      <c r="B235" s="151"/>
      <c r="C235" s="143"/>
      <c r="D235" s="143"/>
      <c r="E235" s="411"/>
      <c r="F235" s="411"/>
      <c r="G235" s="411"/>
      <c r="H235" s="411"/>
      <c r="I235" s="411"/>
      <c r="J235" s="411"/>
      <c r="K235" s="411"/>
      <c r="L235" s="411"/>
      <c r="M235" s="411"/>
      <c r="N235" s="411"/>
      <c r="O235" s="411"/>
      <c r="P235" s="411"/>
      <c r="Q235" s="411"/>
      <c r="R235" s="410"/>
    </row>
    <row r="236" spans="2:18" x14ac:dyDescent="0.35">
      <c r="B236" s="151"/>
      <c r="C236" s="143"/>
      <c r="D236" s="143"/>
      <c r="E236" s="411"/>
      <c r="F236" s="411"/>
      <c r="G236" s="411"/>
      <c r="H236" s="411"/>
      <c r="I236" s="411"/>
      <c r="J236" s="411"/>
      <c r="K236" s="411"/>
      <c r="L236" s="411"/>
      <c r="M236" s="411"/>
      <c r="N236" s="411"/>
      <c r="O236" s="411"/>
      <c r="P236" s="411"/>
      <c r="Q236" s="411"/>
      <c r="R236" s="410"/>
    </row>
    <row r="237" spans="2:18" x14ac:dyDescent="0.35">
      <c r="B237" s="151"/>
      <c r="C237" s="143"/>
      <c r="D237" s="143"/>
      <c r="E237" s="411"/>
      <c r="F237" s="411"/>
      <c r="G237" s="411"/>
      <c r="H237" s="411"/>
      <c r="I237" s="411"/>
      <c r="J237" s="411"/>
      <c r="K237" s="411"/>
      <c r="L237" s="411"/>
      <c r="M237" s="411"/>
      <c r="N237" s="411"/>
      <c r="O237" s="411"/>
      <c r="P237" s="411"/>
      <c r="Q237" s="411"/>
      <c r="R237" s="410"/>
    </row>
    <row r="238" spans="2:18" x14ac:dyDescent="0.35">
      <c r="B238" s="151"/>
      <c r="C238" s="143"/>
      <c r="D238" s="143"/>
      <c r="E238" s="411"/>
      <c r="F238" s="411"/>
      <c r="G238" s="411"/>
      <c r="H238" s="411"/>
      <c r="I238" s="411"/>
      <c r="J238" s="411"/>
      <c r="K238" s="411"/>
      <c r="L238" s="411"/>
      <c r="M238" s="411"/>
      <c r="N238" s="411"/>
      <c r="O238" s="411"/>
      <c r="P238" s="411"/>
      <c r="Q238" s="411"/>
      <c r="R238" s="410"/>
    </row>
    <row r="239" spans="2:18" x14ac:dyDescent="0.35">
      <c r="B239" s="151"/>
      <c r="C239" s="143"/>
      <c r="D239" s="143"/>
      <c r="E239" s="411"/>
      <c r="F239" s="411"/>
      <c r="G239" s="411"/>
      <c r="H239" s="411"/>
      <c r="I239" s="411"/>
      <c r="J239" s="411"/>
      <c r="K239" s="411"/>
      <c r="L239" s="411"/>
      <c r="M239" s="411"/>
      <c r="N239" s="411"/>
      <c r="O239" s="411"/>
      <c r="P239" s="411"/>
      <c r="Q239" s="411"/>
      <c r="R239" s="410"/>
    </row>
    <row r="240" spans="2:18" x14ac:dyDescent="0.35">
      <c r="B240" s="151"/>
      <c r="C240" s="143"/>
      <c r="D240" s="143"/>
      <c r="E240" s="411"/>
      <c r="F240" s="411"/>
      <c r="G240" s="411"/>
      <c r="H240" s="411"/>
      <c r="I240" s="411"/>
      <c r="J240" s="411"/>
      <c r="K240" s="411"/>
      <c r="L240" s="411"/>
      <c r="M240" s="411"/>
      <c r="N240" s="411"/>
      <c r="O240" s="411"/>
      <c r="P240" s="411"/>
      <c r="Q240" s="411"/>
      <c r="R240" s="410"/>
    </row>
    <row r="241" spans="2:18" x14ac:dyDescent="0.35">
      <c r="B241" s="151"/>
      <c r="C241" s="143"/>
      <c r="D241" s="143"/>
      <c r="E241" s="411"/>
      <c r="F241" s="411"/>
      <c r="G241" s="411"/>
      <c r="H241" s="411"/>
      <c r="I241" s="411"/>
      <c r="J241" s="411"/>
      <c r="K241" s="411"/>
      <c r="L241" s="411"/>
      <c r="M241" s="411"/>
      <c r="N241" s="411"/>
      <c r="O241" s="411"/>
      <c r="P241" s="411"/>
      <c r="Q241" s="411"/>
      <c r="R241" s="410"/>
    </row>
    <row r="242" spans="2:18" x14ac:dyDescent="0.35">
      <c r="B242" s="151"/>
      <c r="C242" s="143"/>
      <c r="D242" s="143"/>
      <c r="E242" s="411"/>
      <c r="F242" s="411"/>
      <c r="G242" s="411"/>
      <c r="H242" s="411"/>
      <c r="I242" s="411"/>
      <c r="J242" s="411"/>
      <c r="K242" s="411"/>
      <c r="L242" s="411"/>
      <c r="M242" s="411"/>
      <c r="N242" s="411"/>
      <c r="O242" s="411"/>
      <c r="P242" s="411"/>
      <c r="Q242" s="411"/>
      <c r="R242" s="410"/>
    </row>
    <row r="243" spans="2:18" x14ac:dyDescent="0.35">
      <c r="B243" s="151"/>
      <c r="C243" s="143"/>
      <c r="D243" s="143"/>
      <c r="E243" s="411"/>
      <c r="F243" s="411"/>
      <c r="G243" s="411"/>
      <c r="H243" s="411"/>
      <c r="I243" s="411"/>
      <c r="J243" s="411"/>
      <c r="K243" s="411"/>
      <c r="L243" s="411"/>
      <c r="M243" s="411"/>
      <c r="N243" s="411"/>
      <c r="O243" s="411"/>
      <c r="P243" s="411"/>
      <c r="Q243" s="411"/>
      <c r="R243" s="410"/>
    </row>
    <row r="244" spans="2:18" x14ac:dyDescent="0.35">
      <c r="B244" s="151"/>
      <c r="C244" s="143"/>
      <c r="D244" s="143"/>
      <c r="E244" s="411"/>
      <c r="F244" s="411"/>
      <c r="G244" s="411"/>
      <c r="H244" s="411"/>
      <c r="I244" s="411"/>
      <c r="J244" s="411"/>
      <c r="K244" s="411"/>
      <c r="L244" s="411"/>
      <c r="M244" s="411"/>
      <c r="N244" s="411"/>
      <c r="O244" s="411"/>
      <c r="P244" s="411"/>
      <c r="Q244" s="411"/>
      <c r="R244" s="410"/>
    </row>
    <row r="245" spans="2:18" x14ac:dyDescent="0.35">
      <c r="B245" s="151"/>
      <c r="C245" s="143"/>
      <c r="D245" s="143"/>
      <c r="E245" s="411"/>
      <c r="F245" s="411"/>
      <c r="G245" s="411"/>
      <c r="H245" s="411"/>
      <c r="I245" s="411"/>
      <c r="J245" s="411"/>
      <c r="K245" s="411"/>
      <c r="L245" s="411"/>
      <c r="M245" s="411"/>
      <c r="N245" s="411"/>
      <c r="O245" s="411"/>
      <c r="P245" s="411"/>
      <c r="Q245" s="411"/>
      <c r="R245" s="410"/>
    </row>
    <row r="246" spans="2:18" x14ac:dyDescent="0.35">
      <c r="B246" s="151"/>
      <c r="C246" s="143"/>
      <c r="D246" s="143"/>
      <c r="E246" s="411"/>
      <c r="F246" s="411"/>
      <c r="G246" s="411"/>
      <c r="H246" s="411"/>
      <c r="I246" s="411"/>
      <c r="J246" s="411"/>
      <c r="K246" s="411"/>
      <c r="L246" s="411"/>
      <c r="M246" s="411"/>
      <c r="N246" s="411"/>
      <c r="O246" s="411"/>
      <c r="P246" s="411"/>
      <c r="Q246" s="411"/>
      <c r="R246" s="410"/>
    </row>
    <row r="247" spans="2:18" x14ac:dyDescent="0.35">
      <c r="B247" s="151"/>
      <c r="C247" s="143"/>
      <c r="D247" s="143"/>
      <c r="E247" s="411"/>
      <c r="F247" s="411"/>
      <c r="G247" s="411"/>
      <c r="H247" s="411"/>
      <c r="I247" s="411"/>
      <c r="J247" s="411"/>
      <c r="K247" s="411"/>
      <c r="L247" s="411"/>
      <c r="M247" s="411"/>
      <c r="N247" s="411"/>
      <c r="O247" s="411"/>
      <c r="P247" s="411"/>
      <c r="Q247" s="411"/>
      <c r="R247" s="410"/>
    </row>
    <row r="248" spans="2:18" x14ac:dyDescent="0.35">
      <c r="B248" s="151"/>
      <c r="C248" s="143"/>
      <c r="D248" s="143"/>
      <c r="E248" s="411"/>
      <c r="F248" s="411"/>
      <c r="G248" s="411"/>
      <c r="H248" s="411"/>
      <c r="I248" s="411"/>
      <c r="J248" s="411"/>
      <c r="K248" s="411"/>
      <c r="L248" s="411"/>
      <c r="M248" s="411"/>
      <c r="N248" s="411"/>
      <c r="O248" s="411"/>
      <c r="P248" s="411"/>
      <c r="Q248" s="411"/>
      <c r="R248" s="410"/>
    </row>
    <row r="249" spans="2:18" x14ac:dyDescent="0.35">
      <c r="B249" s="151"/>
      <c r="C249" s="143"/>
      <c r="D249" s="143"/>
      <c r="E249" s="411"/>
      <c r="F249" s="411"/>
      <c r="G249" s="411"/>
      <c r="H249" s="411"/>
      <c r="I249" s="411"/>
      <c r="J249" s="411"/>
      <c r="K249" s="411"/>
      <c r="L249" s="411"/>
      <c r="M249" s="411"/>
      <c r="N249" s="411"/>
      <c r="O249" s="411"/>
      <c r="P249" s="411"/>
      <c r="Q249" s="411"/>
      <c r="R249" s="410"/>
    </row>
    <row r="250" spans="2:18" x14ac:dyDescent="0.35">
      <c r="B250" s="151"/>
      <c r="C250" s="143"/>
      <c r="D250" s="143"/>
      <c r="E250" s="411"/>
      <c r="F250" s="411"/>
      <c r="G250" s="411"/>
      <c r="H250" s="411"/>
      <c r="I250" s="411"/>
      <c r="J250" s="411"/>
      <c r="K250" s="411"/>
      <c r="L250" s="411"/>
      <c r="M250" s="411"/>
      <c r="N250" s="411"/>
      <c r="O250" s="411"/>
      <c r="P250" s="411"/>
      <c r="Q250" s="411"/>
      <c r="R250" s="410"/>
    </row>
    <row r="251" spans="2:18" x14ac:dyDescent="0.35">
      <c r="B251" s="151"/>
      <c r="C251" s="143"/>
      <c r="D251" s="143"/>
      <c r="E251" s="411"/>
      <c r="F251" s="411"/>
      <c r="G251" s="411"/>
      <c r="H251" s="411"/>
      <c r="I251" s="411"/>
      <c r="J251" s="411"/>
      <c r="K251" s="411"/>
      <c r="L251" s="411"/>
      <c r="M251" s="411"/>
      <c r="N251" s="411"/>
      <c r="O251" s="411"/>
      <c r="P251" s="411"/>
      <c r="Q251" s="411"/>
      <c r="R251" s="410"/>
    </row>
    <row r="252" spans="2:18" x14ac:dyDescent="0.35">
      <c r="B252" s="151"/>
      <c r="C252" s="143"/>
      <c r="D252" s="143"/>
      <c r="E252" s="411"/>
      <c r="F252" s="411"/>
      <c r="G252" s="411"/>
      <c r="H252" s="411"/>
      <c r="I252" s="411"/>
      <c r="J252" s="411"/>
      <c r="K252" s="411"/>
      <c r="L252" s="411"/>
      <c r="M252" s="411"/>
      <c r="N252" s="411"/>
      <c r="O252" s="411"/>
      <c r="P252" s="411"/>
      <c r="Q252" s="411"/>
      <c r="R252" s="410"/>
    </row>
    <row r="253" spans="2:18" x14ac:dyDescent="0.35">
      <c r="B253" s="151"/>
      <c r="C253" s="143"/>
      <c r="D253" s="143"/>
      <c r="E253" s="411"/>
      <c r="F253" s="411"/>
      <c r="G253" s="411"/>
      <c r="H253" s="411"/>
      <c r="I253" s="411"/>
      <c r="J253" s="411"/>
      <c r="K253" s="411"/>
      <c r="L253" s="411"/>
      <c r="M253" s="411"/>
      <c r="N253" s="411"/>
      <c r="O253" s="411"/>
      <c r="P253" s="411"/>
      <c r="Q253" s="411"/>
      <c r="R253" s="410"/>
    </row>
    <row r="254" spans="2:18" x14ac:dyDescent="0.35">
      <c r="B254" s="151"/>
      <c r="C254" s="143"/>
      <c r="D254" s="143"/>
      <c r="E254" s="411"/>
      <c r="F254" s="411"/>
      <c r="G254" s="411"/>
      <c r="H254" s="411"/>
      <c r="I254" s="411"/>
      <c r="J254" s="411"/>
      <c r="K254" s="411"/>
      <c r="L254" s="411"/>
      <c r="M254" s="411"/>
      <c r="N254" s="411"/>
      <c r="O254" s="411"/>
      <c r="P254" s="411"/>
      <c r="Q254" s="411"/>
      <c r="R254" s="410"/>
    </row>
    <row r="255" spans="2:18" x14ac:dyDescent="0.35">
      <c r="B255" s="151"/>
      <c r="C255" s="143"/>
      <c r="D255" s="143"/>
      <c r="E255" s="411"/>
      <c r="F255" s="411"/>
      <c r="G255" s="411"/>
      <c r="H255" s="411"/>
      <c r="I255" s="411"/>
      <c r="J255" s="411"/>
      <c r="K255" s="411"/>
      <c r="L255" s="411"/>
      <c r="M255" s="411"/>
      <c r="N255" s="411"/>
      <c r="O255" s="411"/>
      <c r="P255" s="411"/>
      <c r="Q255" s="411"/>
      <c r="R255" s="410"/>
    </row>
    <row r="256" spans="2:18" x14ac:dyDescent="0.35">
      <c r="B256" s="151"/>
      <c r="C256" s="143"/>
      <c r="D256" s="143"/>
      <c r="E256" s="411"/>
      <c r="F256" s="411"/>
      <c r="G256" s="411"/>
      <c r="H256" s="411"/>
      <c r="I256" s="411"/>
      <c r="J256" s="411"/>
      <c r="K256" s="411"/>
      <c r="L256" s="411"/>
      <c r="M256" s="411"/>
      <c r="N256" s="411"/>
      <c r="O256" s="411"/>
      <c r="P256" s="411"/>
      <c r="Q256" s="411"/>
      <c r="R256" s="410"/>
    </row>
    <row r="257" spans="2:18" x14ac:dyDescent="0.35">
      <c r="B257" s="151"/>
      <c r="C257" s="143"/>
      <c r="D257" s="143"/>
      <c r="E257" s="411"/>
      <c r="F257" s="411"/>
      <c r="G257" s="411"/>
      <c r="H257" s="411"/>
      <c r="I257" s="411"/>
      <c r="J257" s="411"/>
      <c r="K257" s="411"/>
      <c r="L257" s="411"/>
      <c r="M257" s="411"/>
      <c r="N257" s="411"/>
      <c r="O257" s="411"/>
      <c r="P257" s="411"/>
      <c r="Q257" s="411"/>
      <c r="R257" s="410"/>
    </row>
    <row r="258" spans="2:18" x14ac:dyDescent="0.35">
      <c r="B258" s="151"/>
      <c r="C258" s="143"/>
      <c r="D258" s="143"/>
      <c r="E258" s="411"/>
      <c r="F258" s="411"/>
      <c r="G258" s="411"/>
      <c r="H258" s="411"/>
      <c r="I258" s="411"/>
      <c r="J258" s="411"/>
      <c r="K258" s="411"/>
      <c r="L258" s="411"/>
      <c r="M258" s="411"/>
      <c r="N258" s="411"/>
      <c r="O258" s="411"/>
      <c r="P258" s="411"/>
      <c r="Q258" s="411"/>
      <c r="R258" s="410"/>
    </row>
    <row r="259" spans="2:18" x14ac:dyDescent="0.35">
      <c r="B259" s="151"/>
      <c r="C259" s="143"/>
      <c r="D259" s="143"/>
      <c r="E259" s="411"/>
      <c r="F259" s="411"/>
      <c r="G259" s="411"/>
      <c r="H259" s="411"/>
      <c r="I259" s="411"/>
      <c r="J259" s="411"/>
      <c r="K259" s="411"/>
      <c r="L259" s="411"/>
      <c r="M259" s="411"/>
      <c r="N259" s="411"/>
      <c r="O259" s="411"/>
      <c r="P259" s="411"/>
      <c r="Q259" s="411"/>
      <c r="R259" s="410"/>
    </row>
    <row r="260" spans="2:18" x14ac:dyDescent="0.35">
      <c r="B260" s="151"/>
      <c r="C260" s="143"/>
      <c r="D260" s="143"/>
      <c r="E260" s="411"/>
      <c r="F260" s="411"/>
      <c r="G260" s="411"/>
      <c r="H260" s="411"/>
      <c r="I260" s="411"/>
      <c r="J260" s="411"/>
      <c r="K260" s="411"/>
      <c r="L260" s="411"/>
      <c r="M260" s="411"/>
      <c r="N260" s="411"/>
      <c r="O260" s="411"/>
      <c r="P260" s="411"/>
      <c r="Q260" s="411"/>
      <c r="R260" s="410"/>
    </row>
    <row r="261" spans="2:18" x14ac:dyDescent="0.35">
      <c r="B261" s="151"/>
      <c r="C261" s="143"/>
      <c r="D261" s="143"/>
      <c r="E261" s="411"/>
      <c r="F261" s="411"/>
      <c r="G261" s="411"/>
      <c r="H261" s="411"/>
      <c r="I261" s="411"/>
      <c r="J261" s="411"/>
      <c r="K261" s="411"/>
      <c r="L261" s="411"/>
      <c r="M261" s="411"/>
      <c r="N261" s="411"/>
      <c r="O261" s="411"/>
      <c r="P261" s="411"/>
      <c r="Q261" s="411"/>
      <c r="R261" s="410"/>
    </row>
    <row r="262" spans="2:18" x14ac:dyDescent="0.35">
      <c r="B262" s="151"/>
      <c r="C262" s="143"/>
      <c r="D262" s="143"/>
      <c r="E262" s="411"/>
      <c r="F262" s="411"/>
      <c r="G262" s="411"/>
      <c r="H262" s="411"/>
      <c r="I262" s="411"/>
      <c r="J262" s="411"/>
      <c r="K262" s="411"/>
      <c r="L262" s="411"/>
      <c r="M262" s="411"/>
      <c r="N262" s="411"/>
      <c r="O262" s="411"/>
      <c r="P262" s="411"/>
      <c r="Q262" s="411"/>
      <c r="R262" s="410"/>
    </row>
    <row r="263" spans="2:18" x14ac:dyDescent="0.35">
      <c r="B263" s="151"/>
      <c r="C263" s="143"/>
      <c r="D263" s="143"/>
      <c r="E263" s="411"/>
      <c r="F263" s="411"/>
      <c r="G263" s="411"/>
      <c r="H263" s="411"/>
      <c r="I263" s="411"/>
      <c r="J263" s="411"/>
      <c r="K263" s="411"/>
      <c r="L263" s="411"/>
      <c r="M263" s="411"/>
      <c r="N263" s="411"/>
      <c r="O263" s="411"/>
      <c r="P263" s="411"/>
      <c r="Q263" s="411"/>
      <c r="R263" s="410"/>
    </row>
    <row r="264" spans="2:18" x14ac:dyDescent="0.35">
      <c r="B264" s="151"/>
      <c r="C264" s="143"/>
      <c r="D264" s="143"/>
      <c r="E264" s="411"/>
      <c r="F264" s="411"/>
      <c r="G264" s="411"/>
      <c r="H264" s="411"/>
      <c r="I264" s="411"/>
      <c r="J264" s="411"/>
      <c r="K264" s="411"/>
      <c r="L264" s="411"/>
      <c r="M264" s="411"/>
      <c r="N264" s="411"/>
      <c r="O264" s="411"/>
      <c r="P264" s="411"/>
      <c r="Q264" s="411"/>
      <c r="R264" s="410"/>
    </row>
    <row r="265" spans="2:18" x14ac:dyDescent="0.35">
      <c r="B265" s="151"/>
      <c r="C265" s="143"/>
      <c r="D265" s="143"/>
      <c r="E265" s="411"/>
      <c r="F265" s="411"/>
      <c r="G265" s="411"/>
      <c r="H265" s="411"/>
      <c r="I265" s="411"/>
      <c r="J265" s="411"/>
      <c r="K265" s="411"/>
      <c r="L265" s="411"/>
      <c r="M265" s="411"/>
      <c r="N265" s="411"/>
      <c r="O265" s="411"/>
      <c r="P265" s="411"/>
      <c r="Q265" s="411"/>
      <c r="R265" s="410"/>
    </row>
    <row r="266" spans="2:18" x14ac:dyDescent="0.35">
      <c r="B266" s="151"/>
      <c r="C266" s="143"/>
      <c r="D266" s="143"/>
      <c r="E266" s="411"/>
      <c r="F266" s="411"/>
      <c r="G266" s="411"/>
      <c r="H266" s="411"/>
      <c r="I266" s="411"/>
      <c r="J266" s="411"/>
      <c r="K266" s="411"/>
      <c r="L266" s="411"/>
      <c r="M266" s="411"/>
      <c r="N266" s="411"/>
      <c r="O266" s="411"/>
      <c r="P266" s="411"/>
      <c r="Q266" s="411"/>
      <c r="R266" s="410"/>
    </row>
    <row r="267" spans="2:18" x14ac:dyDescent="0.35">
      <c r="B267" s="151"/>
      <c r="C267" s="143"/>
      <c r="D267" s="143"/>
      <c r="E267" s="411"/>
      <c r="F267" s="411"/>
      <c r="G267" s="411"/>
      <c r="H267" s="411"/>
      <c r="I267" s="411"/>
      <c r="J267" s="411"/>
      <c r="K267" s="411"/>
      <c r="L267" s="411"/>
      <c r="M267" s="411"/>
      <c r="N267" s="411"/>
      <c r="O267" s="411"/>
      <c r="P267" s="411"/>
      <c r="Q267" s="411"/>
      <c r="R267" s="410"/>
    </row>
    <row r="268" spans="2:18" x14ac:dyDescent="0.35">
      <c r="B268" s="151"/>
      <c r="C268" s="143"/>
      <c r="D268" s="143"/>
      <c r="E268" s="411"/>
      <c r="F268" s="411"/>
      <c r="G268" s="411"/>
      <c r="H268" s="411"/>
      <c r="I268" s="411"/>
      <c r="J268" s="411"/>
      <c r="K268" s="411"/>
      <c r="L268" s="411"/>
      <c r="M268" s="411"/>
      <c r="N268" s="411"/>
      <c r="O268" s="411"/>
      <c r="P268" s="411"/>
      <c r="Q268" s="411"/>
      <c r="R268" s="410"/>
    </row>
    <row r="269" spans="2:18" x14ac:dyDescent="0.35">
      <c r="B269" s="151"/>
      <c r="C269" s="143"/>
      <c r="D269" s="143"/>
      <c r="E269" s="411"/>
      <c r="F269" s="411"/>
      <c r="G269" s="411"/>
      <c r="H269" s="411"/>
      <c r="I269" s="411"/>
      <c r="J269" s="411"/>
      <c r="K269" s="411"/>
      <c r="L269" s="411"/>
      <c r="M269" s="411"/>
      <c r="N269" s="411"/>
      <c r="O269" s="411"/>
      <c r="P269" s="411"/>
      <c r="Q269" s="411"/>
      <c r="R269" s="410"/>
    </row>
    <row r="270" spans="2:18" x14ac:dyDescent="0.35">
      <c r="B270" s="151"/>
      <c r="C270" s="143"/>
      <c r="D270" s="143"/>
      <c r="E270" s="411"/>
      <c r="F270" s="411"/>
      <c r="G270" s="411"/>
      <c r="H270" s="411"/>
      <c r="I270" s="411"/>
      <c r="J270" s="411"/>
      <c r="K270" s="411"/>
      <c r="L270" s="411"/>
      <c r="M270" s="411"/>
      <c r="N270" s="411"/>
      <c r="O270" s="411"/>
      <c r="P270" s="411"/>
      <c r="Q270" s="411"/>
      <c r="R270" s="410"/>
    </row>
    <row r="271" spans="2:18" x14ac:dyDescent="0.35">
      <c r="B271" s="151"/>
      <c r="C271" s="143"/>
      <c r="D271" s="143"/>
      <c r="E271" s="411"/>
      <c r="F271" s="411"/>
      <c r="G271" s="411"/>
      <c r="H271" s="411"/>
      <c r="I271" s="411"/>
      <c r="J271" s="411"/>
      <c r="K271" s="411"/>
      <c r="L271" s="411"/>
      <c r="M271" s="411"/>
      <c r="N271" s="411"/>
      <c r="O271" s="411"/>
      <c r="P271" s="411"/>
      <c r="Q271" s="411"/>
      <c r="R271" s="410"/>
    </row>
    <row r="272" spans="2:18" x14ac:dyDescent="0.35">
      <c r="B272" s="151"/>
      <c r="C272" s="143"/>
      <c r="D272" s="143"/>
      <c r="E272" s="411"/>
      <c r="F272" s="411"/>
      <c r="G272" s="411"/>
      <c r="H272" s="411"/>
      <c r="I272" s="411"/>
      <c r="J272" s="411"/>
      <c r="K272" s="411"/>
      <c r="L272" s="411"/>
      <c r="M272" s="411"/>
      <c r="N272" s="411"/>
      <c r="O272" s="411"/>
      <c r="P272" s="411"/>
      <c r="Q272" s="411"/>
      <c r="R272" s="410"/>
    </row>
    <row r="273" spans="2:18" x14ac:dyDescent="0.35">
      <c r="B273" s="151"/>
      <c r="C273" s="143"/>
      <c r="D273" s="143"/>
      <c r="E273" s="411"/>
      <c r="F273" s="411"/>
      <c r="G273" s="411"/>
      <c r="H273" s="411"/>
      <c r="I273" s="411"/>
      <c r="J273" s="411"/>
      <c r="K273" s="411"/>
      <c r="L273" s="411"/>
      <c r="M273" s="411"/>
      <c r="N273" s="411"/>
      <c r="O273" s="411"/>
      <c r="P273" s="411"/>
      <c r="Q273" s="411"/>
      <c r="R273" s="410"/>
    </row>
    <row r="274" spans="2:18" x14ac:dyDescent="0.35">
      <c r="B274" s="151"/>
      <c r="C274" s="143"/>
      <c r="D274" s="143"/>
      <c r="E274" s="411"/>
      <c r="F274" s="411"/>
      <c r="G274" s="411"/>
      <c r="H274" s="411"/>
      <c r="I274" s="411"/>
      <c r="J274" s="411"/>
      <c r="K274" s="411"/>
      <c r="L274" s="411"/>
      <c r="M274" s="411"/>
      <c r="N274" s="411"/>
      <c r="O274" s="411"/>
      <c r="P274" s="411"/>
      <c r="Q274" s="411"/>
      <c r="R274" s="410"/>
    </row>
    <row r="275" spans="2:18" x14ac:dyDescent="0.35">
      <c r="B275" s="151"/>
      <c r="C275" s="143"/>
      <c r="D275" s="143"/>
      <c r="E275" s="411"/>
      <c r="F275" s="411"/>
      <c r="G275" s="411"/>
      <c r="H275" s="411"/>
      <c r="I275" s="411"/>
      <c r="J275" s="411"/>
      <c r="K275" s="411"/>
      <c r="L275" s="411"/>
      <c r="M275" s="411"/>
      <c r="N275" s="411"/>
      <c r="O275" s="411"/>
      <c r="P275" s="411"/>
      <c r="Q275" s="411"/>
      <c r="R275" s="410"/>
    </row>
    <row r="276" spans="2:18" x14ac:dyDescent="0.35">
      <c r="B276" s="151"/>
      <c r="C276" s="143"/>
      <c r="D276" s="143"/>
      <c r="E276" s="411"/>
      <c r="F276" s="411"/>
      <c r="G276" s="411"/>
      <c r="H276" s="411"/>
      <c r="I276" s="411"/>
      <c r="J276" s="411"/>
      <c r="K276" s="411"/>
      <c r="L276" s="411"/>
      <c r="M276" s="411"/>
      <c r="N276" s="411"/>
      <c r="O276" s="411"/>
      <c r="P276" s="411"/>
      <c r="Q276" s="411"/>
      <c r="R276" s="410"/>
    </row>
    <row r="277" spans="2:18" x14ac:dyDescent="0.35">
      <c r="B277" s="151"/>
      <c r="C277" s="143"/>
      <c r="D277" s="143"/>
      <c r="E277" s="411"/>
      <c r="F277" s="411"/>
      <c r="G277" s="411"/>
      <c r="H277" s="411"/>
      <c r="I277" s="411"/>
      <c r="J277" s="411"/>
      <c r="K277" s="411"/>
      <c r="L277" s="411"/>
      <c r="M277" s="411"/>
      <c r="N277" s="411"/>
      <c r="O277" s="411"/>
      <c r="P277" s="411"/>
      <c r="Q277" s="411"/>
      <c r="R277" s="410"/>
    </row>
    <row r="278" spans="2:18" x14ac:dyDescent="0.35">
      <c r="B278" s="151"/>
      <c r="C278" s="143"/>
      <c r="D278" s="143"/>
      <c r="E278" s="411"/>
      <c r="F278" s="411"/>
      <c r="G278" s="411"/>
      <c r="H278" s="411"/>
      <c r="I278" s="411"/>
      <c r="J278" s="411"/>
      <c r="K278" s="411"/>
      <c r="L278" s="411"/>
      <c r="M278" s="411"/>
      <c r="N278" s="411"/>
      <c r="O278" s="411"/>
      <c r="P278" s="411"/>
      <c r="Q278" s="411"/>
      <c r="R278" s="410"/>
    </row>
    <row r="279" spans="2:18" x14ac:dyDescent="0.35">
      <c r="B279" s="151"/>
      <c r="C279" s="143"/>
      <c r="D279" s="143"/>
      <c r="E279" s="411"/>
      <c r="F279" s="411"/>
      <c r="G279" s="411"/>
      <c r="H279" s="411"/>
      <c r="I279" s="411"/>
      <c r="J279" s="411"/>
      <c r="K279" s="411"/>
      <c r="L279" s="411"/>
      <c r="M279" s="411"/>
      <c r="N279" s="411"/>
      <c r="O279" s="411"/>
      <c r="P279" s="411"/>
      <c r="Q279" s="411"/>
      <c r="R279" s="410"/>
    </row>
    <row r="280" spans="2:18" x14ac:dyDescent="0.35">
      <c r="B280" s="151"/>
      <c r="C280" s="143"/>
      <c r="D280" s="143"/>
      <c r="E280" s="411"/>
      <c r="F280" s="411"/>
      <c r="G280" s="411"/>
      <c r="H280" s="411"/>
      <c r="I280" s="411"/>
      <c r="J280" s="411"/>
      <c r="K280" s="411"/>
      <c r="L280" s="411"/>
      <c r="M280" s="411"/>
      <c r="N280" s="411"/>
      <c r="O280" s="411"/>
      <c r="P280" s="411"/>
      <c r="Q280" s="411"/>
      <c r="R280" s="410"/>
    </row>
    <row r="281" spans="2:18" x14ac:dyDescent="0.35">
      <c r="B281" s="151"/>
      <c r="C281" s="143"/>
      <c r="D281" s="143"/>
      <c r="E281" s="411"/>
      <c r="F281" s="411"/>
      <c r="G281" s="411"/>
      <c r="H281" s="411"/>
      <c r="I281" s="411"/>
      <c r="J281" s="411"/>
      <c r="K281" s="411"/>
      <c r="L281" s="411"/>
      <c r="M281" s="411"/>
      <c r="N281" s="411"/>
      <c r="O281" s="411"/>
      <c r="P281" s="411"/>
      <c r="Q281" s="411"/>
      <c r="R281" s="410"/>
    </row>
    <row r="282" spans="2:18" x14ac:dyDescent="0.35">
      <c r="B282" s="151"/>
      <c r="C282" s="143"/>
      <c r="D282" s="143"/>
      <c r="E282" s="411"/>
      <c r="F282" s="411"/>
      <c r="G282" s="411"/>
      <c r="H282" s="411"/>
      <c r="I282" s="411"/>
      <c r="J282" s="411"/>
      <c r="K282" s="411"/>
      <c r="L282" s="411"/>
      <c r="M282" s="411"/>
      <c r="N282" s="411"/>
      <c r="O282" s="411"/>
      <c r="P282" s="411"/>
      <c r="Q282" s="411"/>
      <c r="R282" s="410"/>
    </row>
    <row r="283" spans="2:18" x14ac:dyDescent="0.35">
      <c r="B283" s="151"/>
      <c r="C283" s="143"/>
      <c r="D283" s="143"/>
      <c r="E283" s="411"/>
      <c r="F283" s="411"/>
      <c r="G283" s="411"/>
      <c r="H283" s="411"/>
      <c r="I283" s="411"/>
      <c r="J283" s="411"/>
      <c r="K283" s="411"/>
      <c r="L283" s="411"/>
      <c r="M283" s="411"/>
      <c r="N283" s="411"/>
      <c r="O283" s="411"/>
      <c r="P283" s="411"/>
      <c r="Q283" s="411"/>
      <c r="R283" s="410"/>
    </row>
    <row r="284" spans="2:18" x14ac:dyDescent="0.35">
      <c r="B284" s="151"/>
      <c r="C284" s="143"/>
      <c r="D284" s="143"/>
      <c r="E284" s="411"/>
      <c r="F284" s="411"/>
      <c r="G284" s="411"/>
      <c r="H284" s="411"/>
      <c r="I284" s="411"/>
      <c r="J284" s="411"/>
      <c r="K284" s="411"/>
      <c r="L284" s="411"/>
      <c r="M284" s="411"/>
      <c r="N284" s="411"/>
      <c r="O284" s="411"/>
      <c r="P284" s="411"/>
      <c r="Q284" s="411"/>
      <c r="R284" s="410"/>
    </row>
    <row r="285" spans="2:18" x14ac:dyDescent="0.35">
      <c r="B285" s="151"/>
      <c r="C285" s="143"/>
      <c r="D285" s="143"/>
      <c r="E285" s="411"/>
      <c r="F285" s="411"/>
      <c r="G285" s="411"/>
      <c r="H285" s="411"/>
      <c r="I285" s="411"/>
      <c r="J285" s="411"/>
      <c r="K285" s="411"/>
      <c r="L285" s="411"/>
      <c r="M285" s="411"/>
      <c r="N285" s="411"/>
      <c r="O285" s="411"/>
      <c r="P285" s="411"/>
      <c r="Q285" s="411"/>
      <c r="R285" s="410"/>
    </row>
    <row r="286" spans="2:18" x14ac:dyDescent="0.35">
      <c r="B286" s="151"/>
      <c r="C286" s="143"/>
      <c r="D286" s="143"/>
      <c r="E286" s="411"/>
      <c r="F286" s="411"/>
      <c r="G286" s="411"/>
      <c r="H286" s="411"/>
      <c r="I286" s="411"/>
      <c r="J286" s="411"/>
      <c r="K286" s="411"/>
      <c r="L286" s="411"/>
      <c r="M286" s="411"/>
      <c r="N286" s="411"/>
      <c r="O286" s="411"/>
      <c r="P286" s="411"/>
      <c r="Q286" s="411"/>
      <c r="R286" s="410"/>
    </row>
    <row r="287" spans="2:18" x14ac:dyDescent="0.35">
      <c r="B287" s="151"/>
      <c r="C287" s="143"/>
      <c r="D287" s="143"/>
      <c r="E287" s="411"/>
      <c r="F287" s="411"/>
      <c r="G287" s="411"/>
      <c r="H287" s="411"/>
      <c r="I287" s="411"/>
      <c r="J287" s="411"/>
      <c r="K287" s="411"/>
      <c r="L287" s="411"/>
      <c r="M287" s="411"/>
      <c r="N287" s="411"/>
      <c r="O287" s="411"/>
      <c r="P287" s="411"/>
      <c r="Q287" s="411"/>
      <c r="R287" s="410"/>
    </row>
    <row r="288" spans="2:18" x14ac:dyDescent="0.35">
      <c r="B288" s="151"/>
      <c r="C288" s="143"/>
      <c r="D288" s="143"/>
      <c r="E288" s="411"/>
      <c r="F288" s="411"/>
      <c r="G288" s="411"/>
      <c r="H288" s="411"/>
      <c r="I288" s="411"/>
      <c r="J288" s="411"/>
      <c r="K288" s="411"/>
      <c r="L288" s="411"/>
      <c r="M288" s="411"/>
      <c r="N288" s="411"/>
      <c r="O288" s="411"/>
      <c r="P288" s="411"/>
      <c r="Q288" s="411"/>
      <c r="R288" s="410"/>
    </row>
    <row r="289" spans="2:18" x14ac:dyDescent="0.35">
      <c r="B289" s="151"/>
      <c r="C289" s="143"/>
      <c r="D289" s="143"/>
      <c r="E289" s="411"/>
      <c r="F289" s="411"/>
      <c r="G289" s="411"/>
      <c r="H289" s="411"/>
      <c r="I289" s="411"/>
      <c r="J289" s="411"/>
      <c r="K289" s="411"/>
      <c r="L289" s="411"/>
      <c r="M289" s="411"/>
      <c r="N289" s="411"/>
      <c r="O289" s="411"/>
      <c r="P289" s="411"/>
      <c r="Q289" s="411"/>
      <c r="R289" s="410"/>
    </row>
    <row r="290" spans="2:18" x14ac:dyDescent="0.35">
      <c r="B290" s="151"/>
      <c r="C290" s="143"/>
      <c r="D290" s="143"/>
      <c r="E290" s="411"/>
      <c r="F290" s="411"/>
      <c r="G290" s="411"/>
      <c r="H290" s="411"/>
      <c r="I290" s="411"/>
      <c r="J290" s="411"/>
      <c r="K290" s="411"/>
      <c r="L290" s="411"/>
      <c r="M290" s="411"/>
      <c r="N290" s="411"/>
      <c r="O290" s="411"/>
      <c r="P290" s="411"/>
      <c r="Q290" s="411"/>
      <c r="R290" s="410"/>
    </row>
    <row r="291" spans="2:18" x14ac:dyDescent="0.35">
      <c r="B291" s="151"/>
      <c r="C291" s="143"/>
      <c r="D291" s="143"/>
      <c r="E291" s="411"/>
      <c r="F291" s="411"/>
      <c r="G291" s="411"/>
      <c r="H291" s="411"/>
      <c r="I291" s="411"/>
      <c r="J291" s="411"/>
      <c r="K291" s="411"/>
      <c r="L291" s="411"/>
      <c r="M291" s="411"/>
      <c r="N291" s="411"/>
      <c r="O291" s="411"/>
      <c r="P291" s="411"/>
      <c r="Q291" s="411"/>
      <c r="R291" s="410"/>
    </row>
    <row r="292" spans="2:18" x14ac:dyDescent="0.35">
      <c r="B292" s="151"/>
      <c r="C292" s="143"/>
      <c r="D292" s="143"/>
      <c r="E292" s="411"/>
      <c r="F292" s="411"/>
      <c r="G292" s="411"/>
      <c r="H292" s="411"/>
      <c r="I292" s="411"/>
      <c r="J292" s="411"/>
      <c r="K292" s="411"/>
      <c r="L292" s="411"/>
      <c r="M292" s="411"/>
      <c r="N292" s="411"/>
      <c r="O292" s="411"/>
      <c r="P292" s="411"/>
      <c r="Q292" s="411"/>
      <c r="R292" s="410"/>
    </row>
    <row r="293" spans="2:18" x14ac:dyDescent="0.35">
      <c r="B293" s="151"/>
      <c r="C293" s="143"/>
      <c r="D293" s="143"/>
      <c r="E293" s="411"/>
      <c r="F293" s="411"/>
      <c r="G293" s="411"/>
      <c r="H293" s="411"/>
      <c r="I293" s="411"/>
      <c r="J293" s="411"/>
      <c r="K293" s="411"/>
      <c r="L293" s="411"/>
      <c r="M293" s="411"/>
      <c r="N293" s="411"/>
      <c r="O293" s="411"/>
      <c r="P293" s="411"/>
      <c r="Q293" s="411"/>
      <c r="R293" s="410"/>
    </row>
    <row r="294" spans="2:18" x14ac:dyDescent="0.35">
      <c r="B294" s="151"/>
      <c r="C294" s="143"/>
      <c r="D294" s="143"/>
      <c r="E294" s="411"/>
      <c r="F294" s="411"/>
      <c r="G294" s="411"/>
      <c r="H294" s="411"/>
      <c r="I294" s="411"/>
      <c r="J294" s="411"/>
      <c r="K294" s="411"/>
      <c r="L294" s="411"/>
      <c r="M294" s="411"/>
      <c r="N294" s="411"/>
      <c r="O294" s="411"/>
      <c r="P294" s="411"/>
      <c r="Q294" s="411"/>
      <c r="R294" s="410"/>
    </row>
    <row r="295" spans="2:18" x14ac:dyDescent="0.35">
      <c r="B295" s="151"/>
      <c r="C295" s="143"/>
      <c r="D295" s="143"/>
      <c r="E295" s="411"/>
      <c r="F295" s="411"/>
      <c r="G295" s="411"/>
      <c r="H295" s="411"/>
      <c r="I295" s="411"/>
      <c r="J295" s="411"/>
      <c r="K295" s="411"/>
      <c r="L295" s="411"/>
      <c r="M295" s="411"/>
      <c r="N295" s="411"/>
      <c r="O295" s="411"/>
      <c r="P295" s="411"/>
      <c r="Q295" s="411"/>
      <c r="R295" s="410"/>
    </row>
    <row r="296" spans="2:18" x14ac:dyDescent="0.35">
      <c r="B296" s="151"/>
      <c r="C296" s="143"/>
      <c r="D296" s="143"/>
      <c r="E296" s="411"/>
      <c r="F296" s="411"/>
      <c r="G296" s="411"/>
      <c r="H296" s="411"/>
      <c r="I296" s="411"/>
      <c r="J296" s="411"/>
      <c r="K296" s="411"/>
      <c r="L296" s="411"/>
      <c r="M296" s="411"/>
      <c r="N296" s="411"/>
      <c r="O296" s="411"/>
      <c r="P296" s="411"/>
      <c r="Q296" s="411"/>
      <c r="R296" s="410"/>
    </row>
    <row r="297" spans="2:18" x14ac:dyDescent="0.35">
      <c r="B297" s="151"/>
      <c r="C297" s="143"/>
      <c r="D297" s="143"/>
      <c r="E297" s="411"/>
      <c r="F297" s="411"/>
      <c r="G297" s="411"/>
      <c r="H297" s="411"/>
      <c r="I297" s="411"/>
      <c r="J297" s="411"/>
      <c r="K297" s="411"/>
      <c r="L297" s="411"/>
      <c r="M297" s="411"/>
      <c r="N297" s="411"/>
      <c r="O297" s="411"/>
      <c r="P297" s="411"/>
      <c r="Q297" s="411"/>
      <c r="R297" s="410"/>
    </row>
    <row r="298" spans="2:18" x14ac:dyDescent="0.35">
      <c r="B298" s="151"/>
      <c r="C298" s="143"/>
      <c r="D298" s="143"/>
      <c r="E298" s="411"/>
      <c r="F298" s="411"/>
      <c r="G298" s="411"/>
      <c r="H298" s="411"/>
      <c r="I298" s="411"/>
      <c r="J298" s="411"/>
      <c r="K298" s="411"/>
      <c r="L298" s="411"/>
      <c r="M298" s="411"/>
      <c r="N298" s="411"/>
      <c r="O298" s="411"/>
      <c r="P298" s="411"/>
      <c r="Q298" s="411"/>
      <c r="R298" s="410"/>
    </row>
    <row r="299" spans="2:18" x14ac:dyDescent="0.35">
      <c r="B299" s="151"/>
      <c r="C299" s="143"/>
      <c r="D299" s="143"/>
      <c r="E299" s="411"/>
      <c r="F299" s="411"/>
      <c r="G299" s="411"/>
      <c r="H299" s="411"/>
      <c r="I299" s="411"/>
      <c r="J299" s="411"/>
      <c r="K299" s="411"/>
      <c r="L299" s="411"/>
      <c r="M299" s="411"/>
      <c r="N299" s="411"/>
      <c r="O299" s="411"/>
      <c r="P299" s="411"/>
      <c r="Q299" s="411"/>
      <c r="R299" s="410"/>
    </row>
    <row r="300" spans="2:18" x14ac:dyDescent="0.35">
      <c r="B300" s="151"/>
      <c r="C300" s="143"/>
      <c r="D300" s="143"/>
      <c r="E300" s="411"/>
      <c r="F300" s="411"/>
      <c r="G300" s="411"/>
      <c r="H300" s="411"/>
      <c r="I300" s="411"/>
      <c r="J300" s="411"/>
      <c r="K300" s="411"/>
      <c r="L300" s="411"/>
      <c r="M300" s="411"/>
      <c r="N300" s="411"/>
      <c r="O300" s="411"/>
      <c r="P300" s="411"/>
      <c r="Q300" s="411"/>
      <c r="R300" s="410"/>
    </row>
    <row r="301" spans="2:18" x14ac:dyDescent="0.35">
      <c r="B301" s="151"/>
      <c r="C301" s="143"/>
      <c r="D301" s="143"/>
      <c r="E301" s="411"/>
      <c r="F301" s="411"/>
      <c r="G301" s="411"/>
      <c r="H301" s="411"/>
      <c r="I301" s="411"/>
      <c r="J301" s="411"/>
      <c r="K301" s="411"/>
      <c r="L301" s="411"/>
      <c r="M301" s="411"/>
      <c r="N301" s="411"/>
      <c r="O301" s="411"/>
      <c r="P301" s="411"/>
      <c r="Q301" s="411"/>
      <c r="R301" s="410"/>
    </row>
    <row r="302" spans="2:18" x14ac:dyDescent="0.35">
      <c r="B302" s="151"/>
      <c r="C302" s="143"/>
      <c r="D302" s="143"/>
      <c r="E302" s="411"/>
      <c r="F302" s="411"/>
      <c r="G302" s="411"/>
      <c r="H302" s="411"/>
      <c r="I302" s="411"/>
      <c r="J302" s="411"/>
      <c r="K302" s="411"/>
      <c r="L302" s="411"/>
      <c r="M302" s="411"/>
      <c r="N302" s="411"/>
      <c r="O302" s="411"/>
      <c r="P302" s="411"/>
      <c r="Q302" s="411"/>
      <c r="R302" s="410"/>
    </row>
    <row r="303" spans="2:18" x14ac:dyDescent="0.35">
      <c r="B303" s="151"/>
      <c r="C303" s="143"/>
      <c r="D303" s="143"/>
      <c r="E303" s="411"/>
      <c r="F303" s="411"/>
      <c r="G303" s="411"/>
      <c r="H303" s="411"/>
      <c r="I303" s="411"/>
      <c r="J303" s="411"/>
      <c r="K303" s="411"/>
      <c r="L303" s="411"/>
      <c r="M303" s="411"/>
      <c r="N303" s="411"/>
      <c r="O303" s="411"/>
      <c r="P303" s="411"/>
      <c r="Q303" s="411"/>
      <c r="R303" s="410"/>
    </row>
    <row r="304" spans="2:18" x14ac:dyDescent="0.35">
      <c r="B304" s="151"/>
      <c r="C304" s="143"/>
      <c r="D304" s="143"/>
      <c r="E304" s="411"/>
      <c r="F304" s="411"/>
      <c r="G304" s="411"/>
      <c r="H304" s="411"/>
      <c r="I304" s="411"/>
      <c r="J304" s="411"/>
      <c r="K304" s="411"/>
      <c r="L304" s="411"/>
      <c r="M304" s="411"/>
      <c r="N304" s="411"/>
      <c r="O304" s="411"/>
      <c r="P304" s="411"/>
      <c r="Q304" s="411"/>
      <c r="R304" s="410"/>
    </row>
    <row r="305" spans="2:18" x14ac:dyDescent="0.35">
      <c r="B305" s="151"/>
      <c r="C305" s="143"/>
      <c r="D305" s="143"/>
      <c r="E305" s="411"/>
      <c r="F305" s="411"/>
      <c r="G305" s="411"/>
      <c r="H305" s="411"/>
      <c r="I305" s="411"/>
      <c r="J305" s="411"/>
      <c r="K305" s="411"/>
      <c r="L305" s="411"/>
      <c r="M305" s="411"/>
      <c r="N305" s="411"/>
      <c r="O305" s="411"/>
      <c r="P305" s="411"/>
      <c r="Q305" s="411"/>
      <c r="R305" s="410"/>
    </row>
    <row r="306" spans="2:18" x14ac:dyDescent="0.35">
      <c r="B306" s="151"/>
      <c r="C306" s="143"/>
      <c r="D306" s="143"/>
      <c r="E306" s="411"/>
      <c r="F306" s="411"/>
      <c r="G306" s="411"/>
      <c r="H306" s="411"/>
      <c r="I306" s="411"/>
      <c r="J306" s="411"/>
      <c r="K306" s="411"/>
      <c r="L306" s="411"/>
      <c r="M306" s="411"/>
      <c r="N306" s="411"/>
      <c r="O306" s="411"/>
      <c r="P306" s="411"/>
      <c r="Q306" s="411"/>
      <c r="R306" s="410"/>
    </row>
    <row r="307" spans="2:18" x14ac:dyDescent="0.35">
      <c r="B307" s="151"/>
      <c r="C307" s="143"/>
      <c r="D307" s="143"/>
      <c r="E307" s="411"/>
      <c r="F307" s="411"/>
      <c r="G307" s="411"/>
      <c r="H307" s="411"/>
      <c r="I307" s="411"/>
      <c r="J307" s="411"/>
      <c r="K307" s="411"/>
      <c r="L307" s="411"/>
      <c r="M307" s="411"/>
      <c r="N307" s="411"/>
      <c r="O307" s="411"/>
      <c r="P307" s="411"/>
      <c r="Q307" s="411"/>
      <c r="R307" s="410"/>
    </row>
    <row r="308" spans="2:18" x14ac:dyDescent="0.35">
      <c r="B308" s="151"/>
      <c r="C308" s="143"/>
      <c r="D308" s="143"/>
      <c r="E308" s="411"/>
      <c r="F308" s="411"/>
      <c r="G308" s="411"/>
      <c r="H308" s="411"/>
      <c r="I308" s="411"/>
      <c r="J308" s="411"/>
      <c r="K308" s="411"/>
      <c r="L308" s="411"/>
      <c r="M308" s="411"/>
      <c r="N308" s="411"/>
      <c r="O308" s="411"/>
      <c r="P308" s="411"/>
      <c r="Q308" s="411"/>
      <c r="R308" s="410"/>
    </row>
    <row r="309" spans="2:18" x14ac:dyDescent="0.35">
      <c r="B309" s="151"/>
      <c r="C309" s="143"/>
      <c r="D309" s="143"/>
      <c r="E309" s="411"/>
      <c r="F309" s="411"/>
      <c r="G309" s="411"/>
      <c r="H309" s="411"/>
      <c r="I309" s="411"/>
      <c r="J309" s="411"/>
      <c r="K309" s="411"/>
      <c r="L309" s="411"/>
      <c r="M309" s="411"/>
      <c r="N309" s="411"/>
      <c r="O309" s="411"/>
      <c r="P309" s="411"/>
      <c r="Q309" s="411"/>
      <c r="R309" s="410"/>
    </row>
    <row r="310" spans="2:18" x14ac:dyDescent="0.35">
      <c r="B310" s="151"/>
      <c r="C310" s="143"/>
      <c r="D310" s="143"/>
      <c r="E310" s="411"/>
      <c r="F310" s="411"/>
      <c r="G310" s="411"/>
      <c r="H310" s="411"/>
      <c r="I310" s="411"/>
      <c r="J310" s="411"/>
      <c r="K310" s="411"/>
      <c r="L310" s="411"/>
      <c r="M310" s="411"/>
      <c r="N310" s="411"/>
      <c r="O310" s="411"/>
      <c r="P310" s="411"/>
      <c r="Q310" s="411"/>
      <c r="R310" s="410"/>
    </row>
    <row r="311" spans="2:18" x14ac:dyDescent="0.35">
      <c r="B311" s="151"/>
      <c r="C311" s="143"/>
      <c r="D311" s="143"/>
      <c r="E311" s="411"/>
      <c r="F311" s="411"/>
      <c r="G311" s="411"/>
      <c r="H311" s="411"/>
      <c r="I311" s="411"/>
      <c r="J311" s="411"/>
      <c r="K311" s="411"/>
      <c r="L311" s="411"/>
      <c r="M311" s="411"/>
      <c r="N311" s="411"/>
      <c r="O311" s="411"/>
      <c r="P311" s="411"/>
      <c r="Q311" s="411"/>
      <c r="R311" s="410"/>
    </row>
    <row r="312" spans="2:18" x14ac:dyDescent="0.35">
      <c r="B312" s="151"/>
      <c r="C312" s="143"/>
      <c r="D312" s="143"/>
      <c r="E312" s="411"/>
      <c r="F312" s="411"/>
      <c r="G312" s="411"/>
      <c r="H312" s="411"/>
      <c r="I312" s="411"/>
      <c r="J312" s="411"/>
      <c r="K312" s="411"/>
      <c r="L312" s="411"/>
      <c r="M312" s="411"/>
      <c r="N312" s="411"/>
      <c r="O312" s="411"/>
      <c r="P312" s="411"/>
      <c r="Q312" s="411"/>
      <c r="R312" s="410"/>
    </row>
    <row r="313" spans="2:18" x14ac:dyDescent="0.35">
      <c r="B313" s="151"/>
      <c r="C313" s="143"/>
      <c r="D313" s="143"/>
      <c r="E313" s="411"/>
      <c r="F313" s="411"/>
      <c r="G313" s="411"/>
      <c r="H313" s="411"/>
      <c r="I313" s="411"/>
      <c r="J313" s="411"/>
      <c r="K313" s="411"/>
      <c r="L313" s="411"/>
      <c r="M313" s="411"/>
      <c r="N313" s="411"/>
      <c r="O313" s="411"/>
      <c r="P313" s="411"/>
      <c r="Q313" s="411"/>
      <c r="R313" s="410"/>
    </row>
    <row r="314" spans="2:18" x14ac:dyDescent="0.35">
      <c r="B314" s="151"/>
      <c r="C314" s="143"/>
      <c r="D314" s="143"/>
      <c r="E314" s="411"/>
      <c r="F314" s="411"/>
      <c r="G314" s="411"/>
      <c r="H314" s="411"/>
      <c r="I314" s="411"/>
      <c r="J314" s="411"/>
      <c r="K314" s="411"/>
      <c r="L314" s="411"/>
      <c r="M314" s="411"/>
      <c r="N314" s="411"/>
      <c r="O314" s="411"/>
      <c r="P314" s="411"/>
      <c r="Q314" s="411"/>
      <c r="R314" s="410"/>
    </row>
    <row r="315" spans="2:18" x14ac:dyDescent="0.35">
      <c r="B315" s="151"/>
      <c r="C315" s="143"/>
      <c r="D315" s="143"/>
      <c r="E315" s="411"/>
      <c r="F315" s="411"/>
      <c r="G315" s="411"/>
      <c r="H315" s="411"/>
      <c r="I315" s="411"/>
      <c r="J315" s="411"/>
      <c r="K315" s="411"/>
      <c r="L315" s="411"/>
      <c r="M315" s="411"/>
      <c r="N315" s="411"/>
      <c r="O315" s="411"/>
      <c r="P315" s="411"/>
      <c r="Q315" s="411"/>
      <c r="R315" s="410"/>
    </row>
    <row r="316" spans="2:18" x14ac:dyDescent="0.35">
      <c r="B316" s="151"/>
      <c r="C316" s="143"/>
      <c r="D316" s="143"/>
      <c r="E316" s="411"/>
      <c r="F316" s="411"/>
      <c r="G316" s="411"/>
      <c r="H316" s="411"/>
      <c r="I316" s="411"/>
      <c r="J316" s="411"/>
      <c r="K316" s="411"/>
      <c r="L316" s="411"/>
      <c r="M316" s="411"/>
      <c r="N316" s="411"/>
      <c r="O316" s="411"/>
      <c r="P316" s="411"/>
      <c r="Q316" s="411"/>
      <c r="R316" s="410"/>
    </row>
    <row r="317" spans="2:18" x14ac:dyDescent="0.35">
      <c r="B317" s="151"/>
      <c r="C317" s="143"/>
      <c r="D317" s="143"/>
      <c r="E317" s="411"/>
      <c r="F317" s="411"/>
      <c r="G317" s="411"/>
      <c r="H317" s="411"/>
      <c r="I317" s="411"/>
      <c r="J317" s="411"/>
      <c r="K317" s="411"/>
      <c r="L317" s="411"/>
      <c r="M317" s="411"/>
      <c r="N317" s="411"/>
      <c r="O317" s="411"/>
      <c r="P317" s="411"/>
      <c r="Q317" s="411"/>
      <c r="R317" s="410"/>
    </row>
    <row r="318" spans="2:18" x14ac:dyDescent="0.35">
      <c r="B318" s="151"/>
      <c r="C318" s="143"/>
      <c r="D318" s="143"/>
      <c r="E318" s="411"/>
      <c r="F318" s="411"/>
      <c r="G318" s="411"/>
      <c r="H318" s="411"/>
      <c r="I318" s="411"/>
      <c r="J318" s="411"/>
      <c r="K318" s="411"/>
      <c r="L318" s="411"/>
      <c r="M318" s="411"/>
      <c r="N318" s="411"/>
      <c r="O318" s="411"/>
      <c r="P318" s="411"/>
      <c r="Q318" s="411"/>
      <c r="R318" s="410"/>
    </row>
    <row r="319" spans="2:18" x14ac:dyDescent="0.35">
      <c r="B319" s="151"/>
      <c r="C319" s="143"/>
      <c r="D319" s="143"/>
      <c r="E319" s="411"/>
      <c r="F319" s="411"/>
      <c r="G319" s="411"/>
      <c r="H319" s="411"/>
      <c r="I319" s="411"/>
      <c r="J319" s="411"/>
      <c r="K319" s="411"/>
      <c r="L319" s="411"/>
      <c r="M319" s="411"/>
      <c r="N319" s="411"/>
      <c r="O319" s="411"/>
      <c r="P319" s="411"/>
      <c r="Q319" s="411"/>
      <c r="R319" s="410"/>
    </row>
    <row r="320" spans="2:18" x14ac:dyDescent="0.35">
      <c r="B320" s="151"/>
      <c r="C320" s="143"/>
      <c r="D320" s="143"/>
      <c r="E320" s="411"/>
      <c r="F320" s="411"/>
      <c r="G320" s="411"/>
      <c r="H320" s="411"/>
      <c r="I320" s="411"/>
      <c r="J320" s="411"/>
      <c r="K320" s="411"/>
      <c r="L320" s="411"/>
      <c r="M320" s="411"/>
      <c r="N320" s="411"/>
      <c r="O320" s="411"/>
      <c r="P320" s="411"/>
      <c r="Q320" s="411"/>
      <c r="R320" s="410"/>
    </row>
    <row r="321" spans="2:18" x14ac:dyDescent="0.35">
      <c r="B321" s="151"/>
      <c r="C321" s="143"/>
      <c r="D321" s="143"/>
      <c r="E321" s="411"/>
      <c r="F321" s="411"/>
      <c r="G321" s="411"/>
      <c r="H321" s="411"/>
      <c r="I321" s="411"/>
      <c r="J321" s="411"/>
      <c r="K321" s="411"/>
      <c r="L321" s="411"/>
      <c r="M321" s="411"/>
      <c r="N321" s="411"/>
      <c r="O321" s="411"/>
      <c r="P321" s="411"/>
      <c r="Q321" s="411"/>
      <c r="R321" s="410"/>
    </row>
    <row r="322" spans="2:18" x14ac:dyDescent="0.35">
      <c r="B322" s="151"/>
      <c r="C322" s="143"/>
      <c r="D322" s="143"/>
      <c r="E322" s="411"/>
      <c r="F322" s="411"/>
      <c r="G322" s="411"/>
      <c r="H322" s="411"/>
      <c r="I322" s="411"/>
      <c r="J322" s="411"/>
      <c r="K322" s="411"/>
      <c r="L322" s="411"/>
      <c r="M322" s="411"/>
      <c r="N322" s="411"/>
      <c r="O322" s="411"/>
      <c r="P322" s="411"/>
      <c r="Q322" s="411"/>
      <c r="R322" s="410"/>
    </row>
    <row r="323" spans="2:18" x14ac:dyDescent="0.35">
      <c r="B323" s="151"/>
      <c r="C323" s="143"/>
      <c r="D323" s="143"/>
      <c r="E323" s="411"/>
      <c r="F323" s="411"/>
      <c r="G323" s="411"/>
      <c r="H323" s="411"/>
      <c r="I323" s="411"/>
      <c r="J323" s="411"/>
      <c r="K323" s="411"/>
      <c r="L323" s="411"/>
      <c r="M323" s="411"/>
      <c r="N323" s="411"/>
      <c r="O323" s="411"/>
      <c r="P323" s="411"/>
      <c r="Q323" s="411"/>
      <c r="R323" s="410"/>
    </row>
    <row r="324" spans="2:18" x14ac:dyDescent="0.35">
      <c r="B324" s="151"/>
      <c r="C324" s="143"/>
      <c r="D324" s="143"/>
      <c r="E324" s="411"/>
      <c r="F324" s="411"/>
      <c r="G324" s="411"/>
      <c r="H324" s="411"/>
      <c r="I324" s="411"/>
      <c r="J324" s="411"/>
      <c r="K324" s="411"/>
      <c r="L324" s="411"/>
      <c r="M324" s="411"/>
      <c r="N324" s="411"/>
      <c r="O324" s="411"/>
      <c r="P324" s="411"/>
      <c r="Q324" s="411"/>
      <c r="R324" s="410"/>
    </row>
    <row r="325" spans="2:18" x14ac:dyDescent="0.35">
      <c r="B325" s="151"/>
      <c r="C325" s="143"/>
      <c r="D325" s="143"/>
      <c r="E325" s="411"/>
      <c r="F325" s="411"/>
      <c r="G325" s="411"/>
      <c r="H325" s="411"/>
      <c r="I325" s="411"/>
      <c r="J325" s="411"/>
      <c r="K325" s="411"/>
      <c r="L325" s="411"/>
      <c r="M325" s="411"/>
      <c r="N325" s="411"/>
      <c r="O325" s="411"/>
      <c r="P325" s="411"/>
      <c r="Q325" s="411"/>
      <c r="R325" s="410"/>
    </row>
    <row r="326" spans="2:18" x14ac:dyDescent="0.35">
      <c r="B326" s="151"/>
      <c r="C326" s="143"/>
      <c r="D326" s="143"/>
      <c r="E326" s="411"/>
      <c r="F326" s="411"/>
      <c r="G326" s="411"/>
      <c r="H326" s="411"/>
      <c r="I326" s="411"/>
      <c r="J326" s="411"/>
      <c r="K326" s="411"/>
      <c r="L326" s="411"/>
      <c r="M326" s="411"/>
      <c r="N326" s="411"/>
      <c r="O326" s="411"/>
      <c r="P326" s="411"/>
      <c r="Q326" s="411"/>
      <c r="R326" s="410"/>
    </row>
    <row r="327" spans="2:18" x14ac:dyDescent="0.35">
      <c r="B327" s="151"/>
      <c r="C327" s="143"/>
      <c r="D327" s="143"/>
      <c r="E327" s="411"/>
      <c r="F327" s="411"/>
      <c r="G327" s="411"/>
      <c r="H327" s="411"/>
      <c r="I327" s="411"/>
      <c r="J327" s="411"/>
      <c r="K327" s="411"/>
      <c r="L327" s="411"/>
      <c r="M327" s="411"/>
      <c r="N327" s="411"/>
      <c r="O327" s="411"/>
      <c r="P327" s="411"/>
      <c r="Q327" s="411"/>
      <c r="R327" s="410"/>
    </row>
    <row r="328" spans="2:18" x14ac:dyDescent="0.35">
      <c r="B328" s="151"/>
      <c r="C328" s="143"/>
      <c r="D328" s="143"/>
      <c r="E328" s="411"/>
      <c r="F328" s="411"/>
      <c r="G328" s="411"/>
      <c r="H328" s="411"/>
      <c r="I328" s="411"/>
      <c r="J328" s="411"/>
      <c r="K328" s="411"/>
      <c r="L328" s="411"/>
      <c r="M328" s="411"/>
      <c r="N328" s="411"/>
      <c r="O328" s="411"/>
      <c r="P328" s="411"/>
      <c r="Q328" s="411"/>
      <c r="R328" s="410"/>
    </row>
    <row r="329" spans="2:18" x14ac:dyDescent="0.35">
      <c r="B329" s="151"/>
      <c r="C329" s="143"/>
      <c r="D329" s="143"/>
      <c r="E329" s="411"/>
      <c r="F329" s="411"/>
      <c r="G329" s="411"/>
      <c r="H329" s="411"/>
      <c r="I329" s="411"/>
      <c r="J329" s="411"/>
      <c r="K329" s="411"/>
      <c r="L329" s="411"/>
      <c r="M329" s="411"/>
      <c r="N329" s="411"/>
      <c r="O329" s="411"/>
      <c r="P329" s="411"/>
      <c r="Q329" s="411"/>
      <c r="R329" s="410"/>
    </row>
    <row r="330" spans="2:18" x14ac:dyDescent="0.35">
      <c r="B330" s="151"/>
      <c r="C330" s="143"/>
      <c r="D330" s="143"/>
      <c r="E330" s="411"/>
      <c r="F330" s="411"/>
      <c r="G330" s="411"/>
      <c r="H330" s="411"/>
      <c r="I330" s="411"/>
      <c r="J330" s="411"/>
      <c r="K330" s="411"/>
      <c r="L330" s="411"/>
      <c r="M330" s="411"/>
      <c r="N330" s="411"/>
      <c r="O330" s="411"/>
      <c r="P330" s="411"/>
      <c r="Q330" s="411"/>
      <c r="R330" s="410"/>
    </row>
    <row r="331" spans="2:18" x14ac:dyDescent="0.35">
      <c r="B331" s="151"/>
      <c r="C331" s="143"/>
      <c r="D331" s="143"/>
      <c r="E331" s="411"/>
      <c r="F331" s="411"/>
      <c r="G331" s="411"/>
      <c r="H331" s="411"/>
      <c r="I331" s="411"/>
      <c r="J331" s="411"/>
      <c r="K331" s="411"/>
      <c r="L331" s="411"/>
      <c r="M331" s="411"/>
      <c r="N331" s="411"/>
      <c r="O331" s="411"/>
      <c r="P331" s="411"/>
      <c r="Q331" s="411"/>
      <c r="R331" s="410"/>
    </row>
    <row r="332" spans="2:18" x14ac:dyDescent="0.35">
      <c r="B332" s="151"/>
      <c r="C332" s="143"/>
      <c r="D332" s="143"/>
      <c r="E332" s="411"/>
      <c r="F332" s="411"/>
      <c r="G332" s="411"/>
      <c r="H332" s="411"/>
      <c r="I332" s="411"/>
      <c r="J332" s="411"/>
      <c r="K332" s="411"/>
      <c r="L332" s="411"/>
      <c r="M332" s="411"/>
      <c r="N332" s="411"/>
      <c r="O332" s="411"/>
      <c r="P332" s="411"/>
      <c r="Q332" s="411"/>
      <c r="R332" s="410"/>
    </row>
    <row r="333" spans="2:18" x14ac:dyDescent="0.35">
      <c r="B333" s="151"/>
      <c r="C333" s="143"/>
      <c r="D333" s="143"/>
      <c r="E333" s="411"/>
      <c r="F333" s="411"/>
      <c r="G333" s="411"/>
      <c r="H333" s="411"/>
      <c r="I333" s="411"/>
      <c r="J333" s="411"/>
      <c r="K333" s="411"/>
      <c r="L333" s="411"/>
      <c r="M333" s="411"/>
      <c r="N333" s="411"/>
      <c r="O333" s="411"/>
      <c r="P333" s="411"/>
      <c r="Q333" s="411"/>
      <c r="R333" s="410"/>
    </row>
    <row r="334" spans="2:18" x14ac:dyDescent="0.35">
      <c r="B334" s="151"/>
      <c r="C334" s="143"/>
      <c r="D334" s="143"/>
      <c r="E334" s="411"/>
      <c r="F334" s="411"/>
      <c r="G334" s="411"/>
      <c r="H334" s="411"/>
      <c r="I334" s="411"/>
      <c r="J334" s="411"/>
      <c r="K334" s="411"/>
      <c r="L334" s="411"/>
      <c r="M334" s="411"/>
      <c r="N334" s="411"/>
      <c r="O334" s="411"/>
      <c r="P334" s="411"/>
      <c r="Q334" s="411"/>
      <c r="R334" s="410"/>
    </row>
    <row r="335" spans="2:18" x14ac:dyDescent="0.35">
      <c r="B335" s="151"/>
      <c r="C335" s="143"/>
      <c r="D335" s="143"/>
      <c r="E335" s="411"/>
      <c r="F335" s="411"/>
      <c r="G335" s="411"/>
      <c r="H335" s="411"/>
      <c r="I335" s="411"/>
      <c r="J335" s="411"/>
      <c r="K335" s="411"/>
      <c r="L335" s="411"/>
      <c r="M335" s="411"/>
      <c r="N335" s="411"/>
      <c r="O335" s="411"/>
      <c r="P335" s="411"/>
      <c r="Q335" s="411"/>
      <c r="R335" s="410"/>
    </row>
    <row r="336" spans="2:18" x14ac:dyDescent="0.35">
      <c r="B336" s="151"/>
      <c r="C336" s="143"/>
      <c r="D336" s="143"/>
      <c r="E336" s="411"/>
      <c r="F336" s="411"/>
      <c r="G336" s="411"/>
      <c r="H336" s="411"/>
      <c r="I336" s="411"/>
      <c r="J336" s="411"/>
      <c r="K336" s="411"/>
      <c r="L336" s="411"/>
      <c r="M336" s="411"/>
      <c r="N336" s="411"/>
      <c r="O336" s="411"/>
      <c r="P336" s="411"/>
      <c r="Q336" s="411"/>
      <c r="R336" s="410"/>
    </row>
    <row r="337" spans="2:18" x14ac:dyDescent="0.35">
      <c r="B337" s="151"/>
      <c r="C337" s="143"/>
      <c r="D337" s="143"/>
      <c r="E337" s="411"/>
      <c r="F337" s="411"/>
      <c r="G337" s="411"/>
      <c r="H337" s="411"/>
      <c r="I337" s="411"/>
      <c r="J337" s="411"/>
      <c r="K337" s="411"/>
      <c r="L337" s="411"/>
      <c r="M337" s="411"/>
      <c r="N337" s="411"/>
      <c r="O337" s="411"/>
      <c r="P337" s="411"/>
      <c r="Q337" s="411"/>
      <c r="R337" s="410"/>
    </row>
    <row r="338" spans="2:18" x14ac:dyDescent="0.35">
      <c r="B338" s="151"/>
      <c r="C338" s="143"/>
      <c r="D338" s="143"/>
      <c r="E338" s="411"/>
      <c r="F338" s="411"/>
      <c r="G338" s="411"/>
      <c r="H338" s="411"/>
      <c r="I338" s="411"/>
      <c r="J338" s="411"/>
      <c r="K338" s="411"/>
      <c r="L338" s="411"/>
      <c r="M338" s="411"/>
      <c r="N338" s="411"/>
      <c r="O338" s="411"/>
      <c r="P338" s="411"/>
      <c r="Q338" s="411"/>
      <c r="R338" s="410"/>
    </row>
    <row r="339" spans="2:18" x14ac:dyDescent="0.35">
      <c r="B339" s="151"/>
      <c r="C339" s="143"/>
      <c r="D339" s="143"/>
      <c r="E339" s="411"/>
      <c r="F339" s="411"/>
      <c r="G339" s="411"/>
      <c r="H339" s="411"/>
      <c r="I339" s="411"/>
      <c r="J339" s="411"/>
      <c r="K339" s="411"/>
      <c r="L339" s="411"/>
      <c r="M339" s="411"/>
      <c r="N339" s="411"/>
      <c r="O339" s="411"/>
      <c r="P339" s="411"/>
      <c r="Q339" s="411"/>
      <c r="R339" s="410"/>
    </row>
    <row r="340" spans="2:18" x14ac:dyDescent="0.35">
      <c r="B340" s="151"/>
      <c r="C340" s="143"/>
      <c r="D340" s="143"/>
      <c r="E340" s="411"/>
      <c r="F340" s="411"/>
      <c r="G340" s="411"/>
      <c r="H340" s="411"/>
      <c r="I340" s="411"/>
      <c r="J340" s="411"/>
      <c r="K340" s="411"/>
      <c r="L340" s="411"/>
      <c r="M340" s="411"/>
      <c r="N340" s="411"/>
      <c r="O340" s="411"/>
      <c r="P340" s="411"/>
      <c r="Q340" s="411"/>
      <c r="R340" s="410"/>
    </row>
    <row r="341" spans="2:18" x14ac:dyDescent="0.35">
      <c r="B341" s="151"/>
      <c r="C341" s="143"/>
      <c r="D341" s="143"/>
      <c r="E341" s="411"/>
      <c r="F341" s="411"/>
      <c r="G341" s="411"/>
      <c r="H341" s="411"/>
      <c r="I341" s="411"/>
      <c r="J341" s="411"/>
      <c r="K341" s="411"/>
      <c r="L341" s="411"/>
      <c r="M341" s="411"/>
      <c r="N341" s="411"/>
      <c r="O341" s="411"/>
      <c r="P341" s="411"/>
      <c r="Q341" s="411"/>
      <c r="R341" s="410"/>
    </row>
    <row r="342" spans="2:18" x14ac:dyDescent="0.35">
      <c r="B342" s="151"/>
      <c r="C342" s="143"/>
      <c r="D342" s="143"/>
      <c r="E342" s="411"/>
      <c r="F342" s="411"/>
      <c r="G342" s="411"/>
      <c r="H342" s="411"/>
      <c r="I342" s="411"/>
      <c r="J342" s="411"/>
      <c r="K342" s="411"/>
      <c r="L342" s="411"/>
      <c r="M342" s="411"/>
      <c r="N342" s="411"/>
      <c r="O342" s="411"/>
      <c r="P342" s="411"/>
      <c r="Q342" s="411"/>
      <c r="R342" s="410"/>
    </row>
    <row r="343" spans="2:18" x14ac:dyDescent="0.35">
      <c r="B343" s="151"/>
      <c r="C343" s="143"/>
      <c r="D343" s="143"/>
      <c r="E343" s="411"/>
      <c r="F343" s="411"/>
      <c r="G343" s="411"/>
      <c r="H343" s="411"/>
      <c r="I343" s="411"/>
      <c r="J343" s="411"/>
      <c r="K343" s="411"/>
      <c r="L343" s="411"/>
      <c r="M343" s="411"/>
      <c r="N343" s="411"/>
      <c r="O343" s="411"/>
      <c r="P343" s="411"/>
      <c r="Q343" s="411"/>
      <c r="R343" s="410"/>
    </row>
    <row r="344" spans="2:18" x14ac:dyDescent="0.35">
      <c r="B344" s="151"/>
      <c r="C344" s="143"/>
      <c r="D344" s="143"/>
      <c r="E344" s="411"/>
      <c r="F344" s="411"/>
      <c r="G344" s="411"/>
      <c r="H344" s="411"/>
      <c r="I344" s="411"/>
      <c r="J344" s="411"/>
      <c r="K344" s="411"/>
      <c r="L344" s="411"/>
      <c r="M344" s="411"/>
      <c r="N344" s="411"/>
      <c r="O344" s="411"/>
      <c r="P344" s="411"/>
      <c r="Q344" s="411"/>
      <c r="R344" s="410"/>
    </row>
    <row r="345" spans="2:18" x14ac:dyDescent="0.35">
      <c r="B345" s="151"/>
      <c r="C345" s="143"/>
      <c r="D345" s="143"/>
      <c r="E345" s="411"/>
      <c r="F345" s="411"/>
      <c r="G345" s="411"/>
      <c r="H345" s="411"/>
      <c r="I345" s="411"/>
      <c r="J345" s="411"/>
      <c r="K345" s="411"/>
      <c r="L345" s="411"/>
      <c r="M345" s="411"/>
      <c r="N345" s="411"/>
      <c r="O345" s="411"/>
      <c r="P345" s="411"/>
      <c r="Q345" s="411"/>
      <c r="R345" s="410"/>
    </row>
    <row r="346" spans="2:18" x14ac:dyDescent="0.35">
      <c r="B346" s="151"/>
      <c r="C346" s="143"/>
      <c r="D346" s="143"/>
      <c r="E346" s="411"/>
      <c r="F346" s="411"/>
      <c r="G346" s="411"/>
      <c r="H346" s="411"/>
      <c r="I346" s="411"/>
      <c r="J346" s="411"/>
      <c r="K346" s="411"/>
      <c r="L346" s="411"/>
      <c r="M346" s="411"/>
      <c r="N346" s="411"/>
      <c r="O346" s="411"/>
      <c r="P346" s="411"/>
      <c r="Q346" s="411"/>
      <c r="R346" s="410"/>
    </row>
    <row r="347" spans="2:18" x14ac:dyDescent="0.35">
      <c r="B347" s="151"/>
      <c r="C347" s="143"/>
      <c r="D347" s="143"/>
      <c r="E347" s="411"/>
      <c r="F347" s="411"/>
      <c r="G347" s="411"/>
      <c r="H347" s="411"/>
      <c r="I347" s="411"/>
      <c r="J347" s="411"/>
      <c r="K347" s="411"/>
      <c r="L347" s="411"/>
      <c r="M347" s="411"/>
      <c r="N347" s="411"/>
      <c r="O347" s="411"/>
      <c r="P347" s="411"/>
      <c r="Q347" s="411"/>
      <c r="R347" s="410"/>
    </row>
    <row r="348" spans="2:18" x14ac:dyDescent="0.35">
      <c r="B348" s="151"/>
      <c r="C348" s="143"/>
      <c r="D348" s="143"/>
      <c r="E348" s="411"/>
      <c r="F348" s="411"/>
      <c r="G348" s="411"/>
      <c r="H348" s="411"/>
      <c r="I348" s="411"/>
      <c r="J348" s="411"/>
      <c r="K348" s="411"/>
      <c r="L348" s="411"/>
      <c r="M348" s="411"/>
      <c r="N348" s="411"/>
      <c r="O348" s="411"/>
      <c r="P348" s="411"/>
      <c r="Q348" s="411"/>
      <c r="R348" s="410"/>
    </row>
    <row r="349" spans="2:18" x14ac:dyDescent="0.35">
      <c r="B349" s="151"/>
      <c r="C349" s="143"/>
      <c r="D349" s="143"/>
      <c r="E349" s="411"/>
      <c r="F349" s="411"/>
      <c r="G349" s="411"/>
      <c r="H349" s="411"/>
      <c r="I349" s="411"/>
      <c r="J349" s="411"/>
      <c r="K349" s="411"/>
      <c r="L349" s="411"/>
      <c r="M349" s="411"/>
      <c r="N349" s="411"/>
      <c r="O349" s="411"/>
      <c r="P349" s="411"/>
      <c r="Q349" s="411"/>
      <c r="R349" s="410"/>
    </row>
    <row r="350" spans="2:18" x14ac:dyDescent="0.35">
      <c r="B350" s="151"/>
      <c r="C350" s="143"/>
      <c r="D350" s="143"/>
      <c r="E350" s="411"/>
      <c r="F350" s="411"/>
      <c r="G350" s="411"/>
      <c r="H350" s="411"/>
      <c r="I350" s="411"/>
      <c r="J350" s="411"/>
      <c r="K350" s="411"/>
      <c r="L350" s="411"/>
      <c r="M350" s="411"/>
      <c r="N350" s="411"/>
      <c r="O350" s="411"/>
      <c r="P350" s="411"/>
      <c r="Q350" s="411"/>
      <c r="R350" s="410"/>
    </row>
    <row r="351" spans="2:18" x14ac:dyDescent="0.35">
      <c r="B351" s="151"/>
      <c r="C351" s="143"/>
      <c r="D351" s="143"/>
      <c r="E351" s="411"/>
      <c r="F351" s="411"/>
      <c r="G351" s="411"/>
      <c r="H351" s="411"/>
      <c r="I351" s="411"/>
      <c r="J351" s="411"/>
      <c r="K351" s="411"/>
      <c r="L351" s="411"/>
      <c r="M351" s="411"/>
      <c r="N351" s="411"/>
      <c r="O351" s="411"/>
      <c r="P351" s="411"/>
      <c r="Q351" s="411"/>
      <c r="R351" s="410"/>
    </row>
    <row r="352" spans="2:18" x14ac:dyDescent="0.35">
      <c r="B352" s="151"/>
      <c r="C352" s="143"/>
      <c r="D352" s="143"/>
      <c r="E352" s="411"/>
      <c r="F352" s="411"/>
      <c r="G352" s="411"/>
      <c r="H352" s="411"/>
      <c r="I352" s="411"/>
      <c r="J352" s="411"/>
      <c r="K352" s="411"/>
      <c r="L352" s="411"/>
      <c r="M352" s="411"/>
      <c r="N352" s="411"/>
      <c r="O352" s="411"/>
      <c r="P352" s="411"/>
      <c r="Q352" s="411"/>
      <c r="R352" s="410"/>
    </row>
    <row r="353" spans="2:18" x14ac:dyDescent="0.35">
      <c r="B353" s="151"/>
      <c r="C353" s="143"/>
      <c r="D353" s="143"/>
      <c r="E353" s="411"/>
      <c r="F353" s="411"/>
      <c r="G353" s="411"/>
      <c r="H353" s="411"/>
      <c r="I353" s="411"/>
      <c r="J353" s="411"/>
      <c r="K353" s="411"/>
      <c r="L353" s="411"/>
      <c r="M353" s="411"/>
      <c r="N353" s="411"/>
      <c r="O353" s="411"/>
      <c r="P353" s="411"/>
      <c r="Q353" s="411"/>
      <c r="R353" s="410"/>
    </row>
    <row r="354" spans="2:18" x14ac:dyDescent="0.35">
      <c r="B354" s="151"/>
      <c r="C354" s="143"/>
      <c r="D354" s="143"/>
      <c r="E354" s="411"/>
      <c r="F354" s="411"/>
      <c r="G354" s="411"/>
      <c r="H354" s="411"/>
      <c r="I354" s="411"/>
      <c r="J354" s="411"/>
      <c r="K354" s="411"/>
      <c r="L354" s="411"/>
      <c r="M354" s="411"/>
      <c r="N354" s="411"/>
      <c r="O354" s="411"/>
      <c r="P354" s="411"/>
      <c r="Q354" s="411"/>
      <c r="R354" s="410"/>
    </row>
    <row r="355" spans="2:18" x14ac:dyDescent="0.35">
      <c r="B355" s="151"/>
      <c r="C355" s="143"/>
      <c r="D355" s="143"/>
      <c r="E355" s="411"/>
      <c r="F355" s="411"/>
      <c r="G355" s="411"/>
      <c r="H355" s="411"/>
      <c r="I355" s="411"/>
      <c r="J355" s="411"/>
      <c r="K355" s="411"/>
      <c r="L355" s="411"/>
      <c r="M355" s="411"/>
      <c r="N355" s="411"/>
      <c r="O355" s="411"/>
      <c r="P355" s="411"/>
      <c r="Q355" s="411"/>
      <c r="R355" s="410"/>
    </row>
    <row r="356" spans="2:18" x14ac:dyDescent="0.35">
      <c r="B356" s="151"/>
      <c r="C356" s="143"/>
      <c r="D356" s="143"/>
      <c r="E356" s="411"/>
      <c r="F356" s="411"/>
      <c r="G356" s="411"/>
      <c r="H356" s="411"/>
      <c r="I356" s="411"/>
      <c r="J356" s="411"/>
      <c r="K356" s="411"/>
      <c r="L356" s="411"/>
      <c r="M356" s="411"/>
      <c r="N356" s="411"/>
      <c r="O356" s="411"/>
      <c r="P356" s="411"/>
      <c r="Q356" s="411"/>
      <c r="R356" s="410"/>
    </row>
    <row r="357" spans="2:18" x14ac:dyDescent="0.35">
      <c r="B357" s="151"/>
      <c r="C357" s="143"/>
      <c r="D357" s="143"/>
      <c r="E357" s="411"/>
      <c r="F357" s="411"/>
      <c r="G357" s="411"/>
      <c r="H357" s="411"/>
      <c r="I357" s="411"/>
      <c r="J357" s="411"/>
      <c r="K357" s="411"/>
      <c r="L357" s="411"/>
      <c r="M357" s="411"/>
      <c r="N357" s="411"/>
      <c r="O357" s="411"/>
      <c r="P357" s="411"/>
      <c r="Q357" s="411"/>
      <c r="R357" s="410"/>
    </row>
    <row r="358" spans="2:18" x14ac:dyDescent="0.35">
      <c r="B358" s="151"/>
      <c r="C358" s="143"/>
      <c r="D358" s="143"/>
      <c r="E358" s="411"/>
      <c r="F358" s="411"/>
      <c r="G358" s="411"/>
      <c r="H358" s="411"/>
      <c r="I358" s="411"/>
      <c r="J358" s="411"/>
      <c r="K358" s="411"/>
      <c r="L358" s="411"/>
      <c r="M358" s="411"/>
      <c r="N358" s="411"/>
      <c r="O358" s="411"/>
      <c r="P358" s="411"/>
      <c r="Q358" s="411"/>
      <c r="R358" s="410"/>
    </row>
    <row r="359" spans="2:18" x14ac:dyDescent="0.35">
      <c r="B359" s="151"/>
      <c r="C359" s="143"/>
      <c r="D359" s="143"/>
      <c r="E359" s="411"/>
      <c r="F359" s="411"/>
      <c r="G359" s="411"/>
      <c r="H359" s="411"/>
      <c r="I359" s="411"/>
      <c r="J359" s="411"/>
      <c r="K359" s="411"/>
      <c r="L359" s="411"/>
      <c r="M359" s="411"/>
      <c r="N359" s="411"/>
      <c r="O359" s="411"/>
      <c r="P359" s="411"/>
      <c r="Q359" s="411"/>
      <c r="R359" s="410"/>
    </row>
    <row r="360" spans="2:18" x14ac:dyDescent="0.35">
      <c r="B360" s="151"/>
      <c r="C360" s="143"/>
      <c r="D360" s="143"/>
      <c r="E360" s="411"/>
      <c r="F360" s="411"/>
      <c r="G360" s="411"/>
      <c r="H360" s="411"/>
      <c r="I360" s="411"/>
      <c r="J360" s="411"/>
      <c r="K360" s="411"/>
      <c r="L360" s="411"/>
      <c r="M360" s="411"/>
      <c r="N360" s="411"/>
      <c r="O360" s="411"/>
      <c r="P360" s="411"/>
      <c r="Q360" s="411"/>
      <c r="R360" s="410"/>
    </row>
    <row r="361" spans="2:18" x14ac:dyDescent="0.35">
      <c r="B361" s="151"/>
      <c r="C361" s="143"/>
      <c r="D361" s="143"/>
      <c r="E361" s="411"/>
      <c r="F361" s="411"/>
      <c r="G361" s="411"/>
      <c r="H361" s="411"/>
      <c r="I361" s="411"/>
      <c r="J361" s="411"/>
      <c r="K361" s="411"/>
      <c r="L361" s="411"/>
      <c r="M361" s="411"/>
      <c r="N361" s="411"/>
      <c r="O361" s="411"/>
      <c r="P361" s="411"/>
      <c r="Q361" s="411"/>
      <c r="R361" s="410"/>
    </row>
    <row r="362" spans="2:18" x14ac:dyDescent="0.35">
      <c r="B362" s="151"/>
      <c r="C362" s="143"/>
      <c r="D362" s="143"/>
      <c r="E362" s="411"/>
      <c r="F362" s="411"/>
      <c r="G362" s="411"/>
      <c r="H362" s="411"/>
      <c r="I362" s="411"/>
      <c r="J362" s="411"/>
      <c r="K362" s="411"/>
      <c r="L362" s="411"/>
      <c r="M362" s="411"/>
      <c r="N362" s="411"/>
      <c r="O362" s="411"/>
      <c r="P362" s="411"/>
      <c r="Q362" s="411"/>
      <c r="R362" s="410"/>
    </row>
    <row r="363" spans="2:18" x14ac:dyDescent="0.35">
      <c r="B363" s="151"/>
      <c r="C363" s="143"/>
      <c r="D363" s="143"/>
      <c r="E363" s="411"/>
      <c r="F363" s="411"/>
      <c r="G363" s="411"/>
      <c r="H363" s="411"/>
      <c r="I363" s="411"/>
      <c r="J363" s="411"/>
      <c r="K363" s="411"/>
      <c r="L363" s="411"/>
      <c r="M363" s="411"/>
      <c r="N363" s="411"/>
      <c r="O363" s="411"/>
      <c r="P363" s="411"/>
      <c r="Q363" s="411"/>
      <c r="R363" s="410"/>
    </row>
    <row r="364" spans="2:18" x14ac:dyDescent="0.35">
      <c r="B364" s="151"/>
      <c r="C364" s="143"/>
      <c r="D364" s="143"/>
      <c r="E364" s="411"/>
      <c r="F364" s="411"/>
      <c r="G364" s="411"/>
      <c r="H364" s="411"/>
      <c r="I364" s="411"/>
      <c r="J364" s="411"/>
      <c r="K364" s="411"/>
      <c r="L364" s="411"/>
      <c r="M364" s="411"/>
      <c r="N364" s="411"/>
      <c r="O364" s="411"/>
      <c r="P364" s="411"/>
      <c r="Q364" s="411"/>
      <c r="R364" s="410"/>
    </row>
    <row r="365" spans="2:18" x14ac:dyDescent="0.35">
      <c r="B365" s="151"/>
      <c r="C365" s="143"/>
      <c r="D365" s="143"/>
      <c r="E365" s="411"/>
      <c r="F365" s="411"/>
      <c r="G365" s="411"/>
      <c r="H365" s="411"/>
      <c r="I365" s="411"/>
      <c r="J365" s="411"/>
      <c r="K365" s="411"/>
      <c r="L365" s="411"/>
      <c r="M365" s="411"/>
      <c r="N365" s="411"/>
      <c r="O365" s="411"/>
      <c r="P365" s="411"/>
      <c r="Q365" s="411"/>
      <c r="R365" s="410"/>
    </row>
    <row r="366" spans="2:18" x14ac:dyDescent="0.35">
      <c r="B366" s="151"/>
      <c r="C366" s="143"/>
      <c r="D366" s="143"/>
      <c r="E366" s="411"/>
      <c r="F366" s="411"/>
      <c r="G366" s="411"/>
      <c r="H366" s="411"/>
      <c r="I366" s="411"/>
      <c r="J366" s="411"/>
      <c r="K366" s="411"/>
      <c r="L366" s="411"/>
      <c r="M366" s="411"/>
      <c r="N366" s="411"/>
      <c r="O366" s="411"/>
      <c r="P366" s="411"/>
      <c r="Q366" s="411"/>
      <c r="R366" s="410"/>
    </row>
    <row r="367" spans="2:18" x14ac:dyDescent="0.35">
      <c r="B367" s="151"/>
      <c r="C367" s="143"/>
      <c r="D367" s="143"/>
      <c r="E367" s="411"/>
      <c r="F367" s="411"/>
      <c r="G367" s="411"/>
      <c r="H367" s="411"/>
      <c r="I367" s="411"/>
      <c r="J367" s="411"/>
      <c r="K367" s="411"/>
      <c r="L367" s="411"/>
      <c r="M367" s="411"/>
      <c r="N367" s="411"/>
      <c r="O367" s="411"/>
      <c r="P367" s="411"/>
      <c r="Q367" s="411"/>
      <c r="R367" s="410"/>
    </row>
    <row r="368" spans="2:18" x14ac:dyDescent="0.35">
      <c r="B368" s="151"/>
      <c r="C368" s="143"/>
      <c r="D368" s="143"/>
      <c r="E368" s="411"/>
      <c r="F368" s="411"/>
      <c r="G368" s="411"/>
      <c r="H368" s="411"/>
      <c r="I368" s="411"/>
      <c r="J368" s="411"/>
      <c r="K368" s="411"/>
      <c r="L368" s="411"/>
      <c r="M368" s="411"/>
      <c r="N368" s="411"/>
      <c r="O368" s="411"/>
      <c r="P368" s="411"/>
      <c r="Q368" s="411"/>
      <c r="R368" s="410"/>
    </row>
    <row r="369" spans="2:18" x14ac:dyDescent="0.35">
      <c r="B369" s="151"/>
      <c r="C369" s="143"/>
      <c r="D369" s="143"/>
      <c r="E369" s="411"/>
      <c r="F369" s="411"/>
      <c r="G369" s="411"/>
      <c r="H369" s="411"/>
      <c r="I369" s="411"/>
      <c r="J369" s="411"/>
      <c r="K369" s="411"/>
      <c r="L369" s="411"/>
      <c r="M369" s="411"/>
      <c r="N369" s="411"/>
      <c r="O369" s="411"/>
      <c r="P369" s="411"/>
      <c r="Q369" s="411"/>
      <c r="R369" s="410"/>
    </row>
    <row r="370" spans="2:18" x14ac:dyDescent="0.35">
      <c r="B370" s="151"/>
      <c r="C370" s="143"/>
      <c r="D370" s="143"/>
      <c r="E370" s="411"/>
      <c r="F370" s="411"/>
      <c r="G370" s="411"/>
      <c r="H370" s="411"/>
      <c r="I370" s="411"/>
      <c r="J370" s="411"/>
      <c r="K370" s="411"/>
      <c r="L370" s="411"/>
      <c r="M370" s="411"/>
      <c r="N370" s="411"/>
      <c r="O370" s="411"/>
      <c r="P370" s="411"/>
      <c r="Q370" s="411"/>
      <c r="R370" s="410"/>
    </row>
    <row r="371" spans="2:18" x14ac:dyDescent="0.35">
      <c r="B371" s="151"/>
      <c r="C371" s="143"/>
      <c r="D371" s="143"/>
      <c r="E371" s="411"/>
      <c r="F371" s="411"/>
      <c r="G371" s="411"/>
      <c r="H371" s="411"/>
      <c r="I371" s="411"/>
      <c r="J371" s="411"/>
      <c r="K371" s="411"/>
      <c r="L371" s="411"/>
      <c r="M371" s="411"/>
      <c r="N371" s="411"/>
      <c r="O371" s="411"/>
      <c r="P371" s="411"/>
      <c r="Q371" s="411"/>
      <c r="R371" s="410"/>
    </row>
    <row r="372" spans="2:18" x14ac:dyDescent="0.35">
      <c r="B372" s="151"/>
      <c r="C372" s="143"/>
      <c r="D372" s="143"/>
      <c r="E372" s="411"/>
      <c r="F372" s="411"/>
      <c r="G372" s="411"/>
      <c r="H372" s="411"/>
      <c r="I372" s="411"/>
      <c r="J372" s="411"/>
      <c r="K372" s="411"/>
      <c r="L372" s="411"/>
      <c r="M372" s="411"/>
      <c r="N372" s="411"/>
      <c r="O372" s="411"/>
      <c r="P372" s="411"/>
      <c r="Q372" s="411"/>
      <c r="R372" s="410"/>
    </row>
    <row r="373" spans="2:18" x14ac:dyDescent="0.35">
      <c r="B373" s="151"/>
      <c r="C373" s="143"/>
      <c r="D373" s="143"/>
      <c r="E373" s="411"/>
      <c r="F373" s="411"/>
      <c r="G373" s="411"/>
      <c r="H373" s="411"/>
      <c r="I373" s="411"/>
      <c r="J373" s="411"/>
      <c r="K373" s="411"/>
      <c r="L373" s="411"/>
      <c r="M373" s="411"/>
      <c r="N373" s="411"/>
      <c r="O373" s="411"/>
      <c r="P373" s="411"/>
      <c r="Q373" s="411"/>
      <c r="R373" s="410"/>
    </row>
    <row r="374" spans="2:18" x14ac:dyDescent="0.35">
      <c r="B374" s="151"/>
      <c r="C374" s="143"/>
      <c r="D374" s="143"/>
      <c r="E374" s="411"/>
      <c r="F374" s="411"/>
      <c r="G374" s="411"/>
      <c r="H374" s="411"/>
      <c r="I374" s="411"/>
      <c r="J374" s="411"/>
      <c r="K374" s="411"/>
      <c r="L374" s="411"/>
      <c r="M374" s="411"/>
      <c r="N374" s="411"/>
      <c r="O374" s="411"/>
      <c r="P374" s="411"/>
      <c r="Q374" s="411"/>
      <c r="R374" s="410"/>
    </row>
    <row r="375" spans="2:18" x14ac:dyDescent="0.35">
      <c r="B375" s="151"/>
      <c r="C375" s="143"/>
      <c r="D375" s="143"/>
      <c r="E375" s="411"/>
      <c r="F375" s="411"/>
      <c r="G375" s="411"/>
      <c r="H375" s="411"/>
      <c r="I375" s="411"/>
      <c r="J375" s="411"/>
      <c r="K375" s="411"/>
      <c r="L375" s="411"/>
      <c r="M375" s="411"/>
      <c r="N375" s="411"/>
      <c r="O375" s="411"/>
      <c r="P375" s="411"/>
      <c r="Q375" s="411"/>
      <c r="R375" s="410"/>
    </row>
    <row r="376" spans="2:18" x14ac:dyDescent="0.35">
      <c r="B376" s="151"/>
      <c r="C376" s="143"/>
      <c r="D376" s="143"/>
      <c r="E376" s="411"/>
      <c r="F376" s="411"/>
      <c r="G376" s="411"/>
      <c r="H376" s="411"/>
      <c r="I376" s="411"/>
      <c r="J376" s="411"/>
      <c r="K376" s="411"/>
      <c r="L376" s="411"/>
      <c r="M376" s="411"/>
      <c r="N376" s="411"/>
      <c r="O376" s="411"/>
      <c r="P376" s="411"/>
      <c r="Q376" s="411"/>
      <c r="R376" s="410"/>
    </row>
    <row r="377" spans="2:18" x14ac:dyDescent="0.35">
      <c r="B377" s="151"/>
      <c r="C377" s="143"/>
      <c r="D377" s="143"/>
      <c r="E377" s="411"/>
      <c r="F377" s="411"/>
      <c r="G377" s="411"/>
      <c r="H377" s="411"/>
      <c r="I377" s="411"/>
      <c r="J377" s="411"/>
      <c r="K377" s="411"/>
      <c r="L377" s="411"/>
      <c r="M377" s="411"/>
      <c r="N377" s="411"/>
      <c r="O377" s="411"/>
      <c r="P377" s="411"/>
      <c r="Q377" s="411"/>
      <c r="R377" s="410"/>
    </row>
    <row r="378" spans="2:18" x14ac:dyDescent="0.35">
      <c r="B378" s="151"/>
      <c r="C378" s="143"/>
      <c r="D378" s="143"/>
      <c r="E378" s="411"/>
      <c r="F378" s="411"/>
      <c r="G378" s="411"/>
      <c r="H378" s="411"/>
      <c r="I378" s="411"/>
      <c r="J378" s="411"/>
      <c r="K378" s="411"/>
      <c r="L378" s="411"/>
      <c r="M378" s="411"/>
      <c r="N378" s="411"/>
      <c r="O378" s="411"/>
      <c r="P378" s="411"/>
      <c r="Q378" s="411"/>
      <c r="R378" s="410"/>
    </row>
    <row r="379" spans="2:18" x14ac:dyDescent="0.35">
      <c r="B379" s="151"/>
      <c r="C379" s="143"/>
      <c r="D379" s="143"/>
      <c r="E379" s="411"/>
      <c r="F379" s="411"/>
      <c r="G379" s="411"/>
      <c r="H379" s="411"/>
      <c r="I379" s="411"/>
      <c r="J379" s="411"/>
      <c r="K379" s="411"/>
      <c r="L379" s="411"/>
      <c r="M379" s="411"/>
      <c r="N379" s="411"/>
      <c r="O379" s="411"/>
      <c r="P379" s="411"/>
      <c r="Q379" s="411"/>
      <c r="R379" s="410"/>
    </row>
    <row r="380" spans="2:18" x14ac:dyDescent="0.35">
      <c r="B380" s="151"/>
      <c r="C380" s="143"/>
      <c r="D380" s="143"/>
      <c r="E380" s="411"/>
      <c r="F380" s="411"/>
      <c r="G380" s="411"/>
      <c r="H380" s="411"/>
      <c r="I380" s="411"/>
      <c r="J380" s="411"/>
      <c r="K380" s="411"/>
      <c r="L380" s="411"/>
      <c r="M380" s="411"/>
      <c r="N380" s="411"/>
      <c r="O380" s="411"/>
      <c r="P380" s="411"/>
      <c r="Q380" s="411"/>
      <c r="R380" s="410"/>
    </row>
    <row r="381" spans="2:18" x14ac:dyDescent="0.35">
      <c r="B381" s="151"/>
      <c r="C381" s="143"/>
      <c r="D381" s="143"/>
      <c r="E381" s="411"/>
      <c r="F381" s="411"/>
      <c r="G381" s="411"/>
      <c r="H381" s="411"/>
      <c r="I381" s="411"/>
      <c r="J381" s="411"/>
      <c r="K381" s="411"/>
      <c r="L381" s="411"/>
      <c r="M381" s="411"/>
      <c r="N381" s="411"/>
      <c r="O381" s="411"/>
      <c r="P381" s="411"/>
      <c r="Q381" s="411"/>
      <c r="R381" s="410"/>
    </row>
    <row r="382" spans="2:18" x14ac:dyDescent="0.35">
      <c r="B382" s="151"/>
      <c r="C382" s="143"/>
      <c r="D382" s="143"/>
      <c r="E382" s="411"/>
      <c r="F382" s="411"/>
      <c r="G382" s="411"/>
      <c r="H382" s="411"/>
      <c r="I382" s="411"/>
      <c r="J382" s="411"/>
      <c r="K382" s="411"/>
      <c r="L382" s="411"/>
      <c r="M382" s="411"/>
      <c r="N382" s="411"/>
      <c r="O382" s="411"/>
      <c r="P382" s="411"/>
      <c r="Q382" s="411"/>
      <c r="R382" s="410"/>
    </row>
    <row r="383" spans="2:18" x14ac:dyDescent="0.35">
      <c r="B383" s="151"/>
      <c r="C383" s="143"/>
      <c r="D383" s="143"/>
      <c r="E383" s="411"/>
      <c r="F383" s="411"/>
      <c r="G383" s="411"/>
      <c r="H383" s="411"/>
      <c r="I383" s="411"/>
      <c r="J383" s="411"/>
      <c r="K383" s="411"/>
      <c r="L383" s="411"/>
      <c r="M383" s="411"/>
      <c r="N383" s="411"/>
      <c r="O383" s="411"/>
      <c r="P383" s="411"/>
      <c r="Q383" s="411"/>
      <c r="R383" s="410"/>
    </row>
    <row r="384" spans="2:18" x14ac:dyDescent="0.35">
      <c r="B384" s="151"/>
      <c r="C384" s="143"/>
      <c r="D384" s="143"/>
      <c r="E384" s="411"/>
      <c r="F384" s="411"/>
      <c r="G384" s="411"/>
      <c r="H384" s="411"/>
      <c r="I384" s="411"/>
      <c r="J384" s="411"/>
      <c r="K384" s="411"/>
      <c r="L384" s="411"/>
      <c r="M384" s="411"/>
      <c r="N384" s="411"/>
      <c r="O384" s="411"/>
      <c r="P384" s="411"/>
      <c r="Q384" s="411"/>
      <c r="R384" s="410"/>
    </row>
    <row r="385" spans="2:18" x14ac:dyDescent="0.35">
      <c r="B385" s="151"/>
      <c r="C385" s="143"/>
      <c r="D385" s="143"/>
      <c r="E385" s="411"/>
      <c r="F385" s="411"/>
      <c r="G385" s="411"/>
      <c r="H385" s="411"/>
      <c r="I385" s="411"/>
      <c r="J385" s="411"/>
      <c r="K385" s="411"/>
      <c r="L385" s="411"/>
      <c r="M385" s="411"/>
      <c r="N385" s="411"/>
      <c r="O385" s="411"/>
      <c r="P385" s="411"/>
      <c r="Q385" s="411"/>
      <c r="R385" s="410"/>
    </row>
    <row r="386" spans="2:18" x14ac:dyDescent="0.35">
      <c r="B386" s="151"/>
      <c r="C386" s="143"/>
      <c r="D386" s="143"/>
      <c r="E386" s="411"/>
      <c r="F386" s="411"/>
      <c r="G386" s="411"/>
      <c r="H386" s="411"/>
      <c r="I386" s="411"/>
      <c r="J386" s="411"/>
      <c r="K386" s="411"/>
      <c r="L386" s="411"/>
      <c r="M386" s="411"/>
      <c r="N386" s="411"/>
      <c r="O386" s="411"/>
      <c r="P386" s="411"/>
      <c r="Q386" s="411"/>
      <c r="R386" s="410"/>
    </row>
    <row r="387" spans="2:18" x14ac:dyDescent="0.35">
      <c r="B387" s="151"/>
      <c r="C387" s="143"/>
      <c r="D387" s="143"/>
      <c r="E387" s="411"/>
      <c r="F387" s="411"/>
      <c r="G387" s="411"/>
      <c r="H387" s="411"/>
      <c r="I387" s="411"/>
      <c r="J387" s="411"/>
      <c r="K387" s="411"/>
      <c r="L387" s="411"/>
      <c r="M387" s="411"/>
      <c r="N387" s="411"/>
      <c r="O387" s="411"/>
      <c r="P387" s="411"/>
      <c r="Q387" s="411"/>
      <c r="R387" s="410"/>
    </row>
    <row r="388" spans="2:18" x14ac:dyDescent="0.35">
      <c r="B388" s="151"/>
      <c r="C388" s="143"/>
      <c r="D388" s="143"/>
      <c r="E388" s="411"/>
      <c r="F388" s="411"/>
      <c r="G388" s="411"/>
      <c r="H388" s="411"/>
      <c r="I388" s="411"/>
      <c r="J388" s="411"/>
      <c r="K388" s="411"/>
      <c r="L388" s="411"/>
      <c r="M388" s="411"/>
      <c r="N388" s="411"/>
      <c r="O388" s="411"/>
      <c r="P388" s="411"/>
      <c r="Q388" s="411"/>
      <c r="R388" s="410"/>
    </row>
    <row r="389" spans="2:18" x14ac:dyDescent="0.35">
      <c r="B389" s="151"/>
      <c r="C389" s="143"/>
      <c r="D389" s="143"/>
      <c r="E389" s="411"/>
      <c r="F389" s="411"/>
      <c r="G389" s="411"/>
      <c r="H389" s="411"/>
      <c r="I389" s="411"/>
      <c r="J389" s="411"/>
      <c r="K389" s="411"/>
      <c r="L389" s="411"/>
      <c r="M389" s="411"/>
      <c r="N389" s="411"/>
      <c r="O389" s="411"/>
      <c r="P389" s="411"/>
      <c r="Q389" s="411"/>
      <c r="R389" s="410"/>
    </row>
    <row r="390" spans="2:18" x14ac:dyDescent="0.35">
      <c r="B390" s="151"/>
      <c r="C390" s="143"/>
      <c r="D390" s="143"/>
      <c r="E390" s="411"/>
      <c r="F390" s="411"/>
      <c r="G390" s="411"/>
      <c r="H390" s="411"/>
      <c r="I390" s="411"/>
      <c r="J390" s="411"/>
      <c r="K390" s="411"/>
      <c r="L390" s="411"/>
      <c r="M390" s="411"/>
      <c r="N390" s="411"/>
      <c r="O390" s="411"/>
      <c r="P390" s="411"/>
      <c r="Q390" s="411"/>
      <c r="R390" s="410"/>
    </row>
    <row r="391" spans="2:18" x14ac:dyDescent="0.35">
      <c r="B391" s="151"/>
      <c r="C391" s="143"/>
      <c r="D391" s="143"/>
      <c r="E391" s="411"/>
      <c r="F391" s="411"/>
      <c r="G391" s="411"/>
      <c r="H391" s="411"/>
      <c r="I391" s="411"/>
      <c r="J391" s="411"/>
      <c r="K391" s="411"/>
      <c r="L391" s="411"/>
      <c r="M391" s="411"/>
      <c r="N391" s="411"/>
      <c r="O391" s="411"/>
      <c r="P391" s="411"/>
      <c r="Q391" s="411"/>
      <c r="R391" s="410"/>
    </row>
    <row r="392" spans="2:18" x14ac:dyDescent="0.35">
      <c r="B392" s="151"/>
      <c r="C392" s="143"/>
      <c r="D392" s="143"/>
      <c r="E392" s="411"/>
      <c r="F392" s="411"/>
      <c r="G392" s="411"/>
      <c r="H392" s="411"/>
      <c r="I392" s="411"/>
      <c r="J392" s="411"/>
      <c r="K392" s="411"/>
      <c r="L392" s="411"/>
      <c r="M392" s="411"/>
      <c r="N392" s="411"/>
      <c r="O392" s="411"/>
      <c r="P392" s="411"/>
      <c r="Q392" s="411"/>
      <c r="R392" s="410"/>
    </row>
    <row r="393" spans="2:18" x14ac:dyDescent="0.35">
      <c r="B393" s="151"/>
      <c r="C393" s="143"/>
      <c r="D393" s="143"/>
      <c r="E393" s="411"/>
      <c r="F393" s="411"/>
      <c r="G393" s="411"/>
      <c r="H393" s="411"/>
      <c r="I393" s="411"/>
      <c r="J393" s="411"/>
      <c r="K393" s="411"/>
      <c r="L393" s="411"/>
      <c r="M393" s="411"/>
      <c r="N393" s="411"/>
      <c r="O393" s="411"/>
      <c r="P393" s="411"/>
      <c r="Q393" s="411"/>
      <c r="R393" s="410"/>
    </row>
    <row r="394" spans="2:18" x14ac:dyDescent="0.35">
      <c r="B394" s="151"/>
      <c r="C394" s="143"/>
      <c r="D394" s="143"/>
      <c r="E394" s="411"/>
      <c r="F394" s="411"/>
      <c r="G394" s="411"/>
      <c r="H394" s="411"/>
      <c r="I394" s="411"/>
      <c r="J394" s="411"/>
      <c r="K394" s="411"/>
      <c r="L394" s="411"/>
      <c r="M394" s="411"/>
      <c r="N394" s="411"/>
      <c r="O394" s="411"/>
      <c r="P394" s="411"/>
      <c r="Q394" s="411"/>
      <c r="R394" s="410"/>
    </row>
    <row r="395" spans="2:18" x14ac:dyDescent="0.35">
      <c r="B395" s="151"/>
      <c r="C395" s="143"/>
      <c r="D395" s="143"/>
      <c r="E395" s="411"/>
      <c r="F395" s="411"/>
      <c r="G395" s="411"/>
      <c r="H395" s="411"/>
      <c r="I395" s="411"/>
      <c r="J395" s="411"/>
      <c r="K395" s="411"/>
      <c r="L395" s="411"/>
      <c r="M395" s="411"/>
      <c r="N395" s="411"/>
      <c r="O395" s="411"/>
      <c r="P395" s="411"/>
      <c r="Q395" s="411"/>
      <c r="R395" s="410"/>
    </row>
    <row r="396" spans="2:18" x14ac:dyDescent="0.35">
      <c r="B396" s="151"/>
      <c r="C396" s="143"/>
      <c r="D396" s="143"/>
      <c r="E396" s="411"/>
      <c r="F396" s="411"/>
      <c r="G396" s="411"/>
      <c r="H396" s="411"/>
      <c r="I396" s="411"/>
      <c r="J396" s="411"/>
      <c r="K396" s="411"/>
      <c r="L396" s="411"/>
      <c r="M396" s="411"/>
      <c r="N396" s="411"/>
      <c r="O396" s="411"/>
      <c r="P396" s="411"/>
      <c r="Q396" s="411"/>
      <c r="R396" s="410"/>
    </row>
    <row r="397" spans="2:18" x14ac:dyDescent="0.35">
      <c r="B397" s="151"/>
      <c r="C397" s="143"/>
      <c r="D397" s="143"/>
      <c r="E397" s="411"/>
      <c r="F397" s="411"/>
      <c r="G397" s="411"/>
      <c r="H397" s="411"/>
      <c r="I397" s="411"/>
      <c r="J397" s="411"/>
      <c r="K397" s="411"/>
      <c r="L397" s="411"/>
      <c r="M397" s="411"/>
      <c r="N397" s="411"/>
      <c r="O397" s="411"/>
      <c r="P397" s="411"/>
      <c r="Q397" s="411"/>
      <c r="R397" s="410"/>
    </row>
    <row r="398" spans="2:18" x14ac:dyDescent="0.35">
      <c r="B398" s="151"/>
      <c r="C398" s="143"/>
      <c r="D398" s="143"/>
      <c r="E398" s="411"/>
      <c r="F398" s="411"/>
      <c r="G398" s="411"/>
      <c r="H398" s="411"/>
      <c r="I398" s="411"/>
      <c r="J398" s="411"/>
      <c r="K398" s="411"/>
      <c r="L398" s="411"/>
      <c r="M398" s="411"/>
      <c r="N398" s="411"/>
      <c r="O398" s="411"/>
      <c r="P398" s="411"/>
      <c r="Q398" s="411"/>
      <c r="R398" s="410"/>
    </row>
    <row r="399" spans="2:18" x14ac:dyDescent="0.35">
      <c r="B399" s="151"/>
      <c r="C399" s="143"/>
      <c r="D399" s="143"/>
      <c r="E399" s="411"/>
      <c r="F399" s="411"/>
      <c r="G399" s="411"/>
      <c r="H399" s="411"/>
      <c r="I399" s="411"/>
      <c r="J399" s="411"/>
      <c r="K399" s="411"/>
      <c r="L399" s="411"/>
      <c r="M399" s="411"/>
      <c r="N399" s="411"/>
      <c r="O399" s="411"/>
      <c r="P399" s="411"/>
      <c r="Q399" s="411"/>
      <c r="R399" s="410"/>
    </row>
    <row r="400" spans="2:18" x14ac:dyDescent="0.35">
      <c r="B400" s="151"/>
      <c r="C400" s="143"/>
      <c r="D400" s="143"/>
      <c r="E400" s="411"/>
      <c r="F400" s="411"/>
      <c r="G400" s="411"/>
      <c r="H400" s="411"/>
      <c r="I400" s="411"/>
      <c r="J400" s="411"/>
      <c r="K400" s="411"/>
      <c r="L400" s="411"/>
      <c r="M400" s="411"/>
      <c r="N400" s="411"/>
      <c r="O400" s="411"/>
      <c r="P400" s="411"/>
      <c r="Q400" s="411"/>
      <c r="R400" s="410"/>
    </row>
    <row r="401" spans="2:18" x14ac:dyDescent="0.35">
      <c r="B401" s="151"/>
      <c r="C401" s="143"/>
      <c r="D401" s="143"/>
      <c r="E401" s="411"/>
      <c r="F401" s="411"/>
      <c r="G401" s="411"/>
      <c r="H401" s="411"/>
      <c r="I401" s="411"/>
      <c r="J401" s="411"/>
      <c r="K401" s="411"/>
      <c r="L401" s="411"/>
      <c r="M401" s="411"/>
      <c r="N401" s="411"/>
      <c r="O401" s="411"/>
      <c r="P401" s="411"/>
      <c r="Q401" s="411"/>
      <c r="R401" s="410"/>
    </row>
    <row r="402" spans="2:18" x14ac:dyDescent="0.35">
      <c r="B402" s="151"/>
      <c r="C402" s="143"/>
      <c r="D402" s="143"/>
      <c r="E402" s="411"/>
      <c r="F402" s="411"/>
      <c r="G402" s="411"/>
      <c r="H402" s="411"/>
      <c r="I402" s="411"/>
      <c r="J402" s="411"/>
      <c r="K402" s="411"/>
      <c r="L402" s="411"/>
      <c r="M402" s="411"/>
      <c r="N402" s="411"/>
      <c r="O402" s="411"/>
      <c r="P402" s="411"/>
      <c r="Q402" s="411"/>
      <c r="R402" s="410"/>
    </row>
    <row r="403" spans="2:18" x14ac:dyDescent="0.35">
      <c r="B403" s="151"/>
      <c r="C403" s="143"/>
      <c r="D403" s="143"/>
      <c r="E403" s="411"/>
      <c r="F403" s="411"/>
      <c r="G403" s="411"/>
      <c r="H403" s="411"/>
      <c r="I403" s="411"/>
      <c r="J403" s="411"/>
      <c r="K403" s="411"/>
      <c r="L403" s="411"/>
      <c r="M403" s="411"/>
      <c r="N403" s="411"/>
      <c r="O403" s="411"/>
      <c r="P403" s="411"/>
      <c r="Q403" s="411"/>
      <c r="R403" s="410"/>
    </row>
    <row r="404" spans="2:18" x14ac:dyDescent="0.35">
      <c r="B404" s="151"/>
      <c r="C404" s="143"/>
      <c r="D404" s="143"/>
      <c r="E404" s="411"/>
      <c r="F404" s="411"/>
      <c r="G404" s="411"/>
      <c r="H404" s="411"/>
      <c r="I404" s="411"/>
      <c r="J404" s="411"/>
      <c r="K404" s="411"/>
      <c r="L404" s="411"/>
      <c r="M404" s="411"/>
      <c r="N404" s="411"/>
      <c r="O404" s="411"/>
      <c r="P404" s="411"/>
      <c r="Q404" s="411"/>
      <c r="R404" s="410"/>
    </row>
    <row r="405" spans="2:18" x14ac:dyDescent="0.35">
      <c r="B405" s="151"/>
      <c r="C405" s="143"/>
      <c r="D405" s="143"/>
      <c r="E405" s="411"/>
      <c r="F405" s="411"/>
      <c r="G405" s="411"/>
      <c r="H405" s="411"/>
      <c r="I405" s="411"/>
      <c r="J405" s="411"/>
      <c r="K405" s="411"/>
      <c r="L405" s="411"/>
      <c r="M405" s="411"/>
      <c r="N405" s="411"/>
      <c r="O405" s="411"/>
      <c r="P405" s="411"/>
      <c r="Q405" s="411"/>
      <c r="R405" s="410"/>
    </row>
    <row r="406" spans="2:18" x14ac:dyDescent="0.35">
      <c r="B406" s="151"/>
      <c r="C406" s="143"/>
      <c r="D406" s="143"/>
      <c r="E406" s="411"/>
      <c r="F406" s="411"/>
      <c r="G406" s="411"/>
      <c r="H406" s="411"/>
      <c r="I406" s="411"/>
      <c r="J406" s="411"/>
      <c r="K406" s="411"/>
      <c r="L406" s="411"/>
      <c r="M406" s="411"/>
      <c r="N406" s="411"/>
      <c r="O406" s="411"/>
      <c r="P406" s="411"/>
      <c r="Q406" s="411"/>
      <c r="R406" s="410"/>
    </row>
    <row r="407" spans="2:18" x14ac:dyDescent="0.35">
      <c r="B407" s="151"/>
      <c r="C407" s="143"/>
      <c r="D407" s="143"/>
      <c r="E407" s="411"/>
      <c r="F407" s="411"/>
      <c r="G407" s="411"/>
      <c r="H407" s="411"/>
      <c r="I407" s="411"/>
      <c r="J407" s="411"/>
      <c r="K407" s="411"/>
      <c r="L407" s="411"/>
      <c r="M407" s="411"/>
      <c r="N407" s="411"/>
      <c r="O407" s="411"/>
      <c r="P407" s="411"/>
      <c r="Q407" s="411"/>
      <c r="R407" s="410"/>
    </row>
    <row r="408" spans="2:18" x14ac:dyDescent="0.35">
      <c r="B408" s="151"/>
      <c r="C408" s="143"/>
      <c r="D408" s="143"/>
      <c r="E408" s="411"/>
      <c r="F408" s="411"/>
      <c r="G408" s="411"/>
      <c r="H408" s="411"/>
      <c r="I408" s="411"/>
      <c r="J408" s="411"/>
      <c r="K408" s="411"/>
      <c r="L408" s="411"/>
      <c r="M408" s="411"/>
      <c r="N408" s="411"/>
      <c r="O408" s="411"/>
      <c r="P408" s="411"/>
      <c r="Q408" s="411"/>
      <c r="R408" s="410"/>
    </row>
    <row r="409" spans="2:18" x14ac:dyDescent="0.35">
      <c r="B409" s="151"/>
      <c r="C409" s="143"/>
      <c r="D409" s="143"/>
      <c r="E409" s="411"/>
      <c r="F409" s="411"/>
      <c r="G409" s="411"/>
      <c r="H409" s="411"/>
      <c r="I409" s="411"/>
      <c r="J409" s="411"/>
      <c r="K409" s="411"/>
      <c r="L409" s="411"/>
      <c r="M409" s="411"/>
      <c r="N409" s="411"/>
      <c r="O409" s="411"/>
      <c r="P409" s="411"/>
      <c r="Q409" s="411"/>
      <c r="R409" s="410"/>
    </row>
    <row r="410" spans="2:18" x14ac:dyDescent="0.35">
      <c r="B410" s="151"/>
      <c r="C410" s="143"/>
      <c r="D410" s="143"/>
      <c r="E410" s="411"/>
      <c r="F410" s="411"/>
      <c r="G410" s="411"/>
      <c r="H410" s="411"/>
      <c r="I410" s="411"/>
      <c r="J410" s="411"/>
      <c r="K410" s="411"/>
      <c r="L410" s="411"/>
      <c r="M410" s="411"/>
      <c r="N410" s="411"/>
      <c r="O410" s="411"/>
      <c r="P410" s="411"/>
      <c r="Q410" s="411"/>
      <c r="R410" s="410"/>
    </row>
    <row r="411" spans="2:18" x14ac:dyDescent="0.35">
      <c r="B411" s="151"/>
      <c r="C411" s="143"/>
      <c r="D411" s="143"/>
      <c r="E411" s="411"/>
      <c r="F411" s="411"/>
      <c r="G411" s="411"/>
      <c r="H411" s="411"/>
      <c r="I411" s="411"/>
      <c r="J411" s="411"/>
      <c r="K411" s="411"/>
      <c r="L411" s="411"/>
      <c r="M411" s="411"/>
      <c r="N411" s="411"/>
      <c r="O411" s="411"/>
      <c r="P411" s="411"/>
      <c r="Q411" s="411"/>
      <c r="R411" s="410"/>
    </row>
    <row r="412" spans="2:18" x14ac:dyDescent="0.35">
      <c r="B412" s="151"/>
      <c r="C412" s="143"/>
      <c r="D412" s="143"/>
      <c r="E412" s="411"/>
      <c r="F412" s="411"/>
      <c r="G412" s="411"/>
      <c r="H412" s="411"/>
      <c r="I412" s="411"/>
      <c r="J412" s="411"/>
      <c r="K412" s="411"/>
      <c r="L412" s="411"/>
      <c r="M412" s="411"/>
      <c r="N412" s="411"/>
      <c r="O412" s="411"/>
      <c r="P412" s="411"/>
      <c r="Q412" s="411"/>
      <c r="R412" s="410"/>
    </row>
    <row r="413" spans="2:18" x14ac:dyDescent="0.35">
      <c r="B413" s="151"/>
      <c r="C413" s="143"/>
      <c r="D413" s="143"/>
      <c r="E413" s="411"/>
      <c r="F413" s="411"/>
      <c r="G413" s="411"/>
      <c r="H413" s="411"/>
      <c r="I413" s="411"/>
      <c r="J413" s="411"/>
      <c r="K413" s="411"/>
      <c r="L413" s="411"/>
      <c r="M413" s="411"/>
      <c r="N413" s="411"/>
      <c r="O413" s="411"/>
      <c r="P413" s="411"/>
      <c r="Q413" s="411"/>
      <c r="R413" s="410"/>
    </row>
    <row r="414" spans="2:18" x14ac:dyDescent="0.35">
      <c r="B414" s="151"/>
      <c r="C414" s="143"/>
      <c r="D414" s="143"/>
      <c r="E414" s="411"/>
      <c r="F414" s="411"/>
      <c r="G414" s="411"/>
      <c r="H414" s="411"/>
      <c r="I414" s="411"/>
      <c r="J414" s="411"/>
      <c r="K414" s="411"/>
      <c r="L414" s="411"/>
      <c r="M414" s="411"/>
      <c r="N414" s="411"/>
      <c r="O414" s="411"/>
      <c r="P414" s="411"/>
      <c r="Q414" s="411"/>
      <c r="R414" s="410"/>
    </row>
    <row r="415" spans="2:18" x14ac:dyDescent="0.35">
      <c r="B415" s="151"/>
      <c r="C415" s="143"/>
      <c r="D415" s="143"/>
      <c r="E415" s="411"/>
      <c r="F415" s="411"/>
      <c r="G415" s="411"/>
      <c r="H415" s="411"/>
      <c r="I415" s="411"/>
      <c r="J415" s="411"/>
      <c r="K415" s="411"/>
      <c r="L415" s="411"/>
      <c r="M415" s="411"/>
      <c r="N415" s="411"/>
      <c r="O415" s="411"/>
      <c r="P415" s="411"/>
      <c r="Q415" s="411"/>
      <c r="R415" s="410"/>
    </row>
    <row r="416" spans="2:18" x14ac:dyDescent="0.35">
      <c r="B416" s="151"/>
      <c r="C416" s="143"/>
      <c r="D416" s="143"/>
      <c r="E416" s="411"/>
      <c r="F416" s="411"/>
      <c r="G416" s="411"/>
      <c r="H416" s="411"/>
      <c r="I416" s="411"/>
      <c r="J416" s="411"/>
      <c r="K416" s="411"/>
      <c r="L416" s="411"/>
      <c r="M416" s="411"/>
      <c r="N416" s="411"/>
      <c r="O416" s="411"/>
      <c r="P416" s="411"/>
      <c r="Q416" s="411"/>
      <c r="R416" s="410"/>
    </row>
    <row r="417" spans="2:18" x14ac:dyDescent="0.35">
      <c r="B417" s="151"/>
      <c r="C417" s="143"/>
      <c r="D417" s="143"/>
      <c r="E417" s="411"/>
      <c r="F417" s="411"/>
      <c r="G417" s="411"/>
      <c r="H417" s="411"/>
      <c r="I417" s="411"/>
      <c r="J417" s="411"/>
      <c r="K417" s="411"/>
      <c r="L417" s="411"/>
      <c r="M417" s="411"/>
      <c r="N417" s="411"/>
      <c r="O417" s="411"/>
      <c r="P417" s="411"/>
      <c r="Q417" s="411"/>
      <c r="R417" s="410"/>
    </row>
    <row r="418" spans="2:18" x14ac:dyDescent="0.35">
      <c r="B418" s="151"/>
      <c r="C418" s="143"/>
      <c r="D418" s="143"/>
      <c r="E418" s="411"/>
      <c r="F418" s="411"/>
      <c r="G418" s="411"/>
      <c r="H418" s="411"/>
      <c r="I418" s="411"/>
      <c r="J418" s="411"/>
      <c r="K418" s="411"/>
      <c r="L418" s="411"/>
      <c r="M418" s="411"/>
      <c r="N418" s="411"/>
      <c r="O418" s="411"/>
      <c r="P418" s="411"/>
      <c r="Q418" s="411"/>
      <c r="R418" s="410"/>
    </row>
    <row r="419" spans="2:18" x14ac:dyDescent="0.35">
      <c r="B419" s="151"/>
      <c r="C419" s="143"/>
      <c r="D419" s="143"/>
      <c r="E419" s="411"/>
      <c r="F419" s="411"/>
      <c r="G419" s="411"/>
      <c r="H419" s="411"/>
      <c r="I419" s="411"/>
      <c r="J419" s="411"/>
      <c r="K419" s="411"/>
      <c r="L419" s="411"/>
      <c r="M419" s="411"/>
      <c r="N419" s="411"/>
      <c r="O419" s="411"/>
      <c r="P419" s="411"/>
      <c r="Q419" s="411"/>
      <c r="R419" s="410"/>
    </row>
    <row r="420" spans="2:18" x14ac:dyDescent="0.35">
      <c r="B420" s="151"/>
      <c r="C420" s="143"/>
      <c r="D420" s="143"/>
      <c r="E420" s="411"/>
      <c r="F420" s="411"/>
      <c r="G420" s="411"/>
      <c r="H420" s="411"/>
      <c r="I420" s="411"/>
      <c r="J420" s="411"/>
      <c r="K420" s="411"/>
      <c r="L420" s="411"/>
      <c r="M420" s="411"/>
      <c r="N420" s="411"/>
      <c r="O420" s="411"/>
      <c r="P420" s="411"/>
      <c r="Q420" s="411"/>
      <c r="R420" s="410"/>
    </row>
    <row r="421" spans="2:18" x14ac:dyDescent="0.35">
      <c r="B421" s="151"/>
      <c r="C421" s="143"/>
      <c r="D421" s="143"/>
      <c r="E421" s="411"/>
      <c r="F421" s="411"/>
      <c r="G421" s="411"/>
      <c r="H421" s="411"/>
      <c r="I421" s="411"/>
      <c r="J421" s="411"/>
      <c r="K421" s="411"/>
      <c r="L421" s="411"/>
      <c r="M421" s="411"/>
      <c r="N421" s="411"/>
      <c r="O421" s="411"/>
      <c r="P421" s="411"/>
      <c r="Q421" s="411"/>
      <c r="R421" s="410"/>
    </row>
    <row r="422" spans="2:18" x14ac:dyDescent="0.35">
      <c r="B422" s="151"/>
      <c r="C422" s="143"/>
      <c r="D422" s="143"/>
      <c r="E422" s="411"/>
      <c r="F422" s="411"/>
      <c r="G422" s="411"/>
      <c r="H422" s="411"/>
      <c r="I422" s="411"/>
      <c r="J422" s="411"/>
      <c r="K422" s="411"/>
      <c r="L422" s="411"/>
      <c r="M422" s="411"/>
      <c r="N422" s="411"/>
      <c r="O422" s="411"/>
      <c r="P422" s="411"/>
      <c r="Q422" s="411"/>
      <c r="R422" s="410"/>
    </row>
    <row r="423" spans="2:18" x14ac:dyDescent="0.35">
      <c r="B423" s="151"/>
      <c r="C423" s="143"/>
      <c r="D423" s="143"/>
      <c r="E423" s="411"/>
      <c r="F423" s="411"/>
      <c r="G423" s="411"/>
      <c r="H423" s="411"/>
      <c r="I423" s="411"/>
      <c r="J423" s="411"/>
      <c r="K423" s="411"/>
      <c r="L423" s="411"/>
      <c r="M423" s="411"/>
      <c r="N423" s="411"/>
      <c r="O423" s="411"/>
      <c r="P423" s="411"/>
      <c r="Q423" s="411"/>
      <c r="R423" s="410"/>
    </row>
    <row r="424" spans="2:18" x14ac:dyDescent="0.35">
      <c r="B424" s="151"/>
      <c r="C424" s="143"/>
      <c r="D424" s="143"/>
      <c r="E424" s="411"/>
      <c r="F424" s="411"/>
      <c r="G424" s="411"/>
      <c r="H424" s="411"/>
      <c r="I424" s="411"/>
      <c r="J424" s="411"/>
      <c r="K424" s="411"/>
      <c r="L424" s="411"/>
      <c r="M424" s="411"/>
      <c r="N424" s="411"/>
      <c r="O424" s="411"/>
      <c r="P424" s="411"/>
      <c r="Q424" s="411"/>
      <c r="R424" s="410"/>
    </row>
    <row r="425" spans="2:18" x14ac:dyDescent="0.35">
      <c r="B425" s="151"/>
      <c r="C425" s="143"/>
      <c r="D425" s="143"/>
      <c r="E425" s="411"/>
      <c r="F425" s="411"/>
      <c r="G425" s="411"/>
      <c r="H425" s="411"/>
      <c r="I425" s="411"/>
      <c r="J425" s="411"/>
      <c r="K425" s="411"/>
      <c r="L425" s="411"/>
      <c r="M425" s="411"/>
      <c r="N425" s="411"/>
      <c r="O425" s="411"/>
      <c r="P425" s="411"/>
      <c r="Q425" s="411"/>
      <c r="R425" s="410"/>
    </row>
    <row r="426" spans="2:18" x14ac:dyDescent="0.35">
      <c r="B426" s="151"/>
      <c r="C426" s="143"/>
      <c r="D426" s="143"/>
      <c r="E426" s="411"/>
      <c r="F426" s="411"/>
      <c r="G426" s="411"/>
      <c r="H426" s="411"/>
      <c r="I426" s="411"/>
      <c r="J426" s="411"/>
      <c r="K426" s="411"/>
      <c r="L426" s="411"/>
      <c r="M426" s="411"/>
      <c r="N426" s="411"/>
      <c r="O426" s="411"/>
      <c r="P426" s="411"/>
      <c r="Q426" s="411"/>
      <c r="R426" s="410"/>
    </row>
    <row r="427" spans="2:18" x14ac:dyDescent="0.35">
      <c r="B427" s="151"/>
      <c r="C427" s="143"/>
      <c r="D427" s="143"/>
      <c r="E427" s="411"/>
      <c r="F427" s="411"/>
      <c r="G427" s="411"/>
      <c r="H427" s="411"/>
      <c r="I427" s="411"/>
      <c r="J427" s="411"/>
      <c r="K427" s="411"/>
      <c r="L427" s="411"/>
      <c r="M427" s="411"/>
      <c r="N427" s="411"/>
      <c r="O427" s="411"/>
      <c r="P427" s="411"/>
      <c r="Q427" s="411"/>
      <c r="R427" s="410"/>
    </row>
    <row r="428" spans="2:18" x14ac:dyDescent="0.35">
      <c r="B428" s="151"/>
      <c r="C428" s="143"/>
      <c r="D428" s="143"/>
      <c r="E428" s="411"/>
      <c r="F428" s="411"/>
      <c r="G428" s="411"/>
      <c r="H428" s="411"/>
      <c r="I428" s="411"/>
      <c r="J428" s="411"/>
      <c r="K428" s="411"/>
      <c r="L428" s="411"/>
      <c r="M428" s="411"/>
      <c r="N428" s="411"/>
      <c r="O428" s="411"/>
      <c r="P428" s="411"/>
      <c r="Q428" s="411"/>
      <c r="R428" s="410"/>
    </row>
    <row r="429" spans="2:18" x14ac:dyDescent="0.35">
      <c r="B429" s="151"/>
      <c r="C429" s="143"/>
      <c r="D429" s="143"/>
      <c r="E429" s="411"/>
      <c r="F429" s="411"/>
      <c r="G429" s="411"/>
      <c r="H429" s="411"/>
      <c r="I429" s="411"/>
      <c r="J429" s="411"/>
      <c r="K429" s="411"/>
      <c r="L429" s="411"/>
      <c r="M429" s="411"/>
      <c r="N429" s="411"/>
      <c r="O429" s="411"/>
      <c r="P429" s="411"/>
      <c r="Q429" s="411"/>
      <c r="R429" s="410"/>
    </row>
    <row r="430" spans="2:18" x14ac:dyDescent="0.35">
      <c r="B430" s="151"/>
      <c r="C430" s="143"/>
      <c r="D430" s="143"/>
      <c r="E430" s="411"/>
      <c r="F430" s="411"/>
      <c r="G430" s="411"/>
      <c r="H430" s="411"/>
      <c r="I430" s="411"/>
      <c r="J430" s="411"/>
      <c r="K430" s="411"/>
      <c r="L430" s="411"/>
      <c r="M430" s="411"/>
      <c r="N430" s="411"/>
      <c r="O430" s="411"/>
      <c r="P430" s="411"/>
      <c r="Q430" s="411"/>
      <c r="R430" s="410"/>
    </row>
    <row r="431" spans="2:18" x14ac:dyDescent="0.35">
      <c r="B431" s="151"/>
      <c r="C431" s="143"/>
      <c r="D431" s="143"/>
      <c r="E431" s="411"/>
      <c r="F431" s="411"/>
      <c r="G431" s="411"/>
      <c r="H431" s="411"/>
      <c r="I431" s="411"/>
      <c r="J431" s="411"/>
      <c r="K431" s="411"/>
      <c r="L431" s="411"/>
      <c r="M431" s="411"/>
      <c r="N431" s="411"/>
      <c r="O431" s="411"/>
      <c r="P431" s="411"/>
      <c r="Q431" s="411"/>
      <c r="R431" s="410"/>
    </row>
    <row r="432" spans="2:18" x14ac:dyDescent="0.35">
      <c r="B432" s="151"/>
      <c r="C432" s="143"/>
      <c r="D432" s="143"/>
      <c r="E432" s="411"/>
      <c r="F432" s="411"/>
      <c r="G432" s="411"/>
      <c r="H432" s="411"/>
      <c r="I432" s="411"/>
      <c r="J432" s="411"/>
      <c r="K432" s="411"/>
      <c r="L432" s="411"/>
      <c r="M432" s="411"/>
      <c r="N432" s="411"/>
      <c r="O432" s="411"/>
      <c r="P432" s="411"/>
      <c r="Q432" s="411"/>
      <c r="R432" s="410"/>
    </row>
    <row r="433" spans="2:18" x14ac:dyDescent="0.35">
      <c r="B433" s="151"/>
      <c r="C433" s="143"/>
      <c r="D433" s="143"/>
      <c r="E433" s="411"/>
      <c r="F433" s="411"/>
      <c r="G433" s="411"/>
      <c r="H433" s="411"/>
      <c r="I433" s="411"/>
      <c r="J433" s="411"/>
      <c r="K433" s="411"/>
      <c r="L433" s="411"/>
      <c r="M433" s="411"/>
      <c r="N433" s="411"/>
      <c r="O433" s="411"/>
      <c r="P433" s="411"/>
      <c r="Q433" s="411"/>
      <c r="R433" s="410"/>
    </row>
    <row r="434" spans="2:18" x14ac:dyDescent="0.35">
      <c r="B434" s="151"/>
      <c r="C434" s="143"/>
      <c r="D434" s="143"/>
      <c r="E434" s="411"/>
      <c r="F434" s="411"/>
      <c r="G434" s="411"/>
      <c r="H434" s="411"/>
      <c r="I434" s="411"/>
      <c r="J434" s="411"/>
      <c r="K434" s="411"/>
      <c r="L434" s="411"/>
      <c r="M434" s="411"/>
      <c r="N434" s="411"/>
      <c r="O434" s="411"/>
      <c r="P434" s="411"/>
      <c r="Q434" s="411"/>
      <c r="R434" s="410"/>
    </row>
    <row r="435" spans="2:18" x14ac:dyDescent="0.35">
      <c r="B435" s="151"/>
      <c r="C435" s="143"/>
      <c r="D435" s="143"/>
      <c r="E435" s="411"/>
      <c r="F435" s="411"/>
      <c r="G435" s="411"/>
      <c r="H435" s="411"/>
      <c r="I435" s="411"/>
      <c r="J435" s="411"/>
      <c r="K435" s="411"/>
      <c r="L435" s="411"/>
      <c r="M435" s="411"/>
      <c r="N435" s="411"/>
      <c r="O435" s="411"/>
      <c r="P435" s="411"/>
      <c r="Q435" s="411"/>
      <c r="R435" s="410"/>
    </row>
    <row r="436" spans="2:18" x14ac:dyDescent="0.35">
      <c r="B436" s="151"/>
      <c r="C436" s="143"/>
      <c r="D436" s="143"/>
      <c r="E436" s="411"/>
      <c r="F436" s="411"/>
      <c r="G436" s="411"/>
      <c r="H436" s="411"/>
      <c r="I436" s="411"/>
      <c r="J436" s="411"/>
      <c r="K436" s="411"/>
      <c r="L436" s="411"/>
      <c r="M436" s="411"/>
      <c r="N436" s="411"/>
      <c r="O436" s="411"/>
      <c r="P436" s="411"/>
      <c r="Q436" s="411"/>
      <c r="R436" s="410"/>
    </row>
    <row r="437" spans="2:18" x14ac:dyDescent="0.35">
      <c r="B437" s="151"/>
      <c r="C437" s="143"/>
      <c r="D437" s="143"/>
      <c r="E437" s="411"/>
      <c r="F437" s="411"/>
      <c r="G437" s="411"/>
      <c r="H437" s="411"/>
      <c r="I437" s="411"/>
      <c r="J437" s="411"/>
      <c r="K437" s="411"/>
      <c r="L437" s="411"/>
      <c r="M437" s="411"/>
      <c r="N437" s="411"/>
      <c r="O437" s="411"/>
      <c r="P437" s="411"/>
      <c r="Q437" s="411"/>
      <c r="R437" s="410"/>
    </row>
    <row r="438" spans="2:18" x14ac:dyDescent="0.35">
      <c r="B438" s="151"/>
      <c r="C438" s="143"/>
      <c r="D438" s="143"/>
      <c r="E438" s="411"/>
      <c r="F438" s="411"/>
      <c r="G438" s="411"/>
      <c r="H438" s="411"/>
      <c r="I438" s="411"/>
      <c r="J438" s="411"/>
      <c r="K438" s="411"/>
      <c r="L438" s="411"/>
      <c r="M438" s="411"/>
      <c r="N438" s="411"/>
      <c r="O438" s="411"/>
      <c r="P438" s="411"/>
      <c r="Q438" s="411"/>
      <c r="R438" s="410"/>
    </row>
    <row r="439" spans="2:18" x14ac:dyDescent="0.35">
      <c r="B439" s="151"/>
      <c r="C439" s="143"/>
      <c r="D439" s="143"/>
      <c r="E439" s="411"/>
      <c r="F439" s="411"/>
      <c r="G439" s="411"/>
      <c r="H439" s="411"/>
      <c r="I439" s="411"/>
      <c r="J439" s="411"/>
      <c r="K439" s="411"/>
      <c r="L439" s="411"/>
      <c r="M439" s="411"/>
      <c r="N439" s="411"/>
      <c r="O439" s="411"/>
      <c r="P439" s="411"/>
      <c r="Q439" s="411"/>
      <c r="R439" s="410"/>
    </row>
    <row r="440" spans="2:18" x14ac:dyDescent="0.35">
      <c r="B440" s="151"/>
      <c r="C440" s="143"/>
      <c r="D440" s="143"/>
      <c r="E440" s="411"/>
      <c r="F440" s="411"/>
      <c r="G440" s="411"/>
      <c r="H440" s="411"/>
      <c r="I440" s="411"/>
      <c r="J440" s="411"/>
      <c r="K440" s="411"/>
      <c r="L440" s="411"/>
      <c r="M440" s="411"/>
      <c r="N440" s="411"/>
      <c r="O440" s="411"/>
      <c r="P440" s="411"/>
      <c r="Q440" s="411"/>
      <c r="R440" s="410"/>
    </row>
    <row r="441" spans="2:18" x14ac:dyDescent="0.35">
      <c r="B441" s="151"/>
      <c r="C441" s="143"/>
      <c r="D441" s="143"/>
      <c r="E441" s="411"/>
      <c r="F441" s="411"/>
      <c r="G441" s="411"/>
      <c r="H441" s="411"/>
      <c r="I441" s="411"/>
      <c r="J441" s="411"/>
      <c r="K441" s="411"/>
      <c r="L441" s="411"/>
      <c r="M441" s="411"/>
      <c r="N441" s="411"/>
      <c r="O441" s="411"/>
      <c r="P441" s="411"/>
      <c r="Q441" s="411"/>
      <c r="R441" s="410"/>
    </row>
    <row r="442" spans="2:18" x14ac:dyDescent="0.35">
      <c r="B442" s="151"/>
      <c r="C442" s="143"/>
      <c r="D442" s="143"/>
      <c r="E442" s="411"/>
      <c r="F442" s="411"/>
      <c r="G442" s="411"/>
      <c r="H442" s="411"/>
      <c r="I442" s="411"/>
      <c r="J442" s="411"/>
      <c r="K442" s="411"/>
      <c r="L442" s="411"/>
      <c r="M442" s="411"/>
      <c r="N442" s="411"/>
      <c r="O442" s="411"/>
      <c r="P442" s="411"/>
      <c r="Q442" s="411"/>
      <c r="R442" s="410"/>
    </row>
    <row r="443" spans="2:18" x14ac:dyDescent="0.35">
      <c r="B443" s="151"/>
      <c r="C443" s="143"/>
      <c r="D443" s="143"/>
      <c r="E443" s="411"/>
      <c r="F443" s="411"/>
      <c r="G443" s="411"/>
      <c r="H443" s="411"/>
      <c r="I443" s="411"/>
      <c r="J443" s="411"/>
      <c r="K443" s="411"/>
      <c r="L443" s="411"/>
      <c r="M443" s="411"/>
      <c r="N443" s="411"/>
      <c r="O443" s="411"/>
      <c r="P443" s="411"/>
      <c r="Q443" s="411"/>
      <c r="R443" s="410"/>
    </row>
    <row r="444" spans="2:18" x14ac:dyDescent="0.35">
      <c r="B444" s="151"/>
      <c r="C444" s="143"/>
      <c r="D444" s="143"/>
      <c r="E444" s="411"/>
      <c r="F444" s="411"/>
      <c r="G444" s="411"/>
      <c r="H444" s="411"/>
      <c r="I444" s="411"/>
      <c r="J444" s="411"/>
      <c r="K444" s="411"/>
      <c r="L444" s="411"/>
      <c r="M444" s="411"/>
      <c r="N444" s="411"/>
      <c r="O444" s="411"/>
      <c r="P444" s="411"/>
      <c r="Q444" s="411"/>
      <c r="R444" s="410"/>
    </row>
    <row r="445" spans="2:18" x14ac:dyDescent="0.35">
      <c r="B445" s="151"/>
      <c r="C445" s="143"/>
      <c r="D445" s="143"/>
      <c r="E445" s="411"/>
      <c r="F445" s="411"/>
      <c r="G445" s="411"/>
      <c r="H445" s="411"/>
      <c r="I445" s="411"/>
      <c r="J445" s="411"/>
      <c r="K445" s="411"/>
      <c r="L445" s="411"/>
      <c r="M445" s="411"/>
      <c r="N445" s="411"/>
      <c r="O445" s="411"/>
      <c r="P445" s="411"/>
      <c r="Q445" s="411"/>
      <c r="R445" s="410"/>
    </row>
    <row r="446" spans="2:18" x14ac:dyDescent="0.35">
      <c r="B446" s="151"/>
      <c r="C446" s="143"/>
      <c r="D446" s="143"/>
      <c r="E446" s="411"/>
      <c r="F446" s="411"/>
      <c r="G446" s="411"/>
      <c r="H446" s="411"/>
      <c r="I446" s="411"/>
      <c r="J446" s="411"/>
      <c r="K446" s="411"/>
      <c r="L446" s="411"/>
      <c r="M446" s="411"/>
      <c r="N446" s="411"/>
      <c r="O446" s="411"/>
      <c r="P446" s="411"/>
      <c r="Q446" s="411"/>
      <c r="R446" s="410"/>
    </row>
    <row r="447" spans="2:18" x14ac:dyDescent="0.35">
      <c r="B447" s="151"/>
      <c r="C447" s="143"/>
      <c r="D447" s="143"/>
      <c r="E447" s="411"/>
      <c r="F447" s="411"/>
      <c r="G447" s="411"/>
      <c r="H447" s="411"/>
      <c r="I447" s="411"/>
      <c r="J447" s="411"/>
      <c r="K447" s="411"/>
      <c r="L447" s="411"/>
      <c r="M447" s="411"/>
      <c r="N447" s="411"/>
      <c r="O447" s="411"/>
      <c r="P447" s="411"/>
      <c r="Q447" s="411"/>
      <c r="R447" s="410"/>
    </row>
    <row r="448" spans="2:18" x14ac:dyDescent="0.35">
      <c r="B448" s="151"/>
      <c r="C448" s="143"/>
      <c r="D448" s="143"/>
      <c r="E448" s="411"/>
      <c r="F448" s="411"/>
      <c r="G448" s="411"/>
      <c r="H448" s="411"/>
      <c r="I448" s="411"/>
      <c r="J448" s="411"/>
      <c r="K448" s="411"/>
      <c r="L448" s="411"/>
      <c r="M448" s="411"/>
      <c r="N448" s="411"/>
      <c r="O448" s="411"/>
      <c r="P448" s="411"/>
      <c r="Q448" s="411"/>
      <c r="R448" s="410"/>
    </row>
    <row r="449" spans="2:18" x14ac:dyDescent="0.35">
      <c r="B449" s="151"/>
      <c r="C449" s="143"/>
      <c r="D449" s="143"/>
      <c r="E449" s="411"/>
      <c r="F449" s="411"/>
      <c r="G449" s="411"/>
      <c r="H449" s="411"/>
      <c r="I449" s="411"/>
      <c r="J449" s="411"/>
      <c r="K449" s="411"/>
      <c r="L449" s="411"/>
      <c r="M449" s="411"/>
      <c r="N449" s="411"/>
      <c r="O449" s="411"/>
      <c r="P449" s="411"/>
      <c r="Q449" s="411"/>
      <c r="R449" s="410"/>
    </row>
    <row r="450" spans="2:18" x14ac:dyDescent="0.35">
      <c r="B450" s="151"/>
      <c r="C450" s="143"/>
      <c r="D450" s="143"/>
      <c r="E450" s="411"/>
      <c r="F450" s="411"/>
      <c r="G450" s="411"/>
      <c r="H450" s="411"/>
      <c r="I450" s="411"/>
      <c r="J450" s="411"/>
      <c r="K450" s="411"/>
      <c r="L450" s="411"/>
      <c r="M450" s="411"/>
      <c r="N450" s="411"/>
      <c r="O450" s="411"/>
      <c r="P450" s="411"/>
      <c r="Q450" s="411"/>
      <c r="R450" s="410"/>
    </row>
    <row r="451" spans="2:18" x14ac:dyDescent="0.35">
      <c r="B451" s="151"/>
      <c r="C451" s="143"/>
      <c r="D451" s="143"/>
      <c r="E451" s="411"/>
      <c r="F451" s="411"/>
      <c r="G451" s="411"/>
      <c r="H451" s="411"/>
      <c r="I451" s="411"/>
      <c r="J451" s="411"/>
      <c r="K451" s="411"/>
      <c r="L451" s="411"/>
      <c r="M451" s="411"/>
      <c r="N451" s="411"/>
      <c r="O451" s="411"/>
      <c r="P451" s="411"/>
      <c r="Q451" s="411"/>
      <c r="R451" s="410"/>
    </row>
    <row r="452" spans="2:18" x14ac:dyDescent="0.35">
      <c r="B452" s="151"/>
      <c r="C452" s="143"/>
      <c r="D452" s="143"/>
      <c r="E452" s="411"/>
      <c r="F452" s="411"/>
      <c r="G452" s="411"/>
      <c r="H452" s="411"/>
      <c r="I452" s="411"/>
      <c r="J452" s="411"/>
      <c r="K452" s="411"/>
      <c r="L452" s="411"/>
      <c r="M452" s="411"/>
      <c r="N452" s="411"/>
      <c r="O452" s="411"/>
      <c r="P452" s="411"/>
      <c r="Q452" s="411"/>
      <c r="R452" s="410"/>
    </row>
    <row r="453" spans="2:18" x14ac:dyDescent="0.35">
      <c r="B453" s="151"/>
      <c r="C453" s="143"/>
      <c r="D453" s="143"/>
      <c r="E453" s="411"/>
      <c r="F453" s="411"/>
      <c r="G453" s="411"/>
      <c r="H453" s="411"/>
      <c r="I453" s="411"/>
      <c r="J453" s="411"/>
      <c r="K453" s="411"/>
      <c r="L453" s="411"/>
      <c r="M453" s="411"/>
      <c r="N453" s="411"/>
      <c r="O453" s="411"/>
      <c r="P453" s="411"/>
      <c r="Q453" s="411"/>
      <c r="R453" s="410"/>
    </row>
    <row r="454" spans="2:18" x14ac:dyDescent="0.35">
      <c r="B454" s="151"/>
      <c r="C454" s="143"/>
      <c r="D454" s="143"/>
      <c r="E454" s="411"/>
      <c r="F454" s="411"/>
      <c r="G454" s="411"/>
      <c r="H454" s="411"/>
      <c r="I454" s="411"/>
      <c r="J454" s="411"/>
      <c r="K454" s="411"/>
      <c r="L454" s="411"/>
      <c r="M454" s="411"/>
      <c r="N454" s="411"/>
      <c r="O454" s="411"/>
      <c r="P454" s="411"/>
      <c r="Q454" s="411"/>
      <c r="R454" s="410"/>
    </row>
    <row r="455" spans="2:18" x14ac:dyDescent="0.35">
      <c r="B455" s="151"/>
      <c r="C455" s="143"/>
      <c r="D455" s="143"/>
      <c r="E455" s="411"/>
      <c r="F455" s="411"/>
      <c r="G455" s="411"/>
      <c r="H455" s="411"/>
      <c r="I455" s="411"/>
      <c r="J455" s="411"/>
      <c r="K455" s="411"/>
      <c r="L455" s="411"/>
      <c r="M455" s="411"/>
      <c r="N455" s="411"/>
      <c r="O455" s="411"/>
      <c r="P455" s="411"/>
      <c r="Q455" s="411"/>
      <c r="R455" s="410"/>
    </row>
    <row r="456" spans="2:18" x14ac:dyDescent="0.35">
      <c r="B456" s="151"/>
      <c r="C456" s="143"/>
      <c r="D456" s="143"/>
      <c r="E456" s="411"/>
      <c r="F456" s="411"/>
      <c r="G456" s="411"/>
      <c r="H456" s="411"/>
      <c r="I456" s="411"/>
      <c r="J456" s="411"/>
      <c r="K456" s="411"/>
      <c r="L456" s="411"/>
      <c r="M456" s="411"/>
      <c r="N456" s="411"/>
      <c r="O456" s="411"/>
      <c r="P456" s="411"/>
      <c r="Q456" s="411"/>
      <c r="R456" s="410"/>
    </row>
  </sheetData>
  <conditionalFormatting sqref="F3:H3">
    <cfRule type="cellIs" dxfId="27" priority="5" operator="equal">
      <formula>"ERROR"</formula>
    </cfRule>
    <cfRule type="cellIs" dxfId="26" priority="6" operator="equal">
      <formula>"GOOD"</formula>
    </cfRule>
  </conditionalFormatting>
  <conditionalFormatting sqref="J3:K3">
    <cfRule type="cellIs" dxfId="25" priority="3" operator="equal">
      <formula>"ERROR"</formula>
    </cfRule>
    <cfRule type="cellIs" dxfId="24" priority="4" operator="equal">
      <formula>"GOOD"</formula>
    </cfRule>
  </conditionalFormatting>
  <conditionalFormatting sqref="R11">
    <cfRule type="cellIs" dxfId="23" priority="21" operator="equal">
      <formula>"ERROR"</formula>
    </cfRule>
    <cfRule type="cellIs" dxfId="22" priority="22" operator="equal">
      <formula>"GOOD"</formula>
    </cfRule>
  </conditionalFormatting>
  <conditionalFormatting sqref="R14">
    <cfRule type="cellIs" dxfId="21" priority="19" operator="equal">
      <formula>"ERROR"</formula>
    </cfRule>
    <cfRule type="cellIs" dxfId="20" priority="20" operator="equal">
      <formula>"GOOD"</formula>
    </cfRule>
  </conditionalFormatting>
  <conditionalFormatting sqref="R16">
    <cfRule type="cellIs" dxfId="19" priority="17" operator="equal">
      <formula>"ERROR"</formula>
    </cfRule>
    <cfRule type="cellIs" dxfId="18" priority="18" operator="equal">
      <formula>"GOOD"</formula>
    </cfRule>
  </conditionalFormatting>
  <conditionalFormatting sqref="R18">
    <cfRule type="cellIs" dxfId="17" priority="1" operator="equal">
      <formula>"ERROR"</formula>
    </cfRule>
    <cfRule type="cellIs" dxfId="16" priority="2" operator="equal">
      <formula>"GOOD"</formula>
    </cfRule>
  </conditionalFormatting>
  <conditionalFormatting sqref="R20">
    <cfRule type="cellIs" dxfId="15" priority="7" operator="equal">
      <formula>"ERROR"</formula>
    </cfRule>
    <cfRule type="cellIs" dxfId="14" priority="8" operator="equal">
      <formula>"GOOD"</formula>
    </cfRule>
  </conditionalFormatting>
  <conditionalFormatting sqref="R22">
    <cfRule type="cellIs" dxfId="13" priority="15" operator="equal">
      <formula>"ERROR"</formula>
    </cfRule>
    <cfRule type="cellIs" dxfId="12" priority="16" operator="equal">
      <formula>"GOOD"</formula>
    </cfRule>
  </conditionalFormatting>
  <conditionalFormatting sqref="R29">
    <cfRule type="containsText" dxfId="11" priority="23" operator="containsText" text="ERROR">
      <formula>NOT(ISERROR(SEARCH("ERROR",R29)))</formula>
    </cfRule>
    <cfRule type="containsText" dxfId="10" priority="24" operator="containsText" text="GOOD">
      <formula>NOT(ISERROR(SEARCH("GOOD",R29)))</formula>
    </cfRule>
  </conditionalFormatting>
  <conditionalFormatting sqref="R33">
    <cfRule type="containsText" dxfId="9" priority="11" operator="containsText" text="ERROR">
      <formula>NOT(ISERROR(SEARCH("ERROR",R33)))</formula>
    </cfRule>
    <cfRule type="containsText" dxfId="8" priority="12" operator="containsText" text="GOOD">
      <formula>NOT(ISERROR(SEARCH("GOOD",R33)))</formula>
    </cfRule>
  </conditionalFormatting>
  <conditionalFormatting sqref="R37">
    <cfRule type="containsText" dxfId="7" priority="13" operator="containsText" text="ERROR">
      <formula>NOT(ISERROR(SEARCH("ERROR",R37)))</formula>
    </cfRule>
    <cfRule type="containsText" dxfId="6" priority="14" operator="containsText" text="GOOD">
      <formula>NOT(ISERROR(SEARCH("GOOD",R37)))</formula>
    </cfRule>
  </conditionalFormatting>
  <conditionalFormatting sqref="R39">
    <cfRule type="containsText" dxfId="5" priority="25" operator="containsText" text="ERROR">
      <formula>NOT(ISERROR(SEARCH("ERROR",R39)))</formula>
    </cfRule>
    <cfRule type="containsText" dxfId="4" priority="26" operator="containsText" text="GOOD">
      <formula>NOT(ISERROR(SEARCH("GOOD",R39)))</formula>
    </cfRule>
  </conditionalFormatting>
  <conditionalFormatting sqref="R45:R46">
    <cfRule type="cellIs" dxfId="3" priority="9" operator="equal">
      <formula>"ERROR"</formula>
    </cfRule>
    <cfRule type="cellIs" dxfId="2" priority="10" operator="equal">
      <formula>"GOOD"</formula>
    </cfRule>
  </conditionalFormatting>
  <conditionalFormatting sqref="R50">
    <cfRule type="containsText" dxfId="1" priority="27" operator="containsText" text="ERROR">
      <formula>NOT(ISERROR(SEARCH("ERROR",R50)))</formula>
    </cfRule>
    <cfRule type="containsText" dxfId="0" priority="28" operator="containsText" text="GOOD">
      <formula>NOT(ISERROR(SEARCH("GOOD",R50)))</formula>
    </cfRule>
  </conditionalFormatting>
  <pageMargins left="0.7" right="0.7" top="0.75" bottom="0.75" header="0.3" footer="0.3"/>
  <pageSetup scale="35" orientation="portrait" r:id="rId1"/>
  <headerFooter alignWithMargins="0">
    <oddHeader>&amp;R&amp;"Arial,Regular"UG-250717 - NWN WUTC Advice 25-08A
Exhibit A - Supporting Materials
Page &amp;P of &amp;N</oddHeader>
  </headerFooter>
  <rowBreaks count="1" manualBreakCount="1">
    <brk id="40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5E80C-57BE-49C7-AF16-D105609DD24C}">
  <sheetPr>
    <tabColor theme="0" tint="-0.14999847407452621"/>
    <pageSetUpPr fitToPage="1"/>
  </sheetPr>
  <dimension ref="A1:AI393"/>
  <sheetViews>
    <sheetView showGridLines="0" tabSelected="1" zoomScale="80" zoomScaleNormal="80" workbookViewId="0">
      <pane xSplit="3" ySplit="11" topLeftCell="D12" activePane="bottomRight" state="frozen"/>
      <selection activeCell="I13" sqref="I13:I80"/>
      <selection pane="topRight" activeCell="I13" sqref="I13:I80"/>
      <selection pane="bottomLeft" activeCell="I13" sqref="I13:I80"/>
      <selection pane="bottomRight" activeCell="I13" sqref="I13:I80"/>
    </sheetView>
  </sheetViews>
  <sheetFormatPr defaultColWidth="9.69921875" defaultRowHeight="14.5" x14ac:dyDescent="0.35"/>
  <cols>
    <col min="1" max="1" width="7.19921875" style="408" customWidth="1"/>
    <col min="2" max="2" width="35.69921875" style="408" customWidth="1"/>
    <col min="3" max="16" width="13.796875" style="408" customWidth="1"/>
    <col min="17" max="18" width="13.796875" style="408" hidden="1" customWidth="1"/>
    <col min="19" max="29" width="13.796875" style="408" customWidth="1"/>
    <col min="30" max="30" width="5" style="408" customWidth="1"/>
    <col min="31" max="31" width="13.796875" style="408" customWidth="1"/>
    <col min="32" max="32" width="5" style="408" customWidth="1"/>
    <col min="33" max="54" width="13.796875" style="408" customWidth="1"/>
    <col min="55" max="16384" width="9.69921875" style="408"/>
  </cols>
  <sheetData>
    <row r="1" spans="1:35" x14ac:dyDescent="0.35">
      <c r="A1" s="408" t="str">
        <f>+'[15]Supply Contracts'!A1</f>
        <v>NW Natural</v>
      </c>
    </row>
    <row r="2" spans="1:35" x14ac:dyDescent="0.35">
      <c r="A2" s="408" t="str">
        <f>+'[15]Supply Contracts'!A2</f>
        <v>2025-2026 PGA - SYSTEM: September Filing</v>
      </c>
    </row>
    <row r="3" spans="1:35" x14ac:dyDescent="0.35">
      <c r="A3" s="408" t="s">
        <v>433</v>
      </c>
    </row>
    <row r="4" spans="1:35" x14ac:dyDescent="0.35">
      <c r="A4" s="408" t="s">
        <v>434</v>
      </c>
    </row>
    <row r="5" spans="1:35" ht="15" thickBot="1" x14ac:dyDescent="0.4"/>
    <row r="6" spans="1:35" ht="15" thickBot="1" x14ac:dyDescent="0.4">
      <c r="A6" s="470" t="s">
        <v>435</v>
      </c>
      <c r="B6" s="469"/>
      <c r="C6" s="468"/>
    </row>
    <row r="8" spans="1:35" x14ac:dyDescent="0.35">
      <c r="A8" s="416"/>
      <c r="F8" s="467"/>
      <c r="G8" s="467"/>
      <c r="H8" s="467"/>
      <c r="I8" s="467"/>
      <c r="J8" s="467"/>
      <c r="K8" s="467"/>
      <c r="L8" s="467"/>
      <c r="M8" s="467"/>
      <c r="N8" s="467"/>
      <c r="O8" s="467"/>
      <c r="P8" s="467"/>
      <c r="Q8" s="467"/>
      <c r="R8" s="467"/>
      <c r="S8" s="467"/>
      <c r="T8" s="467"/>
      <c r="U8" s="467"/>
      <c r="V8" s="467"/>
      <c r="W8" s="467"/>
      <c r="X8" s="467"/>
      <c r="Y8" s="467"/>
      <c r="Z8" s="467"/>
      <c r="AA8" s="467"/>
      <c r="AB8" s="467"/>
      <c r="AC8" s="467"/>
      <c r="AD8" s="467"/>
      <c r="AE8" s="467"/>
      <c r="AF8" s="467"/>
      <c r="AG8" s="467"/>
      <c r="AH8" s="467"/>
      <c r="AI8" s="467"/>
    </row>
    <row r="9" spans="1:35" x14ac:dyDescent="0.35">
      <c r="A9" s="409">
        <v>1</v>
      </c>
      <c r="B9" s="467" t="s">
        <v>331</v>
      </c>
      <c r="C9" s="467" t="s">
        <v>330</v>
      </c>
      <c r="D9" s="467" t="s">
        <v>329</v>
      </c>
      <c r="E9" s="467" t="s">
        <v>328</v>
      </c>
      <c r="F9" s="467" t="s">
        <v>366</v>
      </c>
      <c r="G9" s="467" t="s">
        <v>325</v>
      </c>
      <c r="H9" s="467" t="s">
        <v>324</v>
      </c>
      <c r="I9" s="467" t="s">
        <v>365</v>
      </c>
      <c r="J9" s="467" t="s">
        <v>376</v>
      </c>
      <c r="K9" s="467" t="s">
        <v>377</v>
      </c>
      <c r="L9" s="467" t="s">
        <v>378</v>
      </c>
      <c r="M9" s="467" t="s">
        <v>379</v>
      </c>
      <c r="N9" s="467" t="s">
        <v>380</v>
      </c>
      <c r="O9" s="467" t="s">
        <v>381</v>
      </c>
      <c r="P9" s="467" t="s">
        <v>382</v>
      </c>
      <c r="Q9" s="467"/>
      <c r="R9" s="467"/>
      <c r="S9" s="467"/>
      <c r="T9" s="467"/>
      <c r="U9" s="467"/>
      <c r="V9" s="467"/>
      <c r="W9" s="467"/>
      <c r="X9" s="467"/>
      <c r="Y9" s="467"/>
      <c r="Z9" s="467"/>
      <c r="AA9" s="467"/>
      <c r="AB9" s="467"/>
      <c r="AC9" s="467"/>
      <c r="AD9" s="467"/>
      <c r="AE9" s="467"/>
      <c r="AF9" s="467"/>
      <c r="AG9" s="467"/>
    </row>
    <row r="10" spans="1:35" x14ac:dyDescent="0.35">
      <c r="A10" s="409">
        <f t="shared" ref="A10:A33" si="0">+A9+1</f>
        <v>2</v>
      </c>
      <c r="B10" s="131"/>
      <c r="D10" s="464" t="s">
        <v>383</v>
      </c>
      <c r="E10" s="464" t="s">
        <v>384</v>
      </c>
      <c r="F10" s="464" t="s">
        <v>385</v>
      </c>
      <c r="G10" s="464" t="s">
        <v>386</v>
      </c>
      <c r="H10" s="464" t="s">
        <v>387</v>
      </c>
      <c r="I10" s="464" t="s">
        <v>388</v>
      </c>
      <c r="J10" s="464" t="s">
        <v>389</v>
      </c>
      <c r="K10" s="464" t="s">
        <v>390</v>
      </c>
      <c r="L10" s="464" t="s">
        <v>391</v>
      </c>
      <c r="M10" s="464" t="s">
        <v>392</v>
      </c>
      <c r="N10" s="464" t="s">
        <v>393</v>
      </c>
      <c r="O10" s="464" t="s">
        <v>394</v>
      </c>
      <c r="P10" s="464" t="s">
        <v>27</v>
      </c>
      <c r="Q10" s="409"/>
      <c r="R10" s="409"/>
      <c r="S10" s="409"/>
      <c r="T10" s="409"/>
      <c r="U10" s="409"/>
      <c r="V10" s="409"/>
      <c r="W10" s="409"/>
      <c r="X10" s="409"/>
      <c r="Y10" s="409"/>
      <c r="Z10" s="409"/>
      <c r="AA10" s="409"/>
      <c r="AB10" s="409"/>
      <c r="AC10" s="409"/>
      <c r="AD10" s="409"/>
      <c r="AF10" s="409"/>
      <c r="AG10" s="409"/>
    </row>
    <row r="11" spans="1:35" x14ac:dyDescent="0.35">
      <c r="A11" s="409">
        <f t="shared" si="0"/>
        <v>3</v>
      </c>
      <c r="B11" s="131"/>
      <c r="D11" s="409">
        <f>INDEX('[15]Hedged Spot Dispatch &amp; Cost'!$D$20:$D$31,'Total Commodity Summary'!D9:O9)</f>
        <v>30</v>
      </c>
      <c r="E11" s="409">
        <f>INDEX('[15]Hedged Spot Dispatch &amp; Cost'!$D$20:$D$31,'Total Commodity Summary'!E9:P9)</f>
        <v>31</v>
      </c>
      <c r="F11" s="409">
        <f>INDEX('[15]Hedged Spot Dispatch &amp; Cost'!$D$20:$D$31,'Total Commodity Summary'!F9:P9)</f>
        <v>31</v>
      </c>
      <c r="G11" s="409">
        <f>INDEX('[15]Hedged Spot Dispatch &amp; Cost'!$D$20:$D$31,'Total Commodity Summary'!G9:P9)</f>
        <v>28</v>
      </c>
      <c r="H11" s="409">
        <f>INDEX('[15]Hedged Spot Dispatch &amp; Cost'!$D$20:$D$31,'Total Commodity Summary'!H9:P9)</f>
        <v>31</v>
      </c>
      <c r="I11" s="409">
        <f>INDEX('[15]Hedged Spot Dispatch &amp; Cost'!$D$20:$D$31,'Total Commodity Summary'!I9:P9)</f>
        <v>30</v>
      </c>
      <c r="J11" s="409">
        <f>INDEX('[15]Hedged Spot Dispatch &amp; Cost'!$D$20:$D$31,'Total Commodity Summary'!J9:P9)</f>
        <v>31</v>
      </c>
      <c r="K11" s="409">
        <f>INDEX('[15]Hedged Spot Dispatch &amp; Cost'!$D$20:$D$31,'Total Commodity Summary'!K9:P9)</f>
        <v>30</v>
      </c>
      <c r="L11" s="409">
        <f>INDEX('[15]Hedged Spot Dispatch &amp; Cost'!$D$20:$D$31,'Total Commodity Summary'!L9:P9)</f>
        <v>31</v>
      </c>
      <c r="M11" s="409">
        <f>INDEX('[15]Hedged Spot Dispatch &amp; Cost'!$D$20:$D$31,'Total Commodity Summary'!M9:P9)</f>
        <v>31</v>
      </c>
      <c r="N11" s="409">
        <f>INDEX('[15]Hedged Spot Dispatch &amp; Cost'!$D$20:$D$31,'Total Commodity Summary'!N9:P9)</f>
        <v>30</v>
      </c>
      <c r="O11" s="409">
        <f>INDEX('[15]Hedged Spot Dispatch &amp; Cost'!$D$20:$D$31,'Total Commodity Summary'!O9:P9)</f>
        <v>31</v>
      </c>
      <c r="P11" s="409">
        <f>SUM(D11:O11)</f>
        <v>365</v>
      </c>
      <c r="Q11" s="409"/>
      <c r="R11" s="409"/>
      <c r="S11" s="409"/>
      <c r="T11" s="409"/>
      <c r="U11" s="409"/>
      <c r="V11" s="409"/>
      <c r="W11" s="409"/>
      <c r="X11" s="409"/>
      <c r="Y11" s="409"/>
      <c r="Z11" s="409"/>
      <c r="AA11" s="409"/>
      <c r="AB11" s="409"/>
      <c r="AC11" s="409"/>
      <c r="AD11" s="409"/>
      <c r="AE11" s="409"/>
      <c r="AF11" s="409"/>
      <c r="AG11" s="409"/>
    </row>
    <row r="12" spans="1:35" x14ac:dyDescent="0.35">
      <c r="A12" s="409">
        <f t="shared" si="0"/>
        <v>4</v>
      </c>
      <c r="B12" s="132" t="s">
        <v>436</v>
      </c>
      <c r="P12" s="467"/>
      <c r="Q12" s="409"/>
      <c r="R12" s="409"/>
      <c r="S12" s="409"/>
      <c r="T12" s="409"/>
      <c r="U12" s="409"/>
      <c r="V12" s="409"/>
      <c r="W12" s="409"/>
      <c r="X12" s="409"/>
      <c r="Y12" s="409"/>
      <c r="Z12" s="409"/>
      <c r="AA12" s="409"/>
      <c r="AB12" s="409"/>
      <c r="AC12" s="409"/>
      <c r="AD12" s="409"/>
      <c r="AE12" s="409"/>
      <c r="AF12" s="409"/>
      <c r="AG12" s="409"/>
    </row>
    <row r="13" spans="1:35" x14ac:dyDescent="0.35">
      <c r="A13" s="409">
        <f t="shared" si="0"/>
        <v>5</v>
      </c>
      <c r="B13" s="131"/>
      <c r="C13" s="131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441"/>
      <c r="R13" s="474"/>
      <c r="S13" s="441"/>
      <c r="T13" s="441"/>
      <c r="U13" s="441"/>
      <c r="V13" s="441"/>
      <c r="W13" s="441"/>
      <c r="X13" s="441"/>
      <c r="Y13" s="441"/>
      <c r="Z13" s="441"/>
      <c r="AA13" s="441"/>
      <c r="AB13" s="441"/>
      <c r="AC13" s="441"/>
      <c r="AD13" s="441"/>
      <c r="AE13" s="409"/>
      <c r="AF13" s="441"/>
      <c r="AG13" s="441"/>
    </row>
    <row r="14" spans="1:35" x14ac:dyDescent="0.35">
      <c r="A14" s="409">
        <f t="shared" si="0"/>
        <v>6</v>
      </c>
      <c r="B14" s="131" t="s">
        <v>437</v>
      </c>
      <c r="D14" s="198">
        <f>'[39]Demand Charges'!D14</f>
        <v>4018544.125</v>
      </c>
      <c r="E14" s="198">
        <f>'[39]Demand Charges'!E14</f>
        <v>4152495.9625000004</v>
      </c>
      <c r="F14" s="198">
        <f>'[39]Demand Charges'!F14</f>
        <v>4152495.9625000004</v>
      </c>
      <c r="G14" s="198">
        <f>'[39]Demand Charges'!G14</f>
        <v>3750641.45</v>
      </c>
      <c r="H14" s="198">
        <f>'[39]Demand Charges'!H14</f>
        <v>4152495.9625000004</v>
      </c>
      <c r="I14" s="198">
        <f>'[39]Demand Charges'!I14</f>
        <v>3927859</v>
      </c>
      <c r="J14" s="198">
        <f>'[39]Demand Charges'!J14</f>
        <v>4058788</v>
      </c>
      <c r="K14" s="198">
        <f>'[39]Demand Charges'!K14</f>
        <v>3927859</v>
      </c>
      <c r="L14" s="198">
        <f>'[39]Demand Charges'!L14</f>
        <v>4058788</v>
      </c>
      <c r="M14" s="198">
        <f>'[39]Demand Charges'!M14</f>
        <v>4058788</v>
      </c>
      <c r="N14" s="198">
        <f>'[39]Demand Charges'!N14</f>
        <v>3927859</v>
      </c>
      <c r="O14" s="198">
        <f>'[39]Demand Charges'!O14</f>
        <v>4058788</v>
      </c>
      <c r="P14" s="413">
        <f>SUM(D14:O14)</f>
        <v>48245402.462499999</v>
      </c>
      <c r="Q14" s="413">
        <v>176979</v>
      </c>
      <c r="R14" s="199">
        <f>+Q14/(P14-Q14)</f>
        <v>3.6818141152074194E-3</v>
      </c>
      <c r="S14" s="441"/>
      <c r="T14" s="413"/>
      <c r="U14" s="163"/>
      <c r="V14" s="441"/>
      <c r="W14" s="441"/>
      <c r="X14" s="441"/>
      <c r="Y14" s="441"/>
      <c r="Z14" s="441"/>
      <c r="AA14" s="441"/>
      <c r="AB14" s="441"/>
      <c r="AC14" s="441"/>
      <c r="AD14" s="441"/>
      <c r="AE14" s="409"/>
      <c r="AF14" s="441"/>
      <c r="AG14" s="441"/>
    </row>
    <row r="15" spans="1:35" x14ac:dyDescent="0.35">
      <c r="A15" s="409">
        <f t="shared" si="0"/>
        <v>7</v>
      </c>
      <c r="B15" s="131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441"/>
      <c r="T15" s="145"/>
      <c r="U15" s="441"/>
      <c r="V15" s="441"/>
      <c r="W15" s="441"/>
      <c r="X15" s="441"/>
      <c r="Y15" s="441"/>
      <c r="Z15" s="441"/>
      <c r="AA15" s="441"/>
      <c r="AB15" s="441"/>
      <c r="AC15" s="441"/>
      <c r="AD15" s="441"/>
      <c r="AE15" s="409"/>
      <c r="AF15" s="441"/>
      <c r="AG15" s="441"/>
    </row>
    <row r="16" spans="1:35" x14ac:dyDescent="0.35">
      <c r="A16" s="409">
        <f t="shared" si="0"/>
        <v>8</v>
      </c>
      <c r="B16" s="408" t="s">
        <v>438</v>
      </c>
      <c r="D16" s="145">
        <f>'[39]Demand Charges'!D16</f>
        <v>867774.20269877836</v>
      </c>
      <c r="E16" s="145">
        <f>'[39]Demand Charges'!E16</f>
        <v>867774.20269877836</v>
      </c>
      <c r="F16" s="145">
        <f>'[39]Demand Charges'!F16</f>
        <v>867774.20269877836</v>
      </c>
      <c r="G16" s="145">
        <f>'[39]Demand Charges'!G16</f>
        <v>867774.20269877836</v>
      </c>
      <c r="H16" s="145">
        <f>'[39]Demand Charges'!H16</f>
        <v>867774.20269877836</v>
      </c>
      <c r="I16" s="145">
        <f>'[39]Demand Charges'!I16</f>
        <v>867774.20269877836</v>
      </c>
      <c r="J16" s="145">
        <f>'[39]Demand Charges'!J16</f>
        <v>867774.20269877836</v>
      </c>
      <c r="K16" s="145">
        <f>'[39]Demand Charges'!K16</f>
        <v>867774.20269877836</v>
      </c>
      <c r="L16" s="145">
        <f>'[39]Demand Charges'!L16</f>
        <v>867774.20269877836</v>
      </c>
      <c r="M16" s="145">
        <f>'[39]Demand Charges'!M16</f>
        <v>867774.20269877836</v>
      </c>
      <c r="N16" s="145">
        <f>'[39]Demand Charges'!N16</f>
        <v>867774.20269877836</v>
      </c>
      <c r="O16" s="145">
        <f>'[39]Demand Charges'!O16</f>
        <v>867774.20269877836</v>
      </c>
      <c r="P16" s="145">
        <f>SUM(D16:O16)</f>
        <v>10413290.43238534</v>
      </c>
      <c r="Q16" s="145">
        <v>1709294.3603865849</v>
      </c>
      <c r="R16" s="199">
        <f>+Q16/(P16-Q16)</f>
        <v>0.19638041495508951</v>
      </c>
      <c r="S16" s="441"/>
      <c r="T16" s="145"/>
      <c r="U16" s="163"/>
      <c r="V16" s="411"/>
      <c r="W16" s="411"/>
      <c r="X16" s="411"/>
      <c r="Y16" s="411"/>
      <c r="Z16" s="411"/>
      <c r="AA16" s="411"/>
      <c r="AB16" s="411"/>
      <c r="AC16" s="411"/>
      <c r="AD16" s="411"/>
      <c r="AE16" s="411"/>
      <c r="AF16" s="411"/>
      <c r="AG16" s="411"/>
    </row>
    <row r="17" spans="1:33" x14ac:dyDescent="0.35">
      <c r="A17" s="409">
        <f t="shared" si="0"/>
        <v>9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411"/>
      <c r="T17" s="145"/>
      <c r="U17" s="411"/>
      <c r="V17" s="411"/>
      <c r="W17" s="411"/>
      <c r="X17" s="411"/>
      <c r="Y17" s="411"/>
      <c r="Z17" s="411"/>
      <c r="AA17" s="411"/>
      <c r="AB17" s="411"/>
      <c r="AC17" s="411"/>
      <c r="AD17" s="411"/>
      <c r="AE17" s="411"/>
      <c r="AF17" s="411"/>
      <c r="AG17" s="411"/>
    </row>
    <row r="18" spans="1:33" x14ac:dyDescent="0.35">
      <c r="A18" s="409">
        <f t="shared" si="0"/>
        <v>10</v>
      </c>
      <c r="B18" s="408" t="s">
        <v>439</v>
      </c>
      <c r="D18" s="145">
        <f>'[39]Demand Charges'!D18</f>
        <v>504041.96560132736</v>
      </c>
      <c r="E18" s="145">
        <f>'[39]Demand Charges'!E18</f>
        <v>504041.96560132736</v>
      </c>
      <c r="F18" s="145">
        <f>'[39]Demand Charges'!F18</f>
        <v>504041.96560132736</v>
      </c>
      <c r="G18" s="145">
        <f>'[39]Demand Charges'!G18</f>
        <v>504041.96560132736</v>
      </c>
      <c r="H18" s="145">
        <f>'[39]Demand Charges'!H18</f>
        <v>504041.96560132736</v>
      </c>
      <c r="I18" s="145">
        <f>'[39]Demand Charges'!I18</f>
        <v>449898.96560132736</v>
      </c>
      <c r="J18" s="145">
        <f>'[39]Demand Charges'!J18</f>
        <v>449898.96560132736</v>
      </c>
      <c r="K18" s="145">
        <f>'[39]Demand Charges'!K18</f>
        <v>449898.96560132736</v>
      </c>
      <c r="L18" s="145">
        <f>'[39]Demand Charges'!L18</f>
        <v>449898.96560132736</v>
      </c>
      <c r="M18" s="145">
        <f>'[39]Demand Charges'!M18</f>
        <v>449898.96560132736</v>
      </c>
      <c r="N18" s="145">
        <f>'[39]Demand Charges'!N18</f>
        <v>449898.96560132736</v>
      </c>
      <c r="O18" s="145">
        <f>'[39]Demand Charges'!O18</f>
        <v>504041.96560132736</v>
      </c>
      <c r="P18" s="145">
        <f>SUM(D18:O18)</f>
        <v>5723645.5872159265</v>
      </c>
      <c r="Q18" s="145">
        <v>2275219.639603965</v>
      </c>
      <c r="R18" s="199">
        <f>+Q18/(P18-Q18)</f>
        <v>0.65978497847099105</v>
      </c>
      <c r="S18" s="441"/>
      <c r="T18" s="145"/>
      <c r="U18" s="163"/>
      <c r="V18" s="411"/>
      <c r="W18" s="411"/>
      <c r="X18" s="411"/>
      <c r="Y18" s="411"/>
      <c r="Z18" s="411"/>
      <c r="AA18" s="411"/>
      <c r="AB18" s="411"/>
      <c r="AC18" s="411"/>
      <c r="AD18" s="411"/>
      <c r="AE18" s="411"/>
      <c r="AF18" s="411"/>
      <c r="AG18" s="411"/>
    </row>
    <row r="19" spans="1:33" x14ac:dyDescent="0.35">
      <c r="A19" s="409">
        <f t="shared" si="0"/>
        <v>11</v>
      </c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441"/>
      <c r="T19" s="135"/>
      <c r="U19" s="441"/>
      <c r="V19" s="441"/>
      <c r="W19" s="441"/>
      <c r="X19" s="441"/>
      <c r="Y19" s="441"/>
      <c r="Z19" s="441"/>
      <c r="AA19" s="441"/>
      <c r="AB19" s="441"/>
      <c r="AC19" s="441"/>
      <c r="AD19" s="441"/>
      <c r="AE19" s="409"/>
      <c r="AF19" s="441"/>
      <c r="AG19" s="441"/>
    </row>
    <row r="20" spans="1:33" x14ac:dyDescent="0.35">
      <c r="A20" s="409">
        <f t="shared" si="0"/>
        <v>12</v>
      </c>
      <c r="B20" s="408" t="s">
        <v>440</v>
      </c>
      <c r="D20" s="145">
        <f>'[39]Demand Charges'!D20</f>
        <v>404282.20382340002</v>
      </c>
      <c r="E20" s="145">
        <f>'[39]Demand Charges'!E20</f>
        <v>417758.27728418005</v>
      </c>
      <c r="F20" s="145">
        <f>'[39]Demand Charges'!F20</f>
        <v>417758.27728418005</v>
      </c>
      <c r="G20" s="145">
        <f>'[39]Demand Charges'!G20</f>
        <v>377330.05690184003</v>
      </c>
      <c r="H20" s="145">
        <f>'[39]Demand Charges'!H20</f>
        <v>417758.27728418005</v>
      </c>
      <c r="I20" s="145">
        <f>'[39]Demand Charges'!I20</f>
        <v>340227.69407040003</v>
      </c>
      <c r="J20" s="145">
        <f>'[39]Demand Charges'!J20</f>
        <v>351568.61720608</v>
      </c>
      <c r="K20" s="145">
        <f>'[39]Demand Charges'!K20</f>
        <v>340227.69407040003</v>
      </c>
      <c r="L20" s="145">
        <f>'[39]Demand Charges'!L20</f>
        <v>351568.61720608</v>
      </c>
      <c r="M20" s="145">
        <f>'[39]Demand Charges'!M20</f>
        <v>351568.61720608</v>
      </c>
      <c r="N20" s="145">
        <f>'[39]Demand Charges'!N20</f>
        <v>340227.69407040003</v>
      </c>
      <c r="O20" s="145">
        <f>'[39]Demand Charges'!O20</f>
        <v>417758.27728418005</v>
      </c>
      <c r="P20" s="145">
        <f>SUM(D20:O20)</f>
        <v>4528034.3036914002</v>
      </c>
      <c r="Q20" s="145">
        <v>639567</v>
      </c>
      <c r="R20" s="199">
        <f>+Q20/(P20-Q20)</f>
        <v>0.16447791637410611</v>
      </c>
      <c r="S20" s="441"/>
      <c r="T20" s="145"/>
      <c r="U20" s="163"/>
      <c r="V20" s="411"/>
      <c r="W20" s="411"/>
      <c r="X20" s="411"/>
      <c r="Y20" s="411"/>
      <c r="Z20" s="411"/>
      <c r="AA20" s="411"/>
      <c r="AB20" s="411"/>
      <c r="AC20" s="411"/>
      <c r="AD20" s="411"/>
      <c r="AE20" s="411"/>
      <c r="AF20" s="411"/>
      <c r="AG20" s="411"/>
    </row>
    <row r="21" spans="1:33" x14ac:dyDescent="0.35">
      <c r="A21" s="409">
        <f t="shared" si="0"/>
        <v>13</v>
      </c>
      <c r="D21" s="411"/>
      <c r="E21" s="411"/>
      <c r="F21" s="411"/>
      <c r="G21" s="411"/>
      <c r="H21" s="411"/>
      <c r="I21" s="411"/>
      <c r="J21" s="411"/>
      <c r="K21" s="411"/>
      <c r="L21" s="411"/>
      <c r="M21" s="411"/>
      <c r="N21" s="411"/>
      <c r="O21" s="411"/>
      <c r="P21" s="145"/>
      <c r="Q21" s="145"/>
      <c r="R21" s="145"/>
      <c r="S21" s="411"/>
      <c r="T21" s="145"/>
      <c r="U21" s="163"/>
      <c r="V21" s="411"/>
      <c r="W21" s="411"/>
      <c r="X21" s="411"/>
      <c r="Y21" s="411"/>
      <c r="Z21" s="411"/>
      <c r="AA21" s="411"/>
      <c r="AB21" s="411"/>
      <c r="AC21" s="411"/>
      <c r="AD21" s="411"/>
      <c r="AE21" s="411"/>
      <c r="AF21" s="411"/>
      <c r="AG21" s="411"/>
    </row>
    <row r="22" spans="1:33" x14ac:dyDescent="0.35">
      <c r="A22" s="409">
        <f t="shared" si="0"/>
        <v>14</v>
      </c>
      <c r="B22" s="408" t="s">
        <v>441</v>
      </c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>
        <f>SUM(D22:O22)</f>
        <v>0</v>
      </c>
      <c r="Q22" s="145">
        <v>854656</v>
      </c>
      <c r="R22" s="199">
        <f>+Q22/(P22-Q22)</f>
        <v>-1</v>
      </c>
      <c r="S22" s="441"/>
      <c r="T22" s="145"/>
      <c r="U22" s="163"/>
      <c r="V22" s="441"/>
      <c r="W22" s="441"/>
      <c r="X22" s="441"/>
      <c r="Y22" s="441"/>
      <c r="Z22" s="441"/>
      <c r="AA22" s="441"/>
      <c r="AB22" s="441"/>
      <c r="AC22" s="441"/>
      <c r="AD22" s="441"/>
      <c r="AE22" s="409"/>
      <c r="AF22" s="441"/>
      <c r="AG22" s="441"/>
    </row>
    <row r="23" spans="1:33" x14ac:dyDescent="0.35">
      <c r="A23" s="409">
        <f t="shared" si="0"/>
        <v>15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99"/>
      <c r="S23" s="441"/>
      <c r="T23" s="145"/>
      <c r="U23" s="441"/>
      <c r="V23" s="441"/>
      <c r="W23" s="441"/>
      <c r="X23" s="441"/>
      <c r="Y23" s="441"/>
      <c r="Z23" s="441"/>
      <c r="AA23" s="441"/>
      <c r="AB23" s="441"/>
      <c r="AC23" s="441"/>
      <c r="AD23" s="441"/>
      <c r="AE23" s="409"/>
      <c r="AF23" s="441"/>
      <c r="AG23" s="441"/>
    </row>
    <row r="24" spans="1:33" x14ac:dyDescent="0.35">
      <c r="A24" s="409">
        <f t="shared" si="0"/>
        <v>16</v>
      </c>
      <c r="B24" s="408" t="s">
        <v>442</v>
      </c>
      <c r="D24" s="145">
        <f>'[39]Demand Charges'!D24</f>
        <v>3191632</v>
      </c>
      <c r="E24" s="145">
        <f>'[39]Demand Charges'!E24</f>
        <v>702082</v>
      </c>
      <c r="F24" s="145">
        <f>'[39]Demand Charges'!F24</f>
        <v>702082</v>
      </c>
      <c r="G24" s="145">
        <f>'[39]Demand Charges'!G24</f>
        <v>670732</v>
      </c>
      <c r="H24" s="145">
        <f>'[39]Demand Charges'!H24</f>
        <v>702082</v>
      </c>
      <c r="I24" s="145">
        <f>'[39]Demand Charges'!I24</f>
        <v>1295877</v>
      </c>
      <c r="J24" s="145">
        <f>'[39]Demand Charges'!J24</f>
        <v>1314117</v>
      </c>
      <c r="K24" s="145">
        <f>'[39]Demand Charges'!K24</f>
        <v>1295877</v>
      </c>
      <c r="L24" s="145">
        <f>'[39]Demand Charges'!L24</f>
        <v>1314117</v>
      </c>
      <c r="M24" s="145">
        <f>'[39]Demand Charges'!M24</f>
        <v>1314117</v>
      </c>
      <c r="N24" s="145">
        <f>'[39]Demand Charges'!N24</f>
        <v>1295877</v>
      </c>
      <c r="O24" s="145">
        <f>'[39]Demand Charges'!O24</f>
        <v>1314117</v>
      </c>
      <c r="P24" s="145">
        <f>SUM(D24:O24)</f>
        <v>15112709</v>
      </c>
      <c r="Q24" s="145"/>
      <c r="R24" s="199"/>
      <c r="S24" s="441"/>
      <c r="T24" s="145"/>
      <c r="U24" s="163"/>
      <c r="V24" s="441"/>
      <c r="W24" s="441"/>
      <c r="X24" s="441"/>
      <c r="Y24" s="441"/>
      <c r="Z24" s="441"/>
      <c r="AA24" s="441"/>
      <c r="AB24" s="441"/>
      <c r="AC24" s="441"/>
      <c r="AD24" s="441"/>
      <c r="AE24" s="409"/>
      <c r="AF24" s="441"/>
      <c r="AG24" s="441"/>
    </row>
    <row r="25" spans="1:33" x14ac:dyDescent="0.35">
      <c r="A25" s="409">
        <f t="shared" si="0"/>
        <v>17</v>
      </c>
      <c r="B25" s="131"/>
      <c r="C25" s="131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441"/>
      <c r="T25" s="145"/>
      <c r="U25" s="441"/>
      <c r="V25" s="441"/>
      <c r="W25" s="441"/>
      <c r="X25" s="441"/>
      <c r="Y25" s="441"/>
      <c r="Z25" s="441"/>
      <c r="AA25" s="441"/>
      <c r="AB25" s="441"/>
      <c r="AC25" s="441"/>
      <c r="AD25" s="441"/>
      <c r="AE25" s="409"/>
      <c r="AF25" s="441"/>
      <c r="AG25" s="441"/>
    </row>
    <row r="26" spans="1:33" x14ac:dyDescent="0.35">
      <c r="A26" s="409">
        <f t="shared" si="0"/>
        <v>18</v>
      </c>
      <c r="B26" s="131" t="s">
        <v>443</v>
      </c>
      <c r="C26" s="131"/>
      <c r="D26" s="145">
        <f>'[39]Demand Charges'!D26</f>
        <v>18688.190000000002</v>
      </c>
      <c r="E26" s="145">
        <f>'[39]Demand Charges'!E26</f>
        <v>18688.190000000002</v>
      </c>
      <c r="F26" s="145">
        <f>'[39]Demand Charges'!F26</f>
        <v>18688.190000000002</v>
      </c>
      <c r="G26" s="145">
        <f>'[39]Demand Charges'!G26</f>
        <v>18688.190000000002</v>
      </c>
      <c r="H26" s="145">
        <f>'[39]Demand Charges'!H26</f>
        <v>18688.190000000002</v>
      </c>
      <c r="I26" s="145">
        <f>'[39]Demand Charges'!I26</f>
        <v>18688.190000000002</v>
      </c>
      <c r="J26" s="145">
        <f>'[39]Demand Charges'!J26</f>
        <v>18688.190000000002</v>
      </c>
      <c r="K26" s="145">
        <f>'[39]Demand Charges'!K26</f>
        <v>18688.190000000002</v>
      </c>
      <c r="L26" s="145">
        <f>'[39]Demand Charges'!L26</f>
        <v>18688.190000000002</v>
      </c>
      <c r="M26" s="145">
        <f>'[39]Demand Charges'!M26</f>
        <v>18688.190000000002</v>
      </c>
      <c r="N26" s="145">
        <f>'[39]Demand Charges'!N26</f>
        <v>18688.190000000002</v>
      </c>
      <c r="O26" s="145">
        <f>'[39]Demand Charges'!O26</f>
        <v>18688.190000000002</v>
      </c>
      <c r="P26" s="145">
        <f>SUM(D26:O26)</f>
        <v>224258.28000000003</v>
      </c>
      <c r="Q26" s="145">
        <v>0</v>
      </c>
      <c r="R26" s="199">
        <f>+Q26/(P26-Q26)</f>
        <v>0</v>
      </c>
      <c r="S26" s="441"/>
      <c r="T26" s="145"/>
      <c r="U26" s="163"/>
      <c r="V26" s="441"/>
      <c r="W26" s="441"/>
      <c r="X26" s="441"/>
      <c r="Y26" s="441"/>
      <c r="Z26" s="441"/>
      <c r="AA26" s="441"/>
      <c r="AB26" s="441"/>
      <c r="AC26" s="441"/>
      <c r="AD26" s="441"/>
      <c r="AE26" s="409"/>
      <c r="AF26" s="441"/>
      <c r="AG26" s="441"/>
    </row>
    <row r="27" spans="1:33" x14ac:dyDescent="0.35">
      <c r="A27" s="409">
        <f t="shared" si="0"/>
        <v>19</v>
      </c>
      <c r="B27" s="131"/>
      <c r="C27" s="131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99"/>
      <c r="S27" s="441"/>
      <c r="T27" s="145"/>
      <c r="U27" s="163"/>
      <c r="V27" s="441"/>
      <c r="W27" s="441"/>
      <c r="X27" s="441"/>
      <c r="Y27" s="441"/>
      <c r="Z27" s="441"/>
      <c r="AA27" s="441"/>
      <c r="AB27" s="441"/>
      <c r="AC27" s="441"/>
      <c r="AD27" s="441"/>
      <c r="AE27" s="409"/>
      <c r="AF27" s="441"/>
      <c r="AG27" s="441"/>
    </row>
    <row r="28" spans="1:33" x14ac:dyDescent="0.35">
      <c r="A28" s="409">
        <f t="shared" si="0"/>
        <v>20</v>
      </c>
      <c r="B28" s="131" t="s">
        <v>444</v>
      </c>
      <c r="C28" s="131"/>
      <c r="D28" s="145">
        <f>'[39]Demand Charges'!D28</f>
        <v>-424043.16830010578</v>
      </c>
      <c r="E28" s="145">
        <f>'[39]Demand Charges'!E28</f>
        <v>-424043.16830010578</v>
      </c>
      <c r="F28" s="145">
        <f>'[39]Demand Charges'!F28</f>
        <v>-424043.16830010578</v>
      </c>
      <c r="G28" s="145">
        <f>'[39]Demand Charges'!G28</f>
        <v>-424043.16830010578</v>
      </c>
      <c r="H28" s="145">
        <f>'[39]Demand Charges'!H28</f>
        <v>-424043.16830010578</v>
      </c>
      <c r="I28" s="145">
        <f>'[39]Demand Charges'!I28</f>
        <v>-424043.16830010578</v>
      </c>
      <c r="J28" s="145">
        <f>'[39]Demand Charges'!J28</f>
        <v>-424043.16830010578</v>
      </c>
      <c r="K28" s="145">
        <f>'[39]Demand Charges'!K28</f>
        <v>-424043.16830010578</v>
      </c>
      <c r="L28" s="145">
        <f>'[39]Demand Charges'!L28</f>
        <v>-424043.16830010578</v>
      </c>
      <c r="M28" s="145">
        <f>'[39]Demand Charges'!M28</f>
        <v>-424043.16830010578</v>
      </c>
      <c r="N28" s="145">
        <f>'[39]Demand Charges'!N28</f>
        <v>-424043.16830010578</v>
      </c>
      <c r="O28" s="145">
        <f>'[39]Demand Charges'!O28</f>
        <v>-424043.16830010578</v>
      </c>
      <c r="P28" s="145">
        <f>SUM(D28:O28)</f>
        <v>-5088518.0196012706</v>
      </c>
      <c r="Q28" s="145"/>
      <c r="R28" s="199"/>
      <c r="S28" s="441"/>
      <c r="T28" s="145"/>
      <c r="U28" s="163"/>
      <c r="V28" s="441"/>
      <c r="W28" s="441"/>
      <c r="X28" s="441"/>
      <c r="Y28" s="441"/>
      <c r="Z28" s="441"/>
      <c r="AA28" s="441"/>
      <c r="AB28" s="441"/>
      <c r="AC28" s="441"/>
      <c r="AD28" s="441"/>
      <c r="AE28" s="409"/>
      <c r="AF28" s="441"/>
      <c r="AG28" s="441"/>
    </row>
    <row r="29" spans="1:33" x14ac:dyDescent="0.35">
      <c r="A29" s="409">
        <f t="shared" si="0"/>
        <v>21</v>
      </c>
      <c r="D29" s="143"/>
      <c r="E29" s="411"/>
      <c r="F29" s="411"/>
      <c r="G29" s="411"/>
      <c r="H29" s="411"/>
      <c r="I29" s="411"/>
      <c r="J29" s="411"/>
      <c r="K29" s="411"/>
      <c r="L29" s="411"/>
      <c r="M29" s="411"/>
      <c r="N29" s="411"/>
      <c r="O29" s="411"/>
      <c r="P29" s="145"/>
      <c r="Q29" s="145"/>
      <c r="R29" s="145"/>
      <c r="S29" s="411"/>
      <c r="T29" s="411"/>
      <c r="U29" s="411"/>
      <c r="V29" s="411"/>
      <c r="W29" s="411"/>
      <c r="X29" s="411"/>
      <c r="Y29" s="411"/>
      <c r="Z29" s="411"/>
      <c r="AA29" s="411"/>
      <c r="AB29" s="411"/>
      <c r="AC29" s="411"/>
      <c r="AD29" s="411"/>
      <c r="AE29" s="411"/>
      <c r="AF29" s="411"/>
      <c r="AG29" s="411"/>
    </row>
    <row r="30" spans="1:33" ht="15" thickBot="1" x14ac:dyDescent="0.4">
      <c r="A30" s="409">
        <f t="shared" si="0"/>
        <v>22</v>
      </c>
      <c r="B30" s="131" t="s">
        <v>445</v>
      </c>
      <c r="C30" s="131"/>
      <c r="D30" s="141">
        <f t="shared" ref="D30:O30" si="1">SUM(D13:D29)</f>
        <v>8580919.5188234001</v>
      </c>
      <c r="E30" s="141">
        <f t="shared" si="1"/>
        <v>6238797.4297841797</v>
      </c>
      <c r="F30" s="141">
        <f t="shared" si="1"/>
        <v>6238797.4297841797</v>
      </c>
      <c r="G30" s="141">
        <f t="shared" si="1"/>
        <v>5765164.6969018411</v>
      </c>
      <c r="H30" s="141">
        <f t="shared" si="1"/>
        <v>6238797.4297841797</v>
      </c>
      <c r="I30" s="141">
        <f t="shared" si="1"/>
        <v>6476281.8840703992</v>
      </c>
      <c r="J30" s="141">
        <f t="shared" si="1"/>
        <v>6636791.8072060794</v>
      </c>
      <c r="K30" s="141">
        <f t="shared" si="1"/>
        <v>6476281.8840703992</v>
      </c>
      <c r="L30" s="141">
        <f t="shared" si="1"/>
        <v>6636791.8072060794</v>
      </c>
      <c r="M30" s="141">
        <f t="shared" si="1"/>
        <v>6636791.8072060794</v>
      </c>
      <c r="N30" s="141">
        <f t="shared" si="1"/>
        <v>6476281.8840703992</v>
      </c>
      <c r="O30" s="141">
        <f t="shared" si="1"/>
        <v>6757124.4672841793</v>
      </c>
      <c r="P30" s="141">
        <f>SUM(D30:O30)</f>
        <v>79158822.046191379</v>
      </c>
      <c r="Q30" s="141">
        <f>SUM(Q14:Q29)</f>
        <v>5655715.9999905499</v>
      </c>
      <c r="R30" s="199">
        <f>+Q30/(P30-Q30)</f>
        <v>7.694526536654947E-2</v>
      </c>
      <c r="S30" s="441"/>
      <c r="T30" s="441"/>
      <c r="U30" s="163"/>
      <c r="V30" s="441"/>
      <c r="W30" s="441"/>
      <c r="X30" s="441"/>
      <c r="Y30" s="441"/>
      <c r="Z30" s="441"/>
      <c r="AA30" s="441"/>
      <c r="AB30" s="441"/>
      <c r="AC30" s="441"/>
      <c r="AD30" s="441"/>
      <c r="AE30" s="409"/>
      <c r="AF30" s="441"/>
      <c r="AG30" s="441"/>
    </row>
    <row r="31" spans="1:33" ht="15" thickTop="1" x14ac:dyDescent="0.35">
      <c r="A31" s="409">
        <f t="shared" si="0"/>
        <v>23</v>
      </c>
      <c r="B31" s="131"/>
      <c r="C31" s="131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441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D31" s="441"/>
      <c r="AE31" s="409"/>
      <c r="AF31" s="441"/>
      <c r="AG31" s="441"/>
    </row>
    <row r="32" spans="1:33" x14ac:dyDescent="0.35">
      <c r="A32" s="409">
        <f t="shared" si="0"/>
        <v>24</v>
      </c>
      <c r="B32" s="416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411"/>
      <c r="R32" s="411"/>
      <c r="S32" s="411"/>
      <c r="T32" s="411"/>
      <c r="U32" s="411"/>
      <c r="V32" s="411"/>
      <c r="W32" s="411"/>
      <c r="X32" s="411"/>
      <c r="Y32" s="411"/>
      <c r="Z32" s="411"/>
      <c r="AA32" s="411"/>
      <c r="AB32" s="411"/>
      <c r="AC32" s="411"/>
      <c r="AD32" s="411"/>
      <c r="AE32" s="411"/>
      <c r="AF32" s="411"/>
      <c r="AG32" s="411"/>
    </row>
    <row r="33" spans="1:33" x14ac:dyDescent="0.35">
      <c r="A33" s="409">
        <f t="shared" si="0"/>
        <v>25</v>
      </c>
      <c r="C33" s="200"/>
      <c r="D33" s="143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145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411"/>
      <c r="AE33" s="152"/>
      <c r="AF33" s="411"/>
      <c r="AG33" s="411"/>
    </row>
    <row r="34" spans="1:33" x14ac:dyDescent="0.35">
      <c r="A34" s="409"/>
      <c r="C34" s="189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411"/>
      <c r="R34" s="411"/>
      <c r="S34" s="411"/>
      <c r="T34" s="411"/>
      <c r="U34" s="411"/>
      <c r="V34" s="411"/>
      <c r="W34" s="411"/>
      <c r="X34" s="411"/>
      <c r="Y34" s="411"/>
      <c r="Z34" s="411"/>
      <c r="AA34" s="411"/>
      <c r="AB34" s="411"/>
      <c r="AC34" s="411"/>
      <c r="AD34" s="411"/>
      <c r="AF34" s="411"/>
      <c r="AG34" s="411"/>
    </row>
    <row r="35" spans="1:33" x14ac:dyDescent="0.35">
      <c r="A35" s="409"/>
      <c r="D35" s="143"/>
      <c r="E35" s="413"/>
      <c r="F35" s="413"/>
      <c r="G35" s="413"/>
      <c r="H35" s="413"/>
      <c r="I35" s="413"/>
      <c r="J35" s="413"/>
      <c r="K35" s="413"/>
      <c r="L35" s="413"/>
      <c r="M35" s="413"/>
      <c r="N35" s="413"/>
      <c r="O35" s="413"/>
      <c r="P35" s="413"/>
      <c r="Q35" s="413"/>
      <c r="R35" s="413"/>
      <c r="S35" s="413"/>
      <c r="T35" s="411"/>
      <c r="U35" s="411"/>
      <c r="V35" s="411"/>
      <c r="W35" s="411"/>
      <c r="X35" s="411"/>
      <c r="Y35" s="413"/>
      <c r="Z35" s="413"/>
      <c r="AA35" s="413"/>
      <c r="AB35" s="413"/>
      <c r="AC35" s="413"/>
      <c r="AD35" s="413"/>
      <c r="AE35" s="413"/>
      <c r="AF35" s="413"/>
      <c r="AG35" s="413"/>
    </row>
    <row r="36" spans="1:33" x14ac:dyDescent="0.35">
      <c r="A36" s="409"/>
      <c r="D36" s="143"/>
      <c r="E36" s="413"/>
      <c r="F36" s="413"/>
      <c r="G36" s="413"/>
      <c r="H36" s="413"/>
      <c r="I36" s="413"/>
      <c r="J36" s="413"/>
      <c r="K36" s="413"/>
      <c r="L36" s="413"/>
      <c r="M36" s="413"/>
      <c r="N36" s="413"/>
      <c r="O36" s="413"/>
      <c r="P36" s="413"/>
      <c r="Q36" s="413"/>
      <c r="R36" s="413"/>
      <c r="S36" s="413"/>
      <c r="T36" s="411"/>
      <c r="U36" s="411"/>
      <c r="V36" s="473"/>
      <c r="W36" s="411"/>
      <c r="X36" s="411"/>
      <c r="Y36" s="413"/>
      <c r="Z36" s="413"/>
      <c r="AA36" s="413"/>
      <c r="AB36" s="413"/>
      <c r="AC36" s="413"/>
      <c r="AD36" s="413"/>
      <c r="AE36" s="413"/>
      <c r="AF36" s="413"/>
      <c r="AG36" s="413"/>
    </row>
    <row r="37" spans="1:33" x14ac:dyDescent="0.35">
      <c r="A37" s="409"/>
      <c r="D37" s="143"/>
      <c r="E37" s="413"/>
      <c r="F37" s="413"/>
      <c r="G37" s="413"/>
      <c r="H37" s="413"/>
      <c r="I37" s="413"/>
      <c r="J37" s="413"/>
      <c r="K37" s="413"/>
      <c r="L37" s="413"/>
      <c r="M37" s="413"/>
      <c r="N37" s="413"/>
      <c r="O37" s="413"/>
      <c r="P37" s="413"/>
      <c r="Q37" s="413"/>
      <c r="R37" s="413"/>
      <c r="S37" s="413"/>
      <c r="T37" s="202"/>
      <c r="U37" s="202"/>
      <c r="V37" s="473"/>
      <c r="W37" s="411"/>
      <c r="X37" s="411"/>
      <c r="Y37" s="413"/>
      <c r="Z37" s="413"/>
      <c r="AA37" s="413"/>
      <c r="AB37" s="413"/>
      <c r="AC37" s="413"/>
      <c r="AD37" s="413"/>
      <c r="AE37" s="413"/>
      <c r="AF37" s="413"/>
      <c r="AG37" s="413"/>
    </row>
    <row r="38" spans="1:33" x14ac:dyDescent="0.35">
      <c r="A38" s="409"/>
      <c r="D38" s="143"/>
      <c r="E38" s="413"/>
      <c r="F38" s="413"/>
      <c r="G38" s="413"/>
      <c r="H38" s="413"/>
      <c r="I38" s="413"/>
      <c r="J38" s="413"/>
      <c r="K38" s="413"/>
      <c r="L38" s="413"/>
      <c r="M38" s="413"/>
      <c r="N38" s="413"/>
      <c r="O38" s="413"/>
      <c r="P38" s="413"/>
      <c r="Q38" s="413"/>
      <c r="R38" s="413"/>
      <c r="S38" s="413"/>
      <c r="T38" s="411"/>
      <c r="U38" s="411"/>
      <c r="V38" s="473"/>
      <c r="W38" s="411"/>
      <c r="X38" s="473"/>
      <c r="Y38" s="413"/>
      <c r="Z38" s="413"/>
      <c r="AA38" s="413"/>
      <c r="AB38" s="413"/>
      <c r="AC38" s="413"/>
      <c r="AD38" s="413"/>
      <c r="AE38" s="413"/>
      <c r="AF38" s="413"/>
      <c r="AG38" s="413"/>
    </row>
    <row r="39" spans="1:33" x14ac:dyDescent="0.35">
      <c r="A39" s="409"/>
      <c r="B39" s="151"/>
      <c r="C39" s="143"/>
      <c r="D39" s="14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413"/>
      <c r="Q39" s="413"/>
      <c r="R39" s="413"/>
      <c r="S39" s="413"/>
      <c r="T39" s="411"/>
      <c r="U39" s="202"/>
      <c r="V39" s="411"/>
      <c r="W39" s="411"/>
      <c r="X39" s="411"/>
      <c r="Y39" s="413"/>
      <c r="Z39" s="413"/>
      <c r="AA39" s="413"/>
      <c r="AB39" s="413"/>
      <c r="AC39" s="413"/>
      <c r="AD39" s="413"/>
      <c r="AE39" s="413"/>
      <c r="AF39" s="413"/>
      <c r="AG39" s="413"/>
    </row>
    <row r="40" spans="1:33" x14ac:dyDescent="0.35">
      <c r="A40" s="409"/>
      <c r="B40" s="151"/>
      <c r="C40" s="143"/>
      <c r="D40" s="143"/>
      <c r="E40" s="411"/>
      <c r="F40" s="411"/>
      <c r="G40" s="411"/>
      <c r="H40" s="411"/>
      <c r="I40" s="411"/>
      <c r="J40" s="411"/>
      <c r="K40" s="411"/>
      <c r="L40" s="411"/>
      <c r="M40" s="411"/>
      <c r="N40" s="411"/>
      <c r="O40" s="411"/>
      <c r="P40" s="411"/>
      <c r="Q40" s="411"/>
      <c r="R40" s="411"/>
      <c r="S40" s="411"/>
      <c r="T40" s="411"/>
      <c r="U40" s="411"/>
      <c r="V40" s="411"/>
      <c r="W40" s="411"/>
      <c r="X40" s="411"/>
      <c r="Y40" s="411"/>
      <c r="Z40" s="411"/>
      <c r="AA40" s="411"/>
      <c r="AB40" s="411"/>
      <c r="AC40" s="411"/>
      <c r="AD40" s="411"/>
      <c r="AF40" s="411"/>
      <c r="AG40" s="411"/>
    </row>
    <row r="41" spans="1:33" x14ac:dyDescent="0.35">
      <c r="A41" s="409"/>
      <c r="B41" s="151"/>
      <c r="C41" s="143"/>
      <c r="D41" s="143"/>
      <c r="E41" s="411"/>
      <c r="F41" s="411"/>
      <c r="G41" s="411"/>
      <c r="H41" s="411"/>
      <c r="I41" s="411"/>
      <c r="J41" s="411"/>
      <c r="K41" s="411"/>
      <c r="L41" s="411"/>
      <c r="M41" s="411"/>
      <c r="N41" s="411"/>
      <c r="O41" s="411"/>
      <c r="P41" s="411"/>
      <c r="Q41" s="411"/>
      <c r="R41" s="411"/>
      <c r="S41" s="411"/>
      <c r="T41" s="411"/>
      <c r="U41" s="411"/>
      <c r="V41" s="411"/>
      <c r="W41" s="411"/>
      <c r="X41" s="411"/>
      <c r="Y41" s="411"/>
      <c r="Z41" s="411"/>
      <c r="AA41" s="411"/>
      <c r="AB41" s="411"/>
      <c r="AC41" s="411"/>
      <c r="AD41" s="411"/>
      <c r="AF41" s="411"/>
      <c r="AG41" s="411"/>
    </row>
    <row r="42" spans="1:33" x14ac:dyDescent="0.35">
      <c r="A42" s="409"/>
      <c r="B42" s="416"/>
      <c r="D42" s="143"/>
      <c r="E42" s="411"/>
      <c r="F42" s="411"/>
      <c r="G42" s="411"/>
      <c r="H42" s="411"/>
      <c r="I42" s="411"/>
      <c r="J42" s="411"/>
      <c r="K42" s="411"/>
      <c r="L42" s="411"/>
      <c r="M42" s="411"/>
      <c r="N42" s="411"/>
      <c r="O42" s="411"/>
      <c r="P42" s="411"/>
      <c r="Q42" s="411"/>
      <c r="R42" s="411"/>
      <c r="S42" s="411"/>
      <c r="T42" s="411"/>
      <c r="U42" s="411"/>
      <c r="V42" s="411"/>
      <c r="W42" s="411"/>
      <c r="X42" s="411"/>
      <c r="Y42" s="411"/>
      <c r="Z42" s="411"/>
      <c r="AA42" s="411"/>
      <c r="AB42" s="411"/>
      <c r="AC42" s="411"/>
      <c r="AD42" s="411"/>
      <c r="AF42" s="411"/>
      <c r="AG42" s="411"/>
    </row>
    <row r="43" spans="1:33" x14ac:dyDescent="0.35">
      <c r="A43" s="409"/>
      <c r="B43" s="151"/>
      <c r="C43" s="143"/>
      <c r="D43" s="143"/>
      <c r="E43" s="411"/>
      <c r="F43" s="411"/>
      <c r="G43" s="411"/>
      <c r="H43" s="411"/>
      <c r="I43" s="411"/>
      <c r="J43" s="411"/>
      <c r="K43" s="411"/>
      <c r="L43" s="411"/>
      <c r="M43" s="411"/>
      <c r="N43" s="411"/>
      <c r="O43" s="411"/>
      <c r="P43" s="411"/>
      <c r="Q43" s="411"/>
      <c r="R43" s="411"/>
      <c r="S43" s="411"/>
      <c r="T43" s="411"/>
      <c r="U43" s="411"/>
      <c r="V43" s="411"/>
      <c r="W43" s="411"/>
      <c r="X43" s="411"/>
      <c r="Y43" s="411"/>
      <c r="Z43" s="411"/>
      <c r="AA43" s="411"/>
      <c r="AB43" s="411"/>
      <c r="AC43" s="411"/>
      <c r="AD43" s="411"/>
      <c r="AF43" s="411"/>
      <c r="AG43" s="411"/>
    </row>
    <row r="44" spans="1:33" x14ac:dyDescent="0.35">
      <c r="A44" s="409"/>
      <c r="D44" s="143"/>
      <c r="E44" s="414"/>
      <c r="F44" s="413"/>
      <c r="G44" s="413"/>
      <c r="H44" s="413"/>
      <c r="I44" s="413"/>
      <c r="J44" s="413"/>
      <c r="K44" s="413"/>
      <c r="L44" s="413"/>
      <c r="M44" s="413"/>
      <c r="N44" s="413"/>
      <c r="O44" s="413"/>
      <c r="P44" s="413"/>
      <c r="Q44" s="413"/>
      <c r="R44" s="413"/>
      <c r="S44" s="413"/>
      <c r="T44" s="413"/>
      <c r="U44" s="413"/>
      <c r="V44" s="413"/>
      <c r="W44" s="413"/>
      <c r="X44" s="413"/>
      <c r="Y44" s="413"/>
      <c r="Z44" s="413"/>
      <c r="AA44" s="413"/>
      <c r="AB44" s="413"/>
      <c r="AC44" s="413"/>
      <c r="AD44" s="413"/>
      <c r="AE44" s="414"/>
      <c r="AF44" s="413"/>
      <c r="AG44" s="413"/>
    </row>
    <row r="45" spans="1:33" x14ac:dyDescent="0.35">
      <c r="A45" s="409"/>
      <c r="D45" s="143"/>
      <c r="E45" s="414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Q45" s="413"/>
      <c r="R45" s="413"/>
      <c r="S45" s="413"/>
      <c r="T45" s="413"/>
      <c r="U45" s="413"/>
      <c r="V45" s="413"/>
      <c r="W45" s="413"/>
      <c r="X45" s="413"/>
      <c r="Y45" s="413"/>
      <c r="Z45" s="413"/>
      <c r="AA45" s="413"/>
      <c r="AB45" s="413"/>
      <c r="AC45" s="413"/>
      <c r="AD45" s="413"/>
      <c r="AE45" s="414"/>
      <c r="AF45" s="413"/>
      <c r="AG45" s="413"/>
    </row>
    <row r="46" spans="1:33" x14ac:dyDescent="0.35">
      <c r="A46" s="409"/>
      <c r="D46" s="143"/>
      <c r="E46" s="414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Q46" s="413"/>
      <c r="R46" s="413"/>
      <c r="S46" s="413"/>
      <c r="T46" s="413"/>
      <c r="U46" s="413"/>
      <c r="V46" s="413"/>
      <c r="W46" s="413"/>
      <c r="X46" s="413"/>
      <c r="Y46" s="413"/>
      <c r="Z46" s="413"/>
      <c r="AA46" s="413"/>
      <c r="AB46" s="413"/>
      <c r="AC46" s="413"/>
      <c r="AD46" s="413"/>
      <c r="AE46" s="414"/>
      <c r="AF46" s="413"/>
      <c r="AG46" s="413"/>
    </row>
    <row r="47" spans="1:33" x14ac:dyDescent="0.35">
      <c r="A47" s="409"/>
      <c r="D47" s="143"/>
      <c r="E47" s="414"/>
      <c r="F47" s="413"/>
      <c r="G47" s="413"/>
      <c r="H47" s="413"/>
      <c r="I47" s="413"/>
      <c r="J47" s="413"/>
      <c r="K47" s="413"/>
      <c r="L47" s="413"/>
      <c r="M47" s="413"/>
      <c r="N47" s="413"/>
      <c r="O47" s="413"/>
      <c r="P47" s="413"/>
      <c r="Q47" s="413"/>
      <c r="R47" s="413"/>
      <c r="S47" s="413"/>
      <c r="T47" s="413"/>
      <c r="U47" s="413"/>
      <c r="V47" s="413"/>
      <c r="W47" s="413"/>
      <c r="X47" s="413"/>
      <c r="Y47" s="413"/>
      <c r="Z47" s="413"/>
      <c r="AA47" s="413"/>
      <c r="AB47" s="413"/>
      <c r="AC47" s="413"/>
      <c r="AD47" s="413"/>
      <c r="AE47" s="414"/>
      <c r="AF47" s="413"/>
      <c r="AG47" s="413"/>
    </row>
    <row r="48" spans="1:33" x14ac:dyDescent="0.35">
      <c r="A48" s="409"/>
      <c r="D48" s="143"/>
      <c r="E48" s="414"/>
      <c r="F48" s="413"/>
      <c r="G48" s="413"/>
      <c r="H48" s="413"/>
      <c r="I48" s="413"/>
      <c r="J48" s="413"/>
      <c r="K48" s="413"/>
      <c r="L48" s="413"/>
      <c r="M48" s="413"/>
      <c r="N48" s="413"/>
      <c r="O48" s="413"/>
      <c r="P48" s="413"/>
      <c r="Q48" s="413"/>
      <c r="R48" s="413"/>
      <c r="S48" s="413"/>
      <c r="T48" s="413"/>
      <c r="U48" s="413"/>
      <c r="V48" s="413"/>
      <c r="W48" s="413"/>
      <c r="X48" s="413"/>
      <c r="Y48" s="413"/>
      <c r="Z48" s="413"/>
      <c r="AA48" s="413"/>
      <c r="AB48" s="413"/>
      <c r="AC48" s="413"/>
      <c r="AD48" s="413"/>
      <c r="AE48" s="414"/>
      <c r="AF48" s="413"/>
      <c r="AG48" s="413"/>
    </row>
    <row r="49" spans="1:33" x14ac:dyDescent="0.35">
      <c r="A49" s="409"/>
      <c r="D49" s="143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  <c r="R49" s="414"/>
      <c r="S49" s="414"/>
      <c r="T49" s="414"/>
      <c r="U49" s="414"/>
      <c r="V49" s="414"/>
      <c r="W49" s="414"/>
      <c r="X49" s="414"/>
      <c r="Y49" s="414"/>
      <c r="Z49" s="414"/>
      <c r="AA49" s="414"/>
      <c r="AB49" s="414"/>
      <c r="AC49" s="414"/>
      <c r="AD49" s="413"/>
      <c r="AE49" s="414"/>
      <c r="AF49" s="413"/>
      <c r="AG49" s="413"/>
    </row>
    <row r="50" spans="1:33" x14ac:dyDescent="0.35">
      <c r="A50" s="409"/>
      <c r="D50" s="143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  <c r="R50" s="414"/>
      <c r="S50" s="414"/>
      <c r="T50" s="414"/>
      <c r="U50" s="414"/>
      <c r="V50" s="414"/>
      <c r="W50" s="414"/>
      <c r="X50" s="414"/>
      <c r="Y50" s="414"/>
      <c r="Z50" s="414"/>
      <c r="AA50" s="414"/>
      <c r="AB50" s="414"/>
      <c r="AC50" s="414"/>
      <c r="AD50" s="413"/>
      <c r="AE50" s="414"/>
      <c r="AF50" s="413"/>
      <c r="AG50" s="413"/>
    </row>
    <row r="51" spans="1:33" x14ac:dyDescent="0.35">
      <c r="A51" s="409"/>
      <c r="D51" s="143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  <c r="R51" s="414"/>
      <c r="S51" s="414"/>
      <c r="T51" s="414"/>
      <c r="U51" s="414"/>
      <c r="V51" s="414"/>
      <c r="W51" s="414"/>
      <c r="X51" s="414"/>
      <c r="Y51" s="414"/>
      <c r="Z51" s="414"/>
      <c r="AA51" s="414"/>
      <c r="AB51" s="414"/>
      <c r="AC51" s="414"/>
      <c r="AD51" s="413"/>
      <c r="AE51" s="414"/>
      <c r="AF51" s="413"/>
      <c r="AG51" s="413"/>
    </row>
    <row r="52" spans="1:33" x14ac:dyDescent="0.35">
      <c r="A52" s="409"/>
      <c r="D52" s="143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  <c r="R52" s="414"/>
      <c r="S52" s="414"/>
      <c r="T52" s="414"/>
      <c r="U52" s="414"/>
      <c r="V52" s="414"/>
      <c r="W52" s="414"/>
      <c r="X52" s="414"/>
      <c r="Y52" s="414"/>
      <c r="Z52" s="414"/>
      <c r="AA52" s="414"/>
      <c r="AB52" s="414"/>
      <c r="AC52" s="414"/>
      <c r="AD52" s="413"/>
      <c r="AE52" s="414"/>
      <c r="AF52" s="413"/>
      <c r="AG52" s="413"/>
    </row>
    <row r="53" spans="1:33" x14ac:dyDescent="0.35">
      <c r="A53" s="409"/>
      <c r="D53" s="143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  <c r="R53" s="414"/>
      <c r="S53" s="414"/>
      <c r="T53" s="414"/>
      <c r="U53" s="414"/>
      <c r="V53" s="414"/>
      <c r="W53" s="414"/>
      <c r="X53" s="414"/>
      <c r="Y53" s="414"/>
      <c r="Z53" s="414"/>
      <c r="AA53" s="414"/>
      <c r="AB53" s="414"/>
      <c r="AC53" s="414"/>
      <c r="AD53" s="413"/>
      <c r="AE53" s="414"/>
      <c r="AF53" s="413"/>
      <c r="AG53" s="413"/>
    </row>
    <row r="54" spans="1:33" x14ac:dyDescent="0.35">
      <c r="A54" s="409"/>
      <c r="D54" s="143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  <c r="R54" s="414"/>
      <c r="S54" s="414"/>
      <c r="T54" s="414"/>
      <c r="U54" s="414"/>
      <c r="V54" s="414"/>
      <c r="W54" s="414"/>
      <c r="X54" s="414"/>
      <c r="Y54" s="414"/>
      <c r="Z54" s="414"/>
      <c r="AA54" s="414"/>
      <c r="AB54" s="414"/>
      <c r="AC54" s="414"/>
      <c r="AD54" s="413"/>
      <c r="AE54" s="414"/>
      <c r="AF54" s="413"/>
      <c r="AG54" s="413"/>
    </row>
    <row r="55" spans="1:33" x14ac:dyDescent="0.35">
      <c r="A55" s="409"/>
      <c r="D55" s="143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  <c r="R55" s="414"/>
      <c r="S55" s="414"/>
      <c r="T55" s="414"/>
      <c r="U55" s="414"/>
      <c r="V55" s="414"/>
      <c r="W55" s="414"/>
      <c r="X55" s="414"/>
      <c r="Y55" s="414"/>
      <c r="Z55" s="414"/>
      <c r="AA55" s="414"/>
      <c r="AB55" s="414"/>
      <c r="AC55" s="414"/>
      <c r="AD55" s="413"/>
      <c r="AE55" s="414"/>
      <c r="AF55" s="413"/>
      <c r="AG55" s="413"/>
    </row>
    <row r="56" spans="1:33" x14ac:dyDescent="0.35">
      <c r="A56" s="409"/>
      <c r="B56" s="151"/>
      <c r="C56" s="143"/>
      <c r="D56" s="143"/>
      <c r="E56" s="413"/>
      <c r="F56" s="413"/>
      <c r="G56" s="413"/>
      <c r="H56" s="413"/>
      <c r="I56" s="413"/>
      <c r="J56" s="413"/>
      <c r="K56" s="413"/>
      <c r="L56" s="413"/>
      <c r="M56" s="413"/>
      <c r="N56" s="413"/>
      <c r="O56" s="413"/>
      <c r="P56" s="413"/>
      <c r="Q56" s="413"/>
      <c r="R56" s="413"/>
      <c r="S56" s="413"/>
      <c r="T56" s="413"/>
      <c r="U56" s="413"/>
      <c r="V56" s="413"/>
      <c r="W56" s="413"/>
      <c r="X56" s="413"/>
      <c r="Y56" s="413"/>
      <c r="Z56" s="413"/>
      <c r="AA56" s="413"/>
      <c r="AB56" s="413"/>
      <c r="AC56" s="413"/>
      <c r="AD56" s="413"/>
      <c r="AE56" s="413"/>
      <c r="AF56" s="413"/>
      <c r="AG56" s="413"/>
    </row>
    <row r="57" spans="1:33" x14ac:dyDescent="0.35">
      <c r="A57" s="409"/>
      <c r="B57" s="151"/>
      <c r="C57" s="143"/>
      <c r="D57" s="143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F57" s="411"/>
      <c r="AG57" s="411"/>
    </row>
    <row r="58" spans="1:33" x14ac:dyDescent="0.35">
      <c r="A58" s="409"/>
      <c r="B58" s="151"/>
      <c r="C58" s="143"/>
      <c r="D58" s="143"/>
      <c r="E58" s="411"/>
      <c r="F58" s="411"/>
      <c r="G58" s="411"/>
      <c r="H58" s="411"/>
      <c r="I58" s="411"/>
      <c r="J58" s="411"/>
      <c r="K58" s="411"/>
      <c r="L58" s="411"/>
      <c r="M58" s="411"/>
      <c r="N58" s="411"/>
      <c r="O58" s="411"/>
      <c r="P58" s="411"/>
      <c r="Q58" s="411"/>
      <c r="R58" s="411"/>
      <c r="S58" s="411"/>
      <c r="T58" s="411"/>
      <c r="U58" s="411"/>
      <c r="V58" s="411"/>
      <c r="W58" s="411"/>
      <c r="X58" s="411"/>
      <c r="Y58" s="411"/>
      <c r="Z58" s="411"/>
      <c r="AA58" s="411"/>
      <c r="AB58" s="411"/>
      <c r="AC58" s="411"/>
      <c r="AD58" s="411"/>
      <c r="AF58" s="411"/>
      <c r="AG58" s="411"/>
    </row>
    <row r="59" spans="1:33" x14ac:dyDescent="0.35">
      <c r="A59" s="409"/>
      <c r="B59" s="416"/>
      <c r="D59" s="143"/>
      <c r="E59" s="411"/>
      <c r="F59" s="411"/>
      <c r="G59" s="411"/>
      <c r="H59" s="411"/>
      <c r="I59" s="411"/>
      <c r="J59" s="411"/>
      <c r="K59" s="411"/>
      <c r="L59" s="411"/>
      <c r="M59" s="411"/>
      <c r="N59" s="411"/>
      <c r="O59" s="411"/>
      <c r="P59" s="411"/>
      <c r="Q59" s="411"/>
      <c r="R59" s="411"/>
      <c r="S59" s="411"/>
      <c r="T59" s="411"/>
      <c r="U59" s="411"/>
      <c r="V59" s="411"/>
      <c r="W59" s="411"/>
      <c r="X59" s="411"/>
      <c r="Y59" s="411"/>
      <c r="Z59" s="411"/>
      <c r="AA59" s="411"/>
      <c r="AB59" s="411"/>
      <c r="AC59" s="411"/>
      <c r="AD59" s="411"/>
      <c r="AF59" s="411"/>
      <c r="AG59" s="411"/>
    </row>
    <row r="60" spans="1:33" x14ac:dyDescent="0.35">
      <c r="A60" s="409"/>
      <c r="B60" s="151"/>
      <c r="C60" s="143"/>
      <c r="D60" s="143"/>
      <c r="E60" s="411"/>
      <c r="F60" s="411"/>
      <c r="G60" s="411"/>
      <c r="H60" s="411"/>
      <c r="I60" s="411"/>
      <c r="J60" s="411"/>
      <c r="K60" s="411"/>
      <c r="L60" s="411"/>
      <c r="M60" s="411"/>
      <c r="N60" s="411"/>
      <c r="O60" s="411"/>
      <c r="P60" s="411"/>
      <c r="Q60" s="411"/>
      <c r="R60" s="411"/>
      <c r="S60" s="411"/>
      <c r="T60" s="411"/>
      <c r="U60" s="411"/>
      <c r="V60" s="411"/>
      <c r="W60" s="411"/>
      <c r="X60" s="411"/>
      <c r="Y60" s="411"/>
      <c r="Z60" s="411"/>
      <c r="AA60" s="411"/>
      <c r="AB60" s="411"/>
      <c r="AC60" s="411"/>
      <c r="AD60" s="411"/>
      <c r="AF60" s="411"/>
      <c r="AG60" s="411"/>
    </row>
    <row r="61" spans="1:33" x14ac:dyDescent="0.35">
      <c r="A61" s="409"/>
      <c r="D61" s="143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  <c r="R61" s="414"/>
      <c r="S61" s="414"/>
      <c r="T61" s="414"/>
      <c r="U61" s="414"/>
      <c r="V61" s="414"/>
      <c r="W61" s="414"/>
      <c r="X61" s="414"/>
      <c r="Y61" s="414"/>
      <c r="Z61" s="414"/>
      <c r="AA61" s="414"/>
      <c r="AB61" s="414"/>
      <c r="AC61" s="414"/>
      <c r="AD61" s="413"/>
      <c r="AE61" s="414"/>
      <c r="AF61" s="413"/>
      <c r="AG61" s="413"/>
    </row>
    <row r="62" spans="1:33" x14ac:dyDescent="0.35">
      <c r="A62" s="409"/>
      <c r="D62" s="143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  <c r="R62" s="414"/>
      <c r="S62" s="414"/>
      <c r="T62" s="414"/>
      <c r="U62" s="414"/>
      <c r="V62" s="414"/>
      <c r="W62" s="414"/>
      <c r="X62" s="414"/>
      <c r="Y62" s="414"/>
      <c r="Z62" s="414"/>
      <c r="AA62" s="414"/>
      <c r="AB62" s="414"/>
      <c r="AC62" s="414"/>
      <c r="AD62" s="413"/>
      <c r="AE62" s="414"/>
      <c r="AF62" s="413"/>
      <c r="AG62" s="413"/>
    </row>
    <row r="63" spans="1:33" x14ac:dyDescent="0.35">
      <c r="A63" s="409"/>
      <c r="D63" s="143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  <c r="R63" s="414"/>
      <c r="S63" s="414"/>
      <c r="T63" s="414"/>
      <c r="U63" s="414"/>
      <c r="V63" s="414"/>
      <c r="W63" s="414"/>
      <c r="X63" s="414"/>
      <c r="Y63" s="414"/>
      <c r="Z63" s="414"/>
      <c r="AA63" s="414"/>
      <c r="AB63" s="414"/>
      <c r="AC63" s="414"/>
      <c r="AD63" s="413"/>
      <c r="AE63" s="414"/>
      <c r="AF63" s="413"/>
      <c r="AG63" s="413"/>
    </row>
    <row r="64" spans="1:33" x14ac:dyDescent="0.35">
      <c r="A64" s="409"/>
      <c r="D64" s="143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  <c r="AA64" s="414"/>
      <c r="AB64" s="414"/>
      <c r="AC64" s="414"/>
      <c r="AD64" s="413"/>
      <c r="AE64" s="414"/>
      <c r="AF64" s="413"/>
      <c r="AG64" s="413"/>
    </row>
    <row r="65" spans="1:33" x14ac:dyDescent="0.35">
      <c r="A65" s="409"/>
      <c r="D65" s="143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414"/>
      <c r="AC65" s="414"/>
      <c r="AD65" s="413"/>
      <c r="AE65" s="414"/>
      <c r="AF65" s="413"/>
      <c r="AG65" s="413"/>
    </row>
    <row r="66" spans="1:33" x14ac:dyDescent="0.35">
      <c r="A66" s="409"/>
      <c r="D66" s="143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  <c r="R66" s="414"/>
      <c r="S66" s="414"/>
      <c r="T66" s="414"/>
      <c r="U66" s="414"/>
      <c r="V66" s="414"/>
      <c r="W66" s="414"/>
      <c r="X66" s="414"/>
      <c r="Y66" s="414"/>
      <c r="Z66" s="414"/>
      <c r="AA66" s="414"/>
      <c r="AB66" s="414"/>
      <c r="AC66" s="414"/>
      <c r="AD66" s="413"/>
      <c r="AE66" s="414"/>
      <c r="AF66" s="413"/>
      <c r="AG66" s="413"/>
    </row>
    <row r="67" spans="1:33" x14ac:dyDescent="0.35">
      <c r="A67" s="409"/>
      <c r="D67" s="143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  <c r="R67" s="414"/>
      <c r="S67" s="414"/>
      <c r="T67" s="414"/>
      <c r="U67" s="414"/>
      <c r="V67" s="414"/>
      <c r="W67" s="414"/>
      <c r="X67" s="414"/>
      <c r="Y67" s="414"/>
      <c r="Z67" s="414"/>
      <c r="AA67" s="414"/>
      <c r="AB67" s="414"/>
      <c r="AC67" s="414"/>
      <c r="AD67" s="413"/>
      <c r="AE67" s="414"/>
      <c r="AF67" s="413"/>
      <c r="AG67" s="413"/>
    </row>
    <row r="68" spans="1:33" x14ac:dyDescent="0.35">
      <c r="A68" s="409"/>
      <c r="D68" s="143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  <c r="R68" s="414"/>
      <c r="S68" s="414"/>
      <c r="T68" s="414"/>
      <c r="U68" s="414"/>
      <c r="V68" s="414"/>
      <c r="W68" s="414"/>
      <c r="X68" s="414"/>
      <c r="Y68" s="414"/>
      <c r="Z68" s="414"/>
      <c r="AA68" s="414"/>
      <c r="AB68" s="414"/>
      <c r="AC68" s="414"/>
      <c r="AD68" s="413"/>
      <c r="AE68" s="414"/>
      <c r="AF68" s="413"/>
      <c r="AG68" s="413"/>
    </row>
    <row r="69" spans="1:33" x14ac:dyDescent="0.35">
      <c r="A69" s="409"/>
      <c r="D69" s="143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  <c r="R69" s="414"/>
      <c r="S69" s="414"/>
      <c r="T69" s="414"/>
      <c r="U69" s="414"/>
      <c r="V69" s="414"/>
      <c r="W69" s="414"/>
      <c r="X69" s="414"/>
      <c r="Y69" s="414"/>
      <c r="Z69" s="414"/>
      <c r="AA69" s="414"/>
      <c r="AB69" s="414"/>
      <c r="AC69" s="414"/>
      <c r="AD69" s="413"/>
      <c r="AE69" s="414"/>
      <c r="AF69" s="413"/>
      <c r="AG69" s="413"/>
    </row>
    <row r="70" spans="1:33" x14ac:dyDescent="0.35">
      <c r="A70" s="409"/>
      <c r="D70" s="143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  <c r="R70" s="414"/>
      <c r="S70" s="414"/>
      <c r="T70" s="414"/>
      <c r="U70" s="414"/>
      <c r="V70" s="414"/>
      <c r="W70" s="414"/>
      <c r="X70" s="414"/>
      <c r="Y70" s="414"/>
      <c r="Z70" s="414"/>
      <c r="AA70" s="414"/>
      <c r="AB70" s="414"/>
      <c r="AC70" s="414"/>
      <c r="AD70" s="413"/>
      <c r="AE70" s="414"/>
      <c r="AF70" s="413"/>
      <c r="AG70" s="413"/>
    </row>
    <row r="71" spans="1:33" x14ac:dyDescent="0.35">
      <c r="A71" s="409"/>
      <c r="D71" s="143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  <c r="R71" s="414"/>
      <c r="S71" s="414"/>
      <c r="T71" s="414"/>
      <c r="U71" s="414"/>
      <c r="V71" s="414"/>
      <c r="W71" s="414"/>
      <c r="X71" s="414"/>
      <c r="Y71" s="414"/>
      <c r="Z71" s="414"/>
      <c r="AA71" s="414"/>
      <c r="AB71" s="414"/>
      <c r="AC71" s="414"/>
      <c r="AD71" s="413"/>
      <c r="AE71" s="414"/>
      <c r="AF71" s="413"/>
      <c r="AG71" s="413"/>
    </row>
    <row r="72" spans="1:33" x14ac:dyDescent="0.35">
      <c r="A72" s="409"/>
      <c r="D72" s="143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  <c r="R72" s="414"/>
      <c r="S72" s="414"/>
      <c r="T72" s="414"/>
      <c r="U72" s="414"/>
      <c r="V72" s="414"/>
      <c r="W72" s="414"/>
      <c r="X72" s="414"/>
      <c r="Y72" s="414"/>
      <c r="Z72" s="414"/>
      <c r="AA72" s="414"/>
      <c r="AB72" s="414"/>
      <c r="AC72" s="414"/>
      <c r="AD72" s="413"/>
      <c r="AE72" s="414"/>
      <c r="AF72" s="413"/>
      <c r="AG72" s="413"/>
    </row>
    <row r="73" spans="1:33" x14ac:dyDescent="0.35">
      <c r="A73" s="409"/>
      <c r="B73" s="151"/>
      <c r="C73" s="143"/>
      <c r="D73" s="143"/>
      <c r="E73" s="413"/>
      <c r="F73" s="413"/>
      <c r="G73" s="413"/>
      <c r="H73" s="413"/>
      <c r="I73" s="413"/>
      <c r="J73" s="413"/>
      <c r="K73" s="413"/>
      <c r="L73" s="413"/>
      <c r="M73" s="413"/>
      <c r="N73" s="413"/>
      <c r="O73" s="413"/>
      <c r="P73" s="413"/>
      <c r="Q73" s="413"/>
      <c r="R73" s="413"/>
      <c r="S73" s="413"/>
      <c r="T73" s="413"/>
      <c r="U73" s="413"/>
      <c r="V73" s="413"/>
      <c r="W73" s="413"/>
      <c r="X73" s="413"/>
      <c r="Y73" s="413"/>
      <c r="Z73" s="413"/>
      <c r="AA73" s="413"/>
      <c r="AB73" s="413"/>
      <c r="AC73" s="413"/>
      <c r="AD73" s="413"/>
      <c r="AE73" s="413"/>
      <c r="AF73" s="413"/>
      <c r="AG73" s="413"/>
    </row>
    <row r="74" spans="1:33" x14ac:dyDescent="0.35">
      <c r="A74" s="409"/>
      <c r="B74" s="151"/>
      <c r="C74" s="143"/>
      <c r="D74" s="143"/>
      <c r="E74" s="411"/>
      <c r="F74" s="411"/>
      <c r="G74" s="411"/>
      <c r="H74" s="411"/>
      <c r="I74" s="411"/>
      <c r="J74" s="411"/>
      <c r="K74" s="411"/>
      <c r="L74" s="411"/>
      <c r="M74" s="411"/>
      <c r="N74" s="411"/>
      <c r="O74" s="411"/>
      <c r="P74" s="411"/>
      <c r="Q74" s="411"/>
      <c r="R74" s="411"/>
      <c r="S74" s="411"/>
      <c r="T74" s="411"/>
      <c r="U74" s="411"/>
      <c r="V74" s="411"/>
      <c r="W74" s="411"/>
      <c r="X74" s="411"/>
      <c r="Y74" s="411"/>
      <c r="Z74" s="411"/>
      <c r="AA74" s="411"/>
      <c r="AB74" s="411"/>
      <c r="AC74" s="411"/>
      <c r="AD74" s="411"/>
      <c r="AF74" s="411"/>
      <c r="AG74" s="411"/>
    </row>
    <row r="75" spans="1:33" x14ac:dyDescent="0.35">
      <c r="A75" s="409"/>
      <c r="B75" s="151"/>
      <c r="C75" s="143"/>
      <c r="D75" s="143"/>
      <c r="E75" s="411"/>
      <c r="F75" s="411"/>
      <c r="G75" s="411"/>
      <c r="H75" s="411"/>
      <c r="I75" s="411"/>
      <c r="J75" s="411"/>
      <c r="K75" s="411"/>
      <c r="L75" s="411"/>
      <c r="M75" s="411"/>
      <c r="N75" s="411"/>
      <c r="O75" s="411"/>
      <c r="P75" s="411"/>
      <c r="Q75" s="411"/>
      <c r="R75" s="411"/>
      <c r="S75" s="411"/>
      <c r="T75" s="411"/>
      <c r="U75" s="411"/>
      <c r="V75" s="411"/>
      <c r="W75" s="411"/>
      <c r="X75" s="411"/>
      <c r="Y75" s="411"/>
      <c r="Z75" s="411"/>
      <c r="AA75" s="411"/>
      <c r="AB75" s="411"/>
      <c r="AC75" s="411"/>
      <c r="AD75" s="411"/>
      <c r="AF75" s="411"/>
      <c r="AG75" s="411"/>
    </row>
    <row r="76" spans="1:33" x14ac:dyDescent="0.35">
      <c r="A76" s="409"/>
      <c r="B76" s="151"/>
      <c r="C76" s="143"/>
      <c r="D76" s="143"/>
      <c r="E76" s="411"/>
      <c r="F76" s="411"/>
      <c r="G76" s="411"/>
      <c r="H76" s="411"/>
      <c r="I76" s="411"/>
      <c r="J76" s="411"/>
      <c r="K76" s="411"/>
      <c r="L76" s="411"/>
      <c r="M76" s="411"/>
      <c r="N76" s="411"/>
      <c r="O76" s="411"/>
      <c r="P76" s="411"/>
      <c r="Q76" s="411"/>
      <c r="R76" s="411"/>
      <c r="S76" s="411"/>
      <c r="T76" s="411"/>
      <c r="U76" s="411"/>
      <c r="V76" s="411"/>
      <c r="W76" s="411"/>
      <c r="X76" s="411"/>
      <c r="Y76" s="411"/>
      <c r="Z76" s="411"/>
      <c r="AA76" s="411"/>
      <c r="AB76" s="411"/>
      <c r="AC76" s="411"/>
      <c r="AD76" s="411"/>
      <c r="AF76" s="411"/>
      <c r="AG76" s="411"/>
    </row>
    <row r="77" spans="1:33" x14ac:dyDescent="0.35">
      <c r="B77" s="151"/>
      <c r="C77" s="143"/>
      <c r="D77" s="143"/>
      <c r="E77" s="411"/>
      <c r="F77" s="411"/>
      <c r="G77" s="411"/>
      <c r="H77" s="411"/>
      <c r="I77" s="411"/>
      <c r="J77" s="411"/>
      <c r="K77" s="411"/>
      <c r="L77" s="411"/>
      <c r="M77" s="411"/>
      <c r="N77" s="411"/>
      <c r="O77" s="411"/>
      <c r="P77" s="411"/>
      <c r="Q77" s="411"/>
      <c r="R77" s="411"/>
      <c r="S77" s="411"/>
      <c r="T77" s="411"/>
      <c r="U77" s="411"/>
      <c r="V77" s="411"/>
      <c r="W77" s="411"/>
      <c r="X77" s="411"/>
      <c r="Y77" s="411"/>
      <c r="Z77" s="411"/>
      <c r="AA77" s="411"/>
      <c r="AB77" s="411"/>
      <c r="AC77" s="411"/>
      <c r="AD77" s="411"/>
      <c r="AF77" s="411"/>
      <c r="AG77" s="411"/>
    </row>
    <row r="78" spans="1:33" x14ac:dyDescent="0.35">
      <c r="B78" s="151"/>
      <c r="C78" s="143"/>
      <c r="D78" s="143"/>
      <c r="E78" s="411"/>
      <c r="F78" s="411"/>
      <c r="G78" s="411"/>
      <c r="H78" s="411"/>
      <c r="I78" s="411"/>
      <c r="J78" s="411"/>
      <c r="K78" s="411"/>
      <c r="L78" s="411"/>
      <c r="M78" s="411"/>
      <c r="N78" s="411"/>
      <c r="O78" s="411"/>
      <c r="P78" s="411"/>
      <c r="Q78" s="411"/>
      <c r="R78" s="411"/>
      <c r="S78" s="411"/>
      <c r="T78" s="411"/>
      <c r="U78" s="411"/>
      <c r="V78" s="411"/>
      <c r="W78" s="411"/>
      <c r="X78" s="411"/>
      <c r="Y78" s="411"/>
      <c r="Z78" s="411"/>
      <c r="AA78" s="411"/>
      <c r="AB78" s="411"/>
      <c r="AC78" s="411"/>
      <c r="AD78" s="411"/>
      <c r="AF78" s="411"/>
      <c r="AG78" s="411"/>
    </row>
    <row r="79" spans="1:33" x14ac:dyDescent="0.35">
      <c r="B79" s="151"/>
      <c r="C79" s="143"/>
      <c r="D79" s="143"/>
      <c r="E79" s="411"/>
      <c r="F79" s="411"/>
      <c r="G79" s="411"/>
      <c r="H79" s="411"/>
      <c r="I79" s="411"/>
      <c r="J79" s="411"/>
      <c r="K79" s="411"/>
      <c r="L79" s="411"/>
      <c r="M79" s="411"/>
      <c r="N79" s="411"/>
      <c r="O79" s="411"/>
      <c r="P79" s="411"/>
      <c r="Q79" s="411"/>
      <c r="R79" s="411"/>
      <c r="S79" s="411"/>
      <c r="T79" s="411"/>
      <c r="U79" s="411"/>
      <c r="V79" s="411"/>
      <c r="W79" s="411"/>
      <c r="X79" s="411"/>
      <c r="Y79" s="411"/>
      <c r="Z79" s="411"/>
      <c r="AA79" s="411"/>
      <c r="AB79" s="411"/>
      <c r="AC79" s="411"/>
      <c r="AD79" s="411"/>
      <c r="AF79" s="411"/>
      <c r="AG79" s="411"/>
    </row>
    <row r="80" spans="1:33" x14ac:dyDescent="0.35">
      <c r="B80" s="151"/>
      <c r="C80" s="143"/>
      <c r="D80" s="143"/>
      <c r="E80" s="411"/>
      <c r="F80" s="411"/>
      <c r="G80" s="411"/>
      <c r="H80" s="411"/>
      <c r="I80" s="411"/>
      <c r="J80" s="411"/>
      <c r="K80" s="411"/>
      <c r="L80" s="411"/>
      <c r="M80" s="411"/>
      <c r="N80" s="411"/>
      <c r="O80" s="411"/>
      <c r="P80" s="411"/>
      <c r="Q80" s="411"/>
      <c r="R80" s="411"/>
      <c r="S80" s="411"/>
      <c r="T80" s="411"/>
      <c r="U80" s="411"/>
      <c r="V80" s="411"/>
      <c r="W80" s="411"/>
      <c r="X80" s="411"/>
      <c r="Y80" s="411"/>
      <c r="Z80" s="411"/>
      <c r="AA80" s="411"/>
      <c r="AB80" s="411"/>
      <c r="AC80" s="411"/>
      <c r="AD80" s="411"/>
      <c r="AF80" s="411"/>
      <c r="AG80" s="411"/>
    </row>
    <row r="81" spans="2:33" x14ac:dyDescent="0.35">
      <c r="B81" s="151"/>
      <c r="C81" s="143"/>
      <c r="D81" s="143"/>
      <c r="E81" s="411"/>
      <c r="F81" s="411"/>
      <c r="G81" s="411"/>
      <c r="H81" s="411"/>
      <c r="I81" s="411"/>
      <c r="J81" s="411"/>
      <c r="K81" s="411"/>
      <c r="L81" s="411"/>
      <c r="M81" s="411"/>
      <c r="N81" s="411"/>
      <c r="O81" s="411"/>
      <c r="P81" s="411"/>
      <c r="Q81" s="411"/>
      <c r="R81" s="411"/>
      <c r="S81" s="411"/>
      <c r="T81" s="411"/>
      <c r="U81" s="411"/>
      <c r="V81" s="411"/>
      <c r="W81" s="411"/>
      <c r="X81" s="411"/>
      <c r="Y81" s="411"/>
      <c r="Z81" s="411"/>
      <c r="AA81" s="411"/>
      <c r="AB81" s="411"/>
      <c r="AC81" s="411"/>
      <c r="AD81" s="411"/>
      <c r="AF81" s="411"/>
      <c r="AG81" s="411"/>
    </row>
    <row r="82" spans="2:33" x14ac:dyDescent="0.35">
      <c r="B82" s="151"/>
      <c r="C82" s="143"/>
      <c r="D82" s="143"/>
      <c r="E82" s="411"/>
      <c r="F82" s="411"/>
      <c r="G82" s="411"/>
      <c r="H82" s="411"/>
      <c r="I82" s="411"/>
      <c r="J82" s="411"/>
      <c r="K82" s="411"/>
      <c r="L82" s="411"/>
      <c r="M82" s="411"/>
      <c r="N82" s="411"/>
      <c r="O82" s="411"/>
      <c r="P82" s="411"/>
      <c r="Q82" s="411"/>
      <c r="R82" s="411"/>
      <c r="S82" s="411"/>
      <c r="T82" s="411"/>
      <c r="U82" s="411"/>
      <c r="V82" s="411"/>
      <c r="W82" s="411"/>
      <c r="X82" s="411"/>
      <c r="Y82" s="411"/>
      <c r="Z82" s="411"/>
      <c r="AA82" s="411"/>
      <c r="AB82" s="411"/>
      <c r="AC82" s="411"/>
      <c r="AD82" s="411"/>
      <c r="AF82" s="411"/>
      <c r="AG82" s="411"/>
    </row>
    <row r="83" spans="2:33" x14ac:dyDescent="0.35">
      <c r="B83" s="151"/>
      <c r="C83" s="143"/>
      <c r="D83" s="143"/>
      <c r="E83" s="411"/>
      <c r="F83" s="411"/>
      <c r="G83" s="411"/>
      <c r="H83" s="411"/>
      <c r="I83" s="411"/>
      <c r="J83" s="411"/>
      <c r="K83" s="411"/>
      <c r="L83" s="411"/>
      <c r="M83" s="411"/>
      <c r="N83" s="411"/>
      <c r="O83" s="411"/>
      <c r="P83" s="411"/>
      <c r="Q83" s="411"/>
      <c r="R83" s="411"/>
      <c r="S83" s="411"/>
      <c r="T83" s="411"/>
      <c r="U83" s="411"/>
      <c r="V83" s="411"/>
      <c r="W83" s="411"/>
      <c r="X83" s="411"/>
      <c r="Y83" s="411"/>
      <c r="Z83" s="411"/>
      <c r="AA83" s="411"/>
      <c r="AB83" s="411"/>
      <c r="AC83" s="411"/>
      <c r="AD83" s="411"/>
      <c r="AF83" s="411"/>
      <c r="AG83" s="411"/>
    </row>
    <row r="84" spans="2:33" x14ac:dyDescent="0.35">
      <c r="B84" s="151"/>
      <c r="C84" s="143"/>
      <c r="D84" s="143"/>
      <c r="E84" s="411"/>
      <c r="F84" s="411"/>
      <c r="G84" s="411"/>
      <c r="H84" s="411"/>
      <c r="I84" s="411"/>
      <c r="J84" s="411"/>
      <c r="K84" s="411"/>
      <c r="L84" s="411"/>
      <c r="M84" s="411"/>
      <c r="N84" s="411"/>
      <c r="O84" s="411"/>
      <c r="P84" s="411"/>
      <c r="Q84" s="411"/>
      <c r="R84" s="411"/>
      <c r="S84" s="411"/>
      <c r="T84" s="411"/>
      <c r="U84" s="411"/>
      <c r="V84" s="411"/>
      <c r="W84" s="411"/>
      <c r="X84" s="411"/>
      <c r="Y84" s="411"/>
      <c r="Z84" s="411"/>
      <c r="AA84" s="411"/>
      <c r="AB84" s="411"/>
      <c r="AC84" s="411"/>
      <c r="AD84" s="411"/>
      <c r="AF84" s="411"/>
      <c r="AG84" s="411"/>
    </row>
    <row r="85" spans="2:33" x14ac:dyDescent="0.35">
      <c r="B85" s="151"/>
      <c r="C85" s="143"/>
      <c r="D85" s="143"/>
      <c r="E85" s="411"/>
      <c r="F85" s="411"/>
      <c r="G85" s="411"/>
      <c r="H85" s="411"/>
      <c r="I85" s="411"/>
      <c r="J85" s="411"/>
      <c r="K85" s="411"/>
      <c r="L85" s="411"/>
      <c r="M85" s="411"/>
      <c r="N85" s="411"/>
      <c r="O85" s="411"/>
      <c r="P85" s="411"/>
      <c r="Q85" s="411"/>
      <c r="R85" s="411"/>
      <c r="S85" s="411"/>
      <c r="T85" s="411"/>
      <c r="U85" s="411"/>
      <c r="V85" s="411"/>
      <c r="W85" s="411"/>
      <c r="X85" s="411"/>
      <c r="Y85" s="411"/>
      <c r="Z85" s="411"/>
      <c r="AA85" s="411"/>
      <c r="AB85" s="411"/>
      <c r="AC85" s="411"/>
      <c r="AD85" s="411"/>
      <c r="AF85" s="411"/>
      <c r="AG85" s="411"/>
    </row>
    <row r="86" spans="2:33" x14ac:dyDescent="0.35">
      <c r="B86" s="151"/>
      <c r="C86" s="143"/>
      <c r="D86" s="143"/>
      <c r="E86" s="411"/>
      <c r="F86" s="411"/>
      <c r="G86" s="411"/>
      <c r="H86" s="411"/>
      <c r="I86" s="411"/>
      <c r="J86" s="411"/>
      <c r="K86" s="411"/>
      <c r="L86" s="411"/>
      <c r="M86" s="411"/>
      <c r="N86" s="411"/>
      <c r="O86" s="411"/>
      <c r="P86" s="411"/>
      <c r="Q86" s="411"/>
      <c r="R86" s="411"/>
      <c r="S86" s="411"/>
      <c r="T86" s="411"/>
      <c r="U86" s="411"/>
      <c r="V86" s="411"/>
      <c r="W86" s="411"/>
      <c r="X86" s="411"/>
      <c r="Y86" s="411"/>
      <c r="Z86" s="411"/>
      <c r="AA86" s="411"/>
      <c r="AB86" s="411"/>
      <c r="AC86" s="411"/>
      <c r="AD86" s="411"/>
      <c r="AF86" s="411"/>
      <c r="AG86" s="411"/>
    </row>
    <row r="87" spans="2:33" x14ac:dyDescent="0.35">
      <c r="B87" s="151"/>
      <c r="C87" s="143"/>
      <c r="D87" s="143"/>
      <c r="E87" s="411"/>
      <c r="F87" s="411"/>
      <c r="G87" s="411"/>
      <c r="H87" s="411"/>
      <c r="I87" s="411"/>
      <c r="J87" s="411"/>
      <c r="K87" s="411"/>
      <c r="L87" s="411"/>
      <c r="M87" s="411"/>
      <c r="N87" s="411"/>
      <c r="O87" s="411"/>
      <c r="P87" s="411"/>
      <c r="Q87" s="411"/>
      <c r="R87" s="411"/>
      <c r="S87" s="411"/>
      <c r="T87" s="411"/>
      <c r="U87" s="411"/>
      <c r="V87" s="411"/>
      <c r="W87" s="411"/>
      <c r="X87" s="411"/>
      <c r="Y87" s="411"/>
      <c r="Z87" s="411"/>
      <c r="AA87" s="411"/>
      <c r="AB87" s="411"/>
      <c r="AC87" s="411"/>
      <c r="AD87" s="411"/>
      <c r="AF87" s="411"/>
      <c r="AG87" s="411"/>
    </row>
    <row r="88" spans="2:33" x14ac:dyDescent="0.35">
      <c r="B88" s="151"/>
      <c r="C88" s="143"/>
      <c r="D88" s="143"/>
      <c r="E88" s="411"/>
      <c r="F88" s="411"/>
      <c r="G88" s="411"/>
      <c r="H88" s="411"/>
      <c r="I88" s="411"/>
      <c r="J88" s="411"/>
      <c r="K88" s="411"/>
      <c r="L88" s="411"/>
      <c r="M88" s="411"/>
      <c r="N88" s="411"/>
      <c r="O88" s="411"/>
      <c r="P88" s="411"/>
      <c r="Q88" s="411"/>
      <c r="R88" s="411"/>
      <c r="S88" s="411"/>
      <c r="T88" s="411"/>
      <c r="U88" s="411"/>
      <c r="V88" s="411"/>
      <c r="W88" s="411"/>
      <c r="X88" s="411"/>
      <c r="Y88" s="411"/>
      <c r="Z88" s="411"/>
      <c r="AA88" s="411"/>
      <c r="AB88" s="411"/>
      <c r="AC88" s="411"/>
      <c r="AD88" s="411"/>
      <c r="AF88" s="411"/>
      <c r="AG88" s="411"/>
    </row>
    <row r="89" spans="2:33" x14ac:dyDescent="0.35">
      <c r="B89" s="151"/>
      <c r="C89" s="143"/>
      <c r="D89" s="143"/>
      <c r="E89" s="411"/>
      <c r="F89" s="411"/>
      <c r="G89" s="411"/>
      <c r="H89" s="411"/>
      <c r="I89" s="411"/>
      <c r="J89" s="411"/>
      <c r="K89" s="411"/>
      <c r="L89" s="411"/>
      <c r="M89" s="411"/>
      <c r="N89" s="411"/>
      <c r="O89" s="411"/>
      <c r="P89" s="411"/>
      <c r="Q89" s="411"/>
      <c r="R89" s="411"/>
      <c r="S89" s="411"/>
      <c r="T89" s="411"/>
      <c r="U89" s="411"/>
      <c r="V89" s="411"/>
      <c r="W89" s="411"/>
      <c r="X89" s="411"/>
      <c r="Y89" s="411"/>
      <c r="Z89" s="411"/>
      <c r="AA89" s="411"/>
      <c r="AB89" s="411"/>
      <c r="AC89" s="411"/>
      <c r="AD89" s="411"/>
      <c r="AF89" s="411"/>
      <c r="AG89" s="411"/>
    </row>
    <row r="90" spans="2:33" x14ac:dyDescent="0.35">
      <c r="B90" s="151"/>
      <c r="C90" s="143"/>
      <c r="D90" s="143"/>
      <c r="E90" s="411"/>
      <c r="F90" s="411"/>
      <c r="G90" s="411"/>
      <c r="H90" s="411"/>
      <c r="I90" s="411"/>
      <c r="J90" s="411"/>
      <c r="K90" s="411"/>
      <c r="L90" s="411"/>
      <c r="M90" s="411"/>
      <c r="N90" s="411"/>
      <c r="O90" s="411"/>
      <c r="P90" s="411"/>
      <c r="Q90" s="411"/>
      <c r="R90" s="411"/>
      <c r="S90" s="411"/>
      <c r="T90" s="411"/>
      <c r="U90" s="411"/>
      <c r="V90" s="411"/>
      <c r="W90" s="411"/>
      <c r="X90" s="411"/>
      <c r="Y90" s="411"/>
      <c r="Z90" s="411"/>
      <c r="AA90" s="411"/>
      <c r="AB90" s="411"/>
      <c r="AC90" s="411"/>
      <c r="AD90" s="411"/>
      <c r="AF90" s="411"/>
      <c r="AG90" s="411"/>
    </row>
    <row r="91" spans="2:33" x14ac:dyDescent="0.35">
      <c r="B91" s="151"/>
      <c r="C91" s="143"/>
      <c r="D91" s="143"/>
      <c r="E91" s="411"/>
      <c r="F91" s="411"/>
      <c r="G91" s="411"/>
      <c r="H91" s="411"/>
      <c r="I91" s="411"/>
      <c r="J91" s="411"/>
      <c r="K91" s="411"/>
      <c r="L91" s="411"/>
      <c r="M91" s="411"/>
      <c r="N91" s="411"/>
      <c r="O91" s="411"/>
      <c r="P91" s="411"/>
      <c r="Q91" s="411"/>
      <c r="R91" s="411"/>
      <c r="S91" s="411"/>
      <c r="T91" s="411"/>
      <c r="U91" s="411"/>
      <c r="V91" s="411"/>
      <c r="W91" s="411"/>
      <c r="X91" s="411"/>
      <c r="Y91" s="411"/>
      <c r="Z91" s="411"/>
      <c r="AA91" s="411"/>
      <c r="AB91" s="411"/>
      <c r="AC91" s="411"/>
      <c r="AD91" s="411"/>
      <c r="AF91" s="411"/>
      <c r="AG91" s="411"/>
    </row>
    <row r="92" spans="2:33" x14ac:dyDescent="0.35">
      <c r="B92" s="151"/>
      <c r="C92" s="143"/>
      <c r="D92" s="143"/>
      <c r="E92" s="411"/>
      <c r="F92" s="411"/>
      <c r="G92" s="411"/>
      <c r="H92" s="411"/>
      <c r="I92" s="411"/>
      <c r="J92" s="411"/>
      <c r="K92" s="411"/>
      <c r="L92" s="411"/>
      <c r="M92" s="411"/>
      <c r="N92" s="411"/>
      <c r="O92" s="411"/>
      <c r="P92" s="411"/>
      <c r="Q92" s="411"/>
      <c r="R92" s="411"/>
      <c r="S92" s="411"/>
      <c r="T92" s="411"/>
      <c r="U92" s="411"/>
      <c r="V92" s="411"/>
      <c r="W92" s="411"/>
      <c r="X92" s="411"/>
      <c r="Y92" s="411"/>
      <c r="Z92" s="411"/>
      <c r="AA92" s="411"/>
      <c r="AB92" s="411"/>
      <c r="AC92" s="411"/>
      <c r="AD92" s="411"/>
      <c r="AF92" s="411"/>
      <c r="AG92" s="411"/>
    </row>
    <row r="93" spans="2:33" x14ac:dyDescent="0.35">
      <c r="B93" s="151"/>
      <c r="C93" s="143"/>
      <c r="D93" s="143"/>
      <c r="E93" s="411"/>
      <c r="F93" s="411"/>
      <c r="G93" s="411"/>
      <c r="H93" s="411"/>
      <c r="I93" s="411"/>
      <c r="J93" s="411"/>
      <c r="K93" s="411"/>
      <c r="L93" s="411"/>
      <c r="M93" s="411"/>
      <c r="N93" s="411"/>
      <c r="O93" s="411"/>
      <c r="P93" s="411"/>
      <c r="Q93" s="411"/>
      <c r="R93" s="411"/>
      <c r="S93" s="411"/>
      <c r="T93" s="411"/>
      <c r="U93" s="411"/>
      <c r="V93" s="411"/>
      <c r="W93" s="411"/>
      <c r="X93" s="411"/>
      <c r="Y93" s="411"/>
      <c r="Z93" s="411"/>
      <c r="AA93" s="411"/>
      <c r="AB93" s="411"/>
      <c r="AC93" s="411"/>
      <c r="AD93" s="411"/>
      <c r="AF93" s="411"/>
      <c r="AG93" s="411"/>
    </row>
    <row r="94" spans="2:33" x14ac:dyDescent="0.35">
      <c r="B94" s="151"/>
      <c r="C94" s="143"/>
      <c r="D94" s="143"/>
      <c r="E94" s="411"/>
      <c r="F94" s="411"/>
      <c r="G94" s="411"/>
      <c r="H94" s="411"/>
      <c r="I94" s="411"/>
      <c r="J94" s="411"/>
      <c r="K94" s="411"/>
      <c r="L94" s="411"/>
      <c r="M94" s="411"/>
      <c r="N94" s="411"/>
      <c r="O94" s="411"/>
      <c r="P94" s="411"/>
      <c r="Q94" s="411"/>
      <c r="R94" s="411"/>
      <c r="S94" s="411"/>
      <c r="T94" s="411"/>
      <c r="U94" s="411"/>
      <c r="V94" s="411"/>
      <c r="W94" s="411"/>
      <c r="X94" s="411"/>
      <c r="Y94" s="411"/>
      <c r="Z94" s="411"/>
      <c r="AA94" s="411"/>
      <c r="AB94" s="411"/>
      <c r="AC94" s="411"/>
      <c r="AD94" s="411"/>
      <c r="AF94" s="411"/>
      <c r="AG94" s="411"/>
    </row>
    <row r="95" spans="2:33" x14ac:dyDescent="0.35">
      <c r="B95" s="151"/>
      <c r="C95" s="143"/>
      <c r="D95" s="143"/>
      <c r="E95" s="411"/>
      <c r="F95" s="411"/>
      <c r="G95" s="411"/>
      <c r="H95" s="411"/>
      <c r="I95" s="411"/>
      <c r="J95" s="411"/>
      <c r="K95" s="411"/>
      <c r="L95" s="411"/>
      <c r="M95" s="411"/>
      <c r="N95" s="411"/>
      <c r="O95" s="411"/>
      <c r="P95" s="411"/>
      <c r="Q95" s="411"/>
      <c r="R95" s="411"/>
      <c r="S95" s="411"/>
      <c r="T95" s="411"/>
      <c r="U95" s="411"/>
      <c r="V95" s="411"/>
      <c r="W95" s="411"/>
      <c r="X95" s="411"/>
      <c r="Y95" s="411"/>
      <c r="Z95" s="411"/>
      <c r="AA95" s="411"/>
      <c r="AB95" s="411"/>
      <c r="AC95" s="411"/>
      <c r="AD95" s="411"/>
      <c r="AF95" s="411"/>
      <c r="AG95" s="411"/>
    </row>
    <row r="96" spans="2:33" x14ac:dyDescent="0.35">
      <c r="B96" s="151"/>
      <c r="C96" s="143"/>
      <c r="D96" s="143"/>
      <c r="E96" s="411"/>
      <c r="F96" s="411"/>
      <c r="G96" s="411"/>
      <c r="H96" s="411"/>
      <c r="I96" s="411"/>
      <c r="J96" s="411"/>
      <c r="K96" s="411"/>
      <c r="L96" s="411"/>
      <c r="M96" s="411"/>
      <c r="N96" s="411"/>
      <c r="O96" s="411"/>
      <c r="P96" s="411"/>
      <c r="Q96" s="411"/>
      <c r="R96" s="411"/>
      <c r="S96" s="411"/>
      <c r="T96" s="411"/>
      <c r="U96" s="411"/>
      <c r="V96" s="411"/>
      <c r="W96" s="411"/>
      <c r="X96" s="411"/>
      <c r="Y96" s="411"/>
      <c r="Z96" s="411"/>
      <c r="AA96" s="411"/>
      <c r="AB96" s="411"/>
      <c r="AC96" s="411"/>
      <c r="AD96" s="411"/>
      <c r="AF96" s="411"/>
      <c r="AG96" s="411"/>
    </row>
    <row r="97" spans="2:33" x14ac:dyDescent="0.35">
      <c r="B97" s="151"/>
      <c r="C97" s="143"/>
      <c r="D97" s="143"/>
      <c r="E97" s="411"/>
      <c r="F97" s="411"/>
      <c r="G97" s="411"/>
      <c r="H97" s="411"/>
      <c r="I97" s="411"/>
      <c r="J97" s="411"/>
      <c r="K97" s="411"/>
      <c r="L97" s="411"/>
      <c r="M97" s="411"/>
      <c r="N97" s="411"/>
      <c r="O97" s="411"/>
      <c r="P97" s="411"/>
      <c r="Q97" s="411"/>
      <c r="R97" s="411"/>
      <c r="S97" s="411"/>
      <c r="T97" s="411"/>
      <c r="U97" s="411"/>
      <c r="V97" s="411"/>
      <c r="W97" s="411"/>
      <c r="X97" s="411"/>
      <c r="Y97" s="411"/>
      <c r="Z97" s="411"/>
      <c r="AA97" s="411"/>
      <c r="AB97" s="411"/>
      <c r="AC97" s="411"/>
      <c r="AD97" s="411"/>
      <c r="AF97" s="411"/>
      <c r="AG97" s="411"/>
    </row>
    <row r="98" spans="2:33" x14ac:dyDescent="0.35">
      <c r="B98" s="151"/>
      <c r="C98" s="143"/>
      <c r="D98" s="143"/>
      <c r="E98" s="411"/>
      <c r="F98" s="411"/>
      <c r="G98" s="411"/>
      <c r="H98" s="411"/>
      <c r="I98" s="411"/>
      <c r="J98" s="411"/>
      <c r="K98" s="411"/>
      <c r="L98" s="411"/>
      <c r="M98" s="411"/>
      <c r="N98" s="411"/>
      <c r="O98" s="411"/>
      <c r="P98" s="411"/>
      <c r="Q98" s="411"/>
      <c r="R98" s="411"/>
      <c r="S98" s="411"/>
      <c r="T98" s="411"/>
      <c r="U98" s="411"/>
      <c r="V98" s="411"/>
      <c r="W98" s="411"/>
      <c r="X98" s="411"/>
      <c r="Y98" s="411"/>
      <c r="Z98" s="411"/>
      <c r="AA98" s="411"/>
      <c r="AB98" s="411"/>
      <c r="AC98" s="411"/>
      <c r="AD98" s="411"/>
      <c r="AF98" s="411"/>
      <c r="AG98" s="411"/>
    </row>
    <row r="99" spans="2:33" x14ac:dyDescent="0.35">
      <c r="B99" s="151"/>
      <c r="C99" s="143"/>
      <c r="D99" s="143"/>
      <c r="E99" s="411"/>
      <c r="F99" s="411"/>
      <c r="G99" s="411"/>
      <c r="H99" s="411"/>
      <c r="I99" s="411"/>
      <c r="J99" s="411"/>
      <c r="K99" s="411"/>
      <c r="L99" s="411"/>
      <c r="M99" s="411"/>
      <c r="N99" s="411"/>
      <c r="O99" s="411"/>
      <c r="P99" s="411"/>
      <c r="Q99" s="411"/>
      <c r="R99" s="411"/>
      <c r="S99" s="411"/>
      <c r="T99" s="411"/>
      <c r="U99" s="411"/>
      <c r="V99" s="411"/>
      <c r="W99" s="411"/>
      <c r="X99" s="411"/>
      <c r="Y99" s="411"/>
      <c r="Z99" s="411"/>
      <c r="AA99" s="411"/>
      <c r="AB99" s="411"/>
      <c r="AC99" s="411"/>
      <c r="AD99" s="411"/>
      <c r="AF99" s="411"/>
      <c r="AG99" s="411"/>
    </row>
    <row r="100" spans="2:33" x14ac:dyDescent="0.35">
      <c r="B100" s="151"/>
      <c r="C100" s="143"/>
      <c r="D100" s="143"/>
      <c r="E100" s="411"/>
      <c r="F100" s="411"/>
      <c r="G100" s="411"/>
      <c r="H100" s="411"/>
      <c r="I100" s="411"/>
      <c r="J100" s="411"/>
      <c r="K100" s="411"/>
      <c r="L100" s="411"/>
      <c r="M100" s="411"/>
      <c r="N100" s="411"/>
      <c r="O100" s="411"/>
      <c r="P100" s="411"/>
      <c r="Q100" s="411"/>
      <c r="R100" s="411"/>
      <c r="S100" s="411"/>
      <c r="T100" s="411"/>
      <c r="U100" s="411"/>
      <c r="V100" s="411"/>
      <c r="W100" s="411"/>
      <c r="X100" s="411"/>
      <c r="Y100" s="411"/>
      <c r="Z100" s="411"/>
      <c r="AA100" s="411"/>
      <c r="AB100" s="411"/>
      <c r="AC100" s="411"/>
      <c r="AD100" s="411"/>
      <c r="AF100" s="411"/>
      <c r="AG100" s="411"/>
    </row>
    <row r="101" spans="2:33" x14ac:dyDescent="0.35">
      <c r="B101" s="151"/>
      <c r="C101" s="143"/>
      <c r="D101" s="143"/>
      <c r="E101" s="411"/>
      <c r="F101" s="411"/>
      <c r="G101" s="411"/>
      <c r="H101" s="411"/>
      <c r="I101" s="411"/>
      <c r="J101" s="411"/>
      <c r="K101" s="411"/>
      <c r="L101" s="411"/>
      <c r="M101" s="411"/>
      <c r="N101" s="411"/>
      <c r="O101" s="411"/>
      <c r="P101" s="411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1"/>
      <c r="AF101" s="411"/>
      <c r="AG101" s="411"/>
    </row>
    <row r="102" spans="2:33" x14ac:dyDescent="0.35">
      <c r="B102" s="151"/>
      <c r="C102" s="143"/>
      <c r="D102" s="143"/>
      <c r="E102" s="411"/>
      <c r="F102" s="411"/>
      <c r="G102" s="411"/>
      <c r="H102" s="411"/>
      <c r="I102" s="411"/>
      <c r="J102" s="411"/>
      <c r="K102" s="411"/>
      <c r="L102" s="411"/>
      <c r="M102" s="411"/>
      <c r="N102" s="411"/>
      <c r="O102" s="411"/>
      <c r="P102" s="411"/>
      <c r="Q102" s="411"/>
      <c r="R102" s="411"/>
      <c r="S102" s="411"/>
      <c r="T102" s="411"/>
      <c r="U102" s="411"/>
      <c r="V102" s="411"/>
      <c r="W102" s="411"/>
      <c r="X102" s="411"/>
      <c r="Y102" s="411"/>
      <c r="Z102" s="411"/>
      <c r="AA102" s="411"/>
      <c r="AB102" s="411"/>
      <c r="AC102" s="411"/>
      <c r="AD102" s="411"/>
      <c r="AF102" s="411"/>
      <c r="AG102" s="411"/>
    </row>
    <row r="103" spans="2:33" x14ac:dyDescent="0.35">
      <c r="B103" s="151"/>
      <c r="C103" s="143"/>
      <c r="D103" s="143"/>
      <c r="E103" s="411"/>
      <c r="F103" s="411"/>
      <c r="G103" s="411"/>
      <c r="H103" s="411"/>
      <c r="I103" s="411"/>
      <c r="J103" s="411"/>
      <c r="K103" s="411"/>
      <c r="L103" s="411"/>
      <c r="M103" s="411"/>
      <c r="N103" s="411"/>
      <c r="O103" s="411"/>
      <c r="P103" s="411"/>
      <c r="Q103" s="411"/>
      <c r="R103" s="411"/>
      <c r="S103" s="411"/>
      <c r="T103" s="411"/>
      <c r="U103" s="411"/>
      <c r="V103" s="411"/>
      <c r="W103" s="411"/>
      <c r="X103" s="411"/>
      <c r="Y103" s="411"/>
      <c r="Z103" s="411"/>
      <c r="AA103" s="411"/>
      <c r="AB103" s="411"/>
      <c r="AC103" s="411"/>
      <c r="AD103" s="411"/>
      <c r="AF103" s="411"/>
      <c r="AG103" s="411"/>
    </row>
    <row r="104" spans="2:33" x14ac:dyDescent="0.35">
      <c r="B104" s="151"/>
      <c r="C104" s="143"/>
      <c r="D104" s="143"/>
      <c r="E104" s="411"/>
      <c r="F104" s="411"/>
      <c r="G104" s="411"/>
      <c r="H104" s="411"/>
      <c r="I104" s="411"/>
      <c r="J104" s="411"/>
      <c r="K104" s="411"/>
      <c r="L104" s="411"/>
      <c r="M104" s="411"/>
      <c r="N104" s="411"/>
      <c r="O104" s="411"/>
      <c r="P104" s="411"/>
      <c r="Q104" s="411"/>
      <c r="R104" s="411"/>
      <c r="S104" s="411"/>
      <c r="T104" s="411"/>
      <c r="U104" s="411"/>
      <c r="V104" s="411"/>
      <c r="W104" s="411"/>
      <c r="X104" s="411"/>
      <c r="Y104" s="411"/>
      <c r="Z104" s="411"/>
      <c r="AA104" s="411"/>
      <c r="AB104" s="411"/>
      <c r="AC104" s="411"/>
      <c r="AD104" s="411"/>
      <c r="AF104" s="411"/>
      <c r="AG104" s="411"/>
    </row>
    <row r="105" spans="2:33" x14ac:dyDescent="0.35">
      <c r="B105" s="151"/>
      <c r="C105" s="143"/>
      <c r="D105" s="143"/>
      <c r="E105" s="411"/>
      <c r="F105" s="411"/>
      <c r="G105" s="411"/>
      <c r="H105" s="411"/>
      <c r="I105" s="411"/>
      <c r="J105" s="411"/>
      <c r="K105" s="411"/>
      <c r="L105" s="411"/>
      <c r="M105" s="411"/>
      <c r="N105" s="411"/>
      <c r="O105" s="411"/>
      <c r="P105" s="411"/>
      <c r="Q105" s="411"/>
      <c r="R105" s="411"/>
      <c r="S105" s="411"/>
      <c r="T105" s="411"/>
      <c r="U105" s="411"/>
      <c r="V105" s="411"/>
      <c r="W105" s="411"/>
      <c r="X105" s="411"/>
      <c r="Y105" s="411"/>
      <c r="Z105" s="411"/>
      <c r="AA105" s="411"/>
      <c r="AB105" s="411"/>
      <c r="AC105" s="411"/>
      <c r="AD105" s="411"/>
      <c r="AF105" s="411"/>
      <c r="AG105" s="411"/>
    </row>
    <row r="106" spans="2:33" x14ac:dyDescent="0.35">
      <c r="B106" s="151"/>
      <c r="C106" s="143"/>
      <c r="D106" s="143"/>
      <c r="E106" s="411"/>
      <c r="F106" s="411"/>
      <c r="G106" s="411"/>
      <c r="H106" s="411"/>
      <c r="I106" s="411"/>
      <c r="J106" s="411"/>
      <c r="K106" s="411"/>
      <c r="L106" s="411"/>
      <c r="M106" s="411"/>
      <c r="N106" s="411"/>
      <c r="O106" s="411"/>
      <c r="P106" s="411"/>
      <c r="Q106" s="411"/>
      <c r="R106" s="411"/>
      <c r="S106" s="411"/>
      <c r="T106" s="411"/>
      <c r="U106" s="411"/>
      <c r="V106" s="411"/>
      <c r="W106" s="411"/>
      <c r="X106" s="411"/>
      <c r="Y106" s="411"/>
      <c r="Z106" s="411"/>
      <c r="AA106" s="411"/>
      <c r="AB106" s="411"/>
      <c r="AC106" s="411"/>
      <c r="AD106" s="411"/>
      <c r="AF106" s="411"/>
      <c r="AG106" s="411"/>
    </row>
    <row r="107" spans="2:33" x14ac:dyDescent="0.35">
      <c r="B107" s="151"/>
      <c r="C107" s="143"/>
      <c r="D107" s="143"/>
      <c r="E107" s="411"/>
      <c r="F107" s="411"/>
      <c r="G107" s="411"/>
      <c r="H107" s="411"/>
      <c r="I107" s="411"/>
      <c r="J107" s="411"/>
      <c r="K107" s="411"/>
      <c r="L107" s="411"/>
      <c r="M107" s="411"/>
      <c r="N107" s="411"/>
      <c r="O107" s="411"/>
      <c r="P107" s="411"/>
      <c r="Q107" s="411"/>
      <c r="R107" s="411"/>
      <c r="S107" s="411"/>
      <c r="T107" s="411"/>
      <c r="U107" s="411"/>
      <c r="V107" s="411"/>
      <c r="W107" s="411"/>
      <c r="X107" s="411"/>
      <c r="Y107" s="411"/>
      <c r="Z107" s="411"/>
      <c r="AA107" s="411"/>
      <c r="AB107" s="411"/>
      <c r="AC107" s="411"/>
      <c r="AD107" s="411"/>
      <c r="AF107" s="411"/>
      <c r="AG107" s="411"/>
    </row>
    <row r="108" spans="2:33" x14ac:dyDescent="0.35">
      <c r="B108" s="151"/>
      <c r="C108" s="143"/>
      <c r="D108" s="143"/>
      <c r="E108" s="411"/>
      <c r="F108" s="411"/>
      <c r="G108" s="411"/>
      <c r="H108" s="411"/>
      <c r="I108" s="411"/>
      <c r="J108" s="411"/>
      <c r="K108" s="411"/>
      <c r="L108" s="411"/>
      <c r="M108" s="411"/>
      <c r="N108" s="411"/>
      <c r="O108" s="411"/>
      <c r="P108" s="411"/>
      <c r="Q108" s="411"/>
      <c r="R108" s="411"/>
      <c r="S108" s="411"/>
      <c r="T108" s="411"/>
      <c r="U108" s="411"/>
      <c r="V108" s="411"/>
      <c r="W108" s="411"/>
      <c r="X108" s="411"/>
      <c r="Y108" s="411"/>
      <c r="Z108" s="411"/>
      <c r="AA108" s="411"/>
      <c r="AB108" s="411"/>
      <c r="AC108" s="411"/>
      <c r="AD108" s="411"/>
      <c r="AF108" s="411"/>
      <c r="AG108" s="411"/>
    </row>
    <row r="109" spans="2:33" x14ac:dyDescent="0.35">
      <c r="B109" s="151"/>
      <c r="C109" s="143"/>
      <c r="D109" s="143"/>
      <c r="E109" s="411"/>
      <c r="F109" s="411"/>
      <c r="G109" s="411"/>
      <c r="H109" s="411"/>
      <c r="I109" s="411"/>
      <c r="J109" s="411"/>
      <c r="K109" s="411"/>
      <c r="L109" s="411"/>
      <c r="M109" s="411"/>
      <c r="N109" s="411"/>
      <c r="O109" s="411"/>
      <c r="P109" s="411"/>
      <c r="Q109" s="411"/>
      <c r="R109" s="411"/>
      <c r="S109" s="411"/>
      <c r="T109" s="411"/>
      <c r="U109" s="411"/>
      <c r="V109" s="411"/>
      <c r="W109" s="411"/>
      <c r="X109" s="411"/>
      <c r="Y109" s="411"/>
      <c r="Z109" s="411"/>
      <c r="AA109" s="411"/>
      <c r="AB109" s="411"/>
      <c r="AC109" s="411"/>
      <c r="AD109" s="411"/>
      <c r="AF109" s="411"/>
      <c r="AG109" s="411"/>
    </row>
    <row r="110" spans="2:33" x14ac:dyDescent="0.35">
      <c r="B110" s="151"/>
      <c r="C110" s="143"/>
      <c r="D110" s="143"/>
      <c r="E110" s="411"/>
      <c r="F110" s="411"/>
      <c r="G110" s="411"/>
      <c r="H110" s="411"/>
      <c r="I110" s="411"/>
      <c r="J110" s="411"/>
      <c r="K110" s="411"/>
      <c r="L110" s="411"/>
      <c r="M110" s="411"/>
      <c r="N110" s="411"/>
      <c r="O110" s="411"/>
      <c r="P110" s="411"/>
      <c r="Q110" s="411"/>
      <c r="R110" s="411"/>
      <c r="S110" s="411"/>
      <c r="T110" s="411"/>
      <c r="U110" s="411"/>
      <c r="V110" s="411"/>
      <c r="W110" s="411"/>
      <c r="X110" s="411"/>
      <c r="Y110" s="411"/>
      <c r="Z110" s="411"/>
      <c r="AA110" s="411"/>
      <c r="AB110" s="411"/>
      <c r="AC110" s="411"/>
      <c r="AD110" s="411"/>
      <c r="AF110" s="411"/>
      <c r="AG110" s="411"/>
    </row>
    <row r="111" spans="2:33" x14ac:dyDescent="0.35">
      <c r="B111" s="151"/>
      <c r="C111" s="143"/>
      <c r="D111" s="143"/>
      <c r="E111" s="411"/>
      <c r="F111" s="411"/>
      <c r="G111" s="411"/>
      <c r="H111" s="411"/>
      <c r="I111" s="411"/>
      <c r="J111" s="411"/>
      <c r="K111" s="411"/>
      <c r="L111" s="411"/>
      <c r="M111" s="411"/>
      <c r="N111" s="411"/>
      <c r="O111" s="411"/>
      <c r="P111" s="411"/>
      <c r="Q111" s="411"/>
      <c r="R111" s="411"/>
      <c r="S111" s="411"/>
      <c r="T111" s="411"/>
      <c r="U111" s="411"/>
      <c r="V111" s="411"/>
      <c r="W111" s="411"/>
      <c r="X111" s="411"/>
      <c r="Y111" s="411"/>
      <c r="Z111" s="411"/>
      <c r="AA111" s="411"/>
      <c r="AB111" s="411"/>
      <c r="AC111" s="411"/>
      <c r="AD111" s="411"/>
      <c r="AF111" s="411"/>
      <c r="AG111" s="411"/>
    </row>
    <row r="112" spans="2:33" x14ac:dyDescent="0.35">
      <c r="B112" s="151"/>
      <c r="C112" s="143"/>
      <c r="D112" s="143"/>
      <c r="E112" s="411"/>
      <c r="F112" s="411"/>
      <c r="G112" s="411"/>
      <c r="H112" s="411"/>
      <c r="I112" s="411"/>
      <c r="J112" s="411"/>
      <c r="K112" s="411"/>
      <c r="L112" s="411"/>
      <c r="M112" s="411"/>
      <c r="N112" s="411"/>
      <c r="O112" s="411"/>
      <c r="P112" s="411"/>
      <c r="Q112" s="411"/>
      <c r="R112" s="411"/>
      <c r="S112" s="411"/>
      <c r="T112" s="411"/>
      <c r="U112" s="411"/>
      <c r="V112" s="411"/>
      <c r="W112" s="411"/>
      <c r="X112" s="411"/>
      <c r="Y112" s="411"/>
      <c r="Z112" s="411"/>
      <c r="AA112" s="411"/>
      <c r="AB112" s="411"/>
      <c r="AC112" s="411"/>
      <c r="AD112" s="411"/>
      <c r="AF112" s="411"/>
      <c r="AG112" s="411"/>
    </row>
    <row r="113" spans="2:33" x14ac:dyDescent="0.35">
      <c r="B113" s="151"/>
      <c r="C113" s="143"/>
      <c r="D113" s="143"/>
      <c r="E113" s="411"/>
      <c r="F113" s="411"/>
      <c r="G113" s="411"/>
      <c r="H113" s="411"/>
      <c r="I113" s="411"/>
      <c r="J113" s="411"/>
      <c r="K113" s="411"/>
      <c r="L113" s="411"/>
      <c r="M113" s="411"/>
      <c r="N113" s="411"/>
      <c r="O113" s="411"/>
      <c r="P113" s="411"/>
      <c r="Q113" s="411"/>
      <c r="R113" s="411"/>
      <c r="S113" s="411"/>
      <c r="T113" s="411"/>
      <c r="U113" s="411"/>
      <c r="V113" s="411"/>
      <c r="W113" s="411"/>
      <c r="X113" s="411"/>
      <c r="Y113" s="411"/>
      <c r="Z113" s="411"/>
      <c r="AA113" s="411"/>
      <c r="AB113" s="411"/>
      <c r="AC113" s="411"/>
      <c r="AD113" s="411"/>
      <c r="AF113" s="411"/>
      <c r="AG113" s="411"/>
    </row>
    <row r="114" spans="2:33" x14ac:dyDescent="0.35">
      <c r="B114" s="151"/>
      <c r="C114" s="143"/>
      <c r="D114" s="143"/>
      <c r="E114" s="411"/>
      <c r="F114" s="411"/>
      <c r="G114" s="411"/>
      <c r="H114" s="411"/>
      <c r="I114" s="411"/>
      <c r="J114" s="411"/>
      <c r="K114" s="411"/>
      <c r="L114" s="411"/>
      <c r="M114" s="411"/>
      <c r="N114" s="411"/>
      <c r="O114" s="411"/>
      <c r="P114" s="411"/>
      <c r="Q114" s="411"/>
      <c r="R114" s="411"/>
      <c r="S114" s="411"/>
      <c r="T114" s="411"/>
      <c r="U114" s="411"/>
      <c r="V114" s="411"/>
      <c r="W114" s="411"/>
      <c r="X114" s="411"/>
      <c r="Y114" s="411"/>
      <c r="Z114" s="411"/>
      <c r="AA114" s="411"/>
      <c r="AB114" s="411"/>
      <c r="AC114" s="411"/>
      <c r="AD114" s="411"/>
      <c r="AF114" s="411"/>
      <c r="AG114" s="411"/>
    </row>
    <row r="115" spans="2:33" x14ac:dyDescent="0.35">
      <c r="B115" s="151"/>
      <c r="C115" s="143"/>
      <c r="D115" s="143"/>
      <c r="E115" s="411"/>
      <c r="F115" s="411"/>
      <c r="G115" s="411"/>
      <c r="H115" s="411"/>
      <c r="I115" s="411"/>
      <c r="J115" s="411"/>
      <c r="K115" s="411"/>
      <c r="L115" s="411"/>
      <c r="M115" s="411"/>
      <c r="N115" s="411"/>
      <c r="O115" s="411"/>
      <c r="P115" s="411"/>
      <c r="Q115" s="411"/>
      <c r="R115" s="411"/>
      <c r="S115" s="411"/>
      <c r="T115" s="411"/>
      <c r="U115" s="411"/>
      <c r="V115" s="411"/>
      <c r="W115" s="411"/>
      <c r="X115" s="411"/>
      <c r="Y115" s="411"/>
      <c r="Z115" s="411"/>
      <c r="AA115" s="411"/>
      <c r="AB115" s="411"/>
      <c r="AC115" s="411"/>
      <c r="AD115" s="411"/>
      <c r="AF115" s="411"/>
      <c r="AG115" s="411"/>
    </row>
    <row r="116" spans="2:33" x14ac:dyDescent="0.35">
      <c r="B116" s="151"/>
      <c r="C116" s="143"/>
      <c r="D116" s="143"/>
      <c r="E116" s="411"/>
      <c r="F116" s="411"/>
      <c r="G116" s="411"/>
      <c r="H116" s="411"/>
      <c r="I116" s="411"/>
      <c r="J116" s="411"/>
      <c r="K116" s="411"/>
      <c r="L116" s="411"/>
      <c r="M116" s="411"/>
      <c r="N116" s="411"/>
      <c r="O116" s="411"/>
      <c r="P116" s="411"/>
      <c r="Q116" s="411"/>
      <c r="R116" s="411"/>
      <c r="S116" s="411"/>
      <c r="T116" s="411"/>
      <c r="U116" s="411"/>
      <c r="V116" s="411"/>
      <c r="W116" s="411"/>
      <c r="X116" s="411"/>
      <c r="Y116" s="411"/>
      <c r="Z116" s="411"/>
      <c r="AA116" s="411"/>
      <c r="AB116" s="411"/>
      <c r="AC116" s="411"/>
      <c r="AD116" s="411"/>
      <c r="AF116" s="411"/>
      <c r="AG116" s="411"/>
    </row>
    <row r="117" spans="2:33" x14ac:dyDescent="0.35">
      <c r="B117" s="151"/>
      <c r="C117" s="143"/>
      <c r="D117" s="143"/>
      <c r="E117" s="411"/>
      <c r="F117" s="411"/>
      <c r="G117" s="411"/>
      <c r="H117" s="411"/>
      <c r="I117" s="411"/>
      <c r="J117" s="411"/>
      <c r="K117" s="411"/>
      <c r="L117" s="411"/>
      <c r="M117" s="411"/>
      <c r="N117" s="411"/>
      <c r="O117" s="411"/>
      <c r="P117" s="411"/>
      <c r="Q117" s="411"/>
      <c r="R117" s="411"/>
      <c r="S117" s="411"/>
      <c r="T117" s="411"/>
      <c r="U117" s="411"/>
      <c r="V117" s="411"/>
      <c r="W117" s="411"/>
      <c r="X117" s="411"/>
      <c r="Y117" s="411"/>
      <c r="Z117" s="411"/>
      <c r="AA117" s="411"/>
      <c r="AB117" s="411"/>
      <c r="AC117" s="411"/>
      <c r="AD117" s="411"/>
      <c r="AF117" s="411"/>
      <c r="AG117" s="411"/>
    </row>
    <row r="118" spans="2:33" x14ac:dyDescent="0.35">
      <c r="B118" s="151"/>
      <c r="C118" s="143"/>
      <c r="D118" s="143"/>
      <c r="E118" s="411"/>
      <c r="F118" s="411"/>
      <c r="G118" s="411"/>
      <c r="H118" s="411"/>
      <c r="I118" s="411"/>
      <c r="J118" s="411"/>
      <c r="K118" s="411"/>
      <c r="L118" s="411"/>
      <c r="M118" s="411"/>
      <c r="N118" s="411"/>
      <c r="O118" s="411"/>
      <c r="P118" s="411"/>
      <c r="Q118" s="411"/>
      <c r="R118" s="411"/>
      <c r="S118" s="411"/>
      <c r="T118" s="411"/>
      <c r="U118" s="411"/>
      <c r="V118" s="411"/>
      <c r="W118" s="411"/>
      <c r="X118" s="411"/>
      <c r="Y118" s="411"/>
      <c r="Z118" s="411"/>
      <c r="AA118" s="411"/>
      <c r="AB118" s="411"/>
      <c r="AC118" s="411"/>
      <c r="AD118" s="411"/>
      <c r="AF118" s="411"/>
      <c r="AG118" s="411"/>
    </row>
    <row r="119" spans="2:33" x14ac:dyDescent="0.35">
      <c r="B119" s="151"/>
      <c r="C119" s="143"/>
      <c r="D119" s="143"/>
      <c r="E119" s="411"/>
      <c r="F119" s="411"/>
      <c r="G119" s="411"/>
      <c r="H119" s="411"/>
      <c r="I119" s="411"/>
      <c r="J119" s="411"/>
      <c r="K119" s="411"/>
      <c r="L119" s="411"/>
      <c r="M119" s="411"/>
      <c r="N119" s="411"/>
      <c r="O119" s="411"/>
      <c r="P119" s="411"/>
      <c r="Q119" s="411"/>
      <c r="R119" s="411"/>
      <c r="S119" s="411"/>
      <c r="T119" s="411"/>
      <c r="U119" s="411"/>
      <c r="V119" s="411"/>
      <c r="W119" s="411"/>
      <c r="X119" s="411"/>
      <c r="Y119" s="411"/>
      <c r="Z119" s="411"/>
      <c r="AA119" s="411"/>
      <c r="AB119" s="411"/>
      <c r="AC119" s="411"/>
      <c r="AD119" s="411"/>
      <c r="AF119" s="411"/>
      <c r="AG119" s="411"/>
    </row>
    <row r="120" spans="2:33" x14ac:dyDescent="0.35">
      <c r="B120" s="151"/>
      <c r="C120" s="143"/>
      <c r="D120" s="143"/>
      <c r="E120" s="411"/>
      <c r="F120" s="411"/>
      <c r="G120" s="411"/>
      <c r="H120" s="411"/>
      <c r="I120" s="411"/>
      <c r="J120" s="411"/>
      <c r="K120" s="411"/>
      <c r="L120" s="411"/>
      <c r="M120" s="411"/>
      <c r="N120" s="411"/>
      <c r="O120" s="411"/>
      <c r="P120" s="411"/>
      <c r="Q120" s="411"/>
      <c r="R120" s="411"/>
      <c r="S120" s="411"/>
      <c r="T120" s="411"/>
      <c r="U120" s="411"/>
      <c r="V120" s="411"/>
      <c r="W120" s="411"/>
      <c r="X120" s="411"/>
      <c r="Y120" s="411"/>
      <c r="Z120" s="411"/>
      <c r="AA120" s="411"/>
      <c r="AB120" s="411"/>
      <c r="AC120" s="411"/>
      <c r="AD120" s="411"/>
      <c r="AF120" s="411"/>
      <c r="AG120" s="411"/>
    </row>
    <row r="121" spans="2:33" x14ac:dyDescent="0.35">
      <c r="B121" s="151"/>
      <c r="C121" s="143"/>
      <c r="D121" s="143"/>
      <c r="E121" s="411"/>
      <c r="F121" s="411"/>
      <c r="G121" s="411"/>
      <c r="H121" s="411"/>
      <c r="I121" s="411"/>
      <c r="J121" s="411"/>
      <c r="K121" s="411"/>
      <c r="L121" s="411"/>
      <c r="M121" s="411"/>
      <c r="N121" s="411"/>
      <c r="O121" s="411"/>
      <c r="P121" s="411"/>
      <c r="Q121" s="411"/>
      <c r="R121" s="411"/>
      <c r="S121" s="411"/>
      <c r="T121" s="411"/>
      <c r="U121" s="411"/>
      <c r="V121" s="411"/>
      <c r="W121" s="411"/>
      <c r="X121" s="411"/>
      <c r="Y121" s="411"/>
      <c r="Z121" s="411"/>
      <c r="AA121" s="411"/>
      <c r="AB121" s="411"/>
      <c r="AC121" s="411"/>
      <c r="AD121" s="411"/>
      <c r="AF121" s="411"/>
      <c r="AG121" s="411"/>
    </row>
    <row r="122" spans="2:33" x14ac:dyDescent="0.35">
      <c r="B122" s="151"/>
      <c r="C122" s="143"/>
      <c r="D122" s="143"/>
      <c r="E122" s="411"/>
      <c r="F122" s="411"/>
      <c r="G122" s="411"/>
      <c r="H122" s="411"/>
      <c r="I122" s="411"/>
      <c r="J122" s="411"/>
      <c r="K122" s="411"/>
      <c r="L122" s="411"/>
      <c r="M122" s="411"/>
      <c r="N122" s="411"/>
      <c r="O122" s="411"/>
      <c r="P122" s="411"/>
      <c r="Q122" s="411"/>
      <c r="R122" s="411"/>
      <c r="S122" s="411"/>
      <c r="T122" s="411"/>
      <c r="U122" s="411"/>
      <c r="V122" s="411"/>
      <c r="W122" s="411"/>
      <c r="X122" s="411"/>
      <c r="Y122" s="411"/>
      <c r="Z122" s="411"/>
      <c r="AA122" s="411"/>
      <c r="AB122" s="411"/>
      <c r="AC122" s="411"/>
      <c r="AD122" s="411"/>
      <c r="AF122" s="411"/>
      <c r="AG122" s="411"/>
    </row>
    <row r="123" spans="2:33" x14ac:dyDescent="0.35">
      <c r="B123" s="151"/>
      <c r="C123" s="143"/>
      <c r="D123" s="143"/>
      <c r="E123" s="411"/>
      <c r="F123" s="411"/>
      <c r="G123" s="411"/>
      <c r="H123" s="411"/>
      <c r="I123" s="411"/>
      <c r="J123" s="411"/>
      <c r="K123" s="411"/>
      <c r="L123" s="411"/>
      <c r="M123" s="411"/>
      <c r="N123" s="411"/>
      <c r="O123" s="411"/>
      <c r="P123" s="411"/>
      <c r="Q123" s="411"/>
      <c r="R123" s="411"/>
      <c r="S123" s="411"/>
      <c r="T123" s="411"/>
      <c r="U123" s="411"/>
      <c r="V123" s="411"/>
      <c r="W123" s="411"/>
      <c r="X123" s="411"/>
      <c r="Y123" s="411"/>
      <c r="Z123" s="411"/>
      <c r="AA123" s="411"/>
      <c r="AB123" s="411"/>
      <c r="AC123" s="411"/>
      <c r="AD123" s="411"/>
      <c r="AF123" s="411"/>
      <c r="AG123" s="411"/>
    </row>
    <row r="124" spans="2:33" x14ac:dyDescent="0.35">
      <c r="B124" s="151"/>
      <c r="C124" s="143"/>
      <c r="D124" s="143"/>
      <c r="E124" s="411"/>
      <c r="F124" s="411"/>
      <c r="G124" s="411"/>
      <c r="H124" s="411"/>
      <c r="I124" s="411"/>
      <c r="J124" s="411"/>
      <c r="K124" s="411"/>
      <c r="L124" s="411"/>
      <c r="M124" s="411"/>
      <c r="N124" s="411"/>
      <c r="O124" s="411"/>
      <c r="P124" s="411"/>
      <c r="Q124" s="411"/>
      <c r="R124" s="411"/>
      <c r="S124" s="411"/>
      <c r="T124" s="411"/>
      <c r="U124" s="411"/>
      <c r="V124" s="411"/>
      <c r="W124" s="411"/>
      <c r="X124" s="411"/>
      <c r="Y124" s="411"/>
      <c r="Z124" s="411"/>
      <c r="AA124" s="411"/>
      <c r="AB124" s="411"/>
      <c r="AC124" s="411"/>
      <c r="AD124" s="411"/>
      <c r="AF124" s="411"/>
      <c r="AG124" s="411"/>
    </row>
    <row r="125" spans="2:33" x14ac:dyDescent="0.35">
      <c r="B125" s="151"/>
      <c r="C125" s="143"/>
      <c r="D125" s="143"/>
      <c r="E125" s="411"/>
      <c r="F125" s="411"/>
      <c r="G125" s="411"/>
      <c r="H125" s="411"/>
      <c r="I125" s="411"/>
      <c r="J125" s="411"/>
      <c r="K125" s="411"/>
      <c r="L125" s="411"/>
      <c r="M125" s="411"/>
      <c r="N125" s="411"/>
      <c r="O125" s="411"/>
      <c r="P125" s="411"/>
      <c r="Q125" s="411"/>
      <c r="R125" s="411"/>
      <c r="S125" s="411"/>
      <c r="T125" s="411"/>
      <c r="U125" s="411"/>
      <c r="V125" s="411"/>
      <c r="W125" s="411"/>
      <c r="X125" s="411"/>
      <c r="Y125" s="411"/>
      <c r="Z125" s="411"/>
      <c r="AA125" s="411"/>
      <c r="AB125" s="411"/>
      <c r="AC125" s="411"/>
      <c r="AD125" s="411"/>
      <c r="AF125" s="411"/>
      <c r="AG125" s="411"/>
    </row>
    <row r="126" spans="2:33" x14ac:dyDescent="0.35">
      <c r="B126" s="151"/>
      <c r="C126" s="143"/>
      <c r="D126" s="143"/>
      <c r="E126" s="411"/>
      <c r="F126" s="411"/>
      <c r="G126" s="411"/>
      <c r="H126" s="411"/>
      <c r="I126" s="411"/>
      <c r="J126" s="411"/>
      <c r="K126" s="411"/>
      <c r="L126" s="411"/>
      <c r="M126" s="411"/>
      <c r="N126" s="411"/>
      <c r="O126" s="411"/>
      <c r="P126" s="411"/>
      <c r="Q126" s="411"/>
      <c r="R126" s="411"/>
      <c r="S126" s="411"/>
      <c r="T126" s="411"/>
      <c r="U126" s="411"/>
      <c r="V126" s="411"/>
      <c r="W126" s="411"/>
      <c r="X126" s="411"/>
      <c r="Y126" s="411"/>
      <c r="Z126" s="411"/>
      <c r="AA126" s="411"/>
      <c r="AB126" s="411"/>
      <c r="AC126" s="411"/>
      <c r="AD126" s="411"/>
      <c r="AF126" s="411"/>
      <c r="AG126" s="411"/>
    </row>
    <row r="127" spans="2:33" x14ac:dyDescent="0.35">
      <c r="B127" s="151"/>
      <c r="C127" s="143"/>
      <c r="D127" s="143"/>
      <c r="E127" s="411"/>
      <c r="F127" s="411"/>
      <c r="G127" s="411"/>
      <c r="H127" s="411"/>
      <c r="I127" s="411"/>
      <c r="J127" s="411"/>
      <c r="K127" s="411"/>
      <c r="L127" s="411"/>
      <c r="M127" s="411"/>
      <c r="N127" s="411"/>
      <c r="O127" s="411"/>
      <c r="P127" s="411"/>
      <c r="Q127" s="411"/>
      <c r="R127" s="411"/>
      <c r="S127" s="411"/>
      <c r="T127" s="411"/>
      <c r="U127" s="411"/>
      <c r="V127" s="411"/>
      <c r="W127" s="411"/>
      <c r="X127" s="411"/>
      <c r="Y127" s="411"/>
      <c r="Z127" s="411"/>
      <c r="AA127" s="411"/>
      <c r="AB127" s="411"/>
      <c r="AC127" s="411"/>
      <c r="AD127" s="411"/>
      <c r="AF127" s="411"/>
      <c r="AG127" s="411"/>
    </row>
    <row r="128" spans="2:33" x14ac:dyDescent="0.35">
      <c r="B128" s="151"/>
      <c r="C128" s="143"/>
      <c r="D128" s="143"/>
      <c r="E128" s="411"/>
      <c r="F128" s="411"/>
      <c r="G128" s="411"/>
      <c r="H128" s="411"/>
      <c r="I128" s="411"/>
      <c r="J128" s="411"/>
      <c r="K128" s="411"/>
      <c r="L128" s="411"/>
      <c r="M128" s="411"/>
      <c r="N128" s="411"/>
      <c r="O128" s="411"/>
      <c r="P128" s="411"/>
      <c r="Q128" s="411"/>
      <c r="R128" s="411"/>
      <c r="S128" s="411"/>
      <c r="T128" s="411"/>
      <c r="U128" s="411"/>
      <c r="V128" s="411"/>
      <c r="W128" s="411"/>
      <c r="X128" s="411"/>
      <c r="Y128" s="411"/>
      <c r="Z128" s="411"/>
      <c r="AA128" s="411"/>
      <c r="AB128" s="411"/>
      <c r="AC128" s="411"/>
      <c r="AD128" s="411"/>
      <c r="AF128" s="411"/>
      <c r="AG128" s="411"/>
    </row>
    <row r="129" spans="2:33" x14ac:dyDescent="0.35">
      <c r="B129" s="151"/>
      <c r="C129" s="143"/>
      <c r="D129" s="143"/>
      <c r="E129" s="411"/>
      <c r="F129" s="411"/>
      <c r="G129" s="411"/>
      <c r="H129" s="411"/>
      <c r="I129" s="411"/>
      <c r="J129" s="411"/>
      <c r="K129" s="411"/>
      <c r="L129" s="411"/>
      <c r="M129" s="411"/>
      <c r="N129" s="411"/>
      <c r="O129" s="411"/>
      <c r="P129" s="411"/>
      <c r="Q129" s="411"/>
      <c r="R129" s="411"/>
      <c r="S129" s="411"/>
      <c r="T129" s="411"/>
      <c r="U129" s="411"/>
      <c r="V129" s="411"/>
      <c r="W129" s="411"/>
      <c r="X129" s="411"/>
      <c r="Y129" s="411"/>
      <c r="Z129" s="411"/>
      <c r="AA129" s="411"/>
      <c r="AB129" s="411"/>
      <c r="AC129" s="411"/>
      <c r="AD129" s="411"/>
      <c r="AF129" s="411"/>
      <c r="AG129" s="411"/>
    </row>
    <row r="130" spans="2:33" x14ac:dyDescent="0.35">
      <c r="B130" s="151"/>
      <c r="C130" s="143"/>
      <c r="D130" s="143"/>
      <c r="E130" s="411"/>
      <c r="F130" s="411"/>
      <c r="G130" s="411"/>
      <c r="H130" s="411"/>
      <c r="I130" s="411"/>
      <c r="J130" s="411"/>
      <c r="K130" s="411"/>
      <c r="L130" s="411"/>
      <c r="M130" s="411"/>
      <c r="N130" s="411"/>
      <c r="O130" s="411"/>
      <c r="P130" s="411"/>
      <c r="Q130" s="411"/>
      <c r="R130" s="411"/>
      <c r="S130" s="411"/>
      <c r="T130" s="411"/>
      <c r="U130" s="411"/>
      <c r="V130" s="411"/>
      <c r="W130" s="411"/>
      <c r="X130" s="411"/>
      <c r="Y130" s="411"/>
      <c r="Z130" s="411"/>
      <c r="AA130" s="411"/>
      <c r="AB130" s="411"/>
      <c r="AC130" s="411"/>
      <c r="AD130" s="411"/>
      <c r="AF130" s="411"/>
      <c r="AG130" s="411"/>
    </row>
    <row r="131" spans="2:33" x14ac:dyDescent="0.35">
      <c r="B131" s="151"/>
      <c r="C131" s="143"/>
      <c r="D131" s="143"/>
      <c r="E131" s="411"/>
      <c r="F131" s="411"/>
      <c r="G131" s="411"/>
      <c r="H131" s="411"/>
      <c r="I131" s="411"/>
      <c r="J131" s="411"/>
      <c r="K131" s="411"/>
      <c r="L131" s="411"/>
      <c r="M131" s="411"/>
      <c r="N131" s="411"/>
      <c r="O131" s="411"/>
      <c r="P131" s="411"/>
      <c r="Q131" s="411"/>
      <c r="R131" s="411"/>
      <c r="S131" s="411"/>
      <c r="T131" s="411"/>
      <c r="U131" s="411"/>
      <c r="V131" s="411"/>
      <c r="W131" s="411"/>
      <c r="X131" s="411"/>
      <c r="Y131" s="411"/>
      <c r="Z131" s="411"/>
      <c r="AA131" s="411"/>
      <c r="AB131" s="411"/>
      <c r="AC131" s="411"/>
      <c r="AD131" s="411"/>
      <c r="AF131" s="411"/>
      <c r="AG131" s="411"/>
    </row>
    <row r="132" spans="2:33" x14ac:dyDescent="0.35">
      <c r="B132" s="151"/>
      <c r="C132" s="143"/>
      <c r="D132" s="143"/>
      <c r="E132" s="411"/>
      <c r="F132" s="411"/>
      <c r="G132" s="411"/>
      <c r="H132" s="411"/>
      <c r="I132" s="411"/>
      <c r="J132" s="411"/>
      <c r="K132" s="411"/>
      <c r="L132" s="411"/>
      <c r="M132" s="411"/>
      <c r="N132" s="411"/>
      <c r="O132" s="411"/>
      <c r="P132" s="411"/>
      <c r="Q132" s="411"/>
      <c r="R132" s="411"/>
      <c r="S132" s="411"/>
      <c r="T132" s="411"/>
      <c r="U132" s="411"/>
      <c r="V132" s="411"/>
      <c r="W132" s="411"/>
      <c r="X132" s="411"/>
      <c r="Y132" s="411"/>
      <c r="Z132" s="411"/>
      <c r="AA132" s="411"/>
      <c r="AB132" s="411"/>
      <c r="AC132" s="411"/>
      <c r="AD132" s="411"/>
      <c r="AF132" s="411"/>
      <c r="AG132" s="411"/>
    </row>
    <row r="133" spans="2:33" x14ac:dyDescent="0.35">
      <c r="B133" s="151"/>
      <c r="C133" s="143"/>
      <c r="D133" s="143"/>
      <c r="E133" s="411"/>
      <c r="F133" s="411"/>
      <c r="G133" s="411"/>
      <c r="H133" s="411"/>
      <c r="I133" s="411"/>
      <c r="J133" s="411"/>
      <c r="K133" s="411"/>
      <c r="L133" s="411"/>
      <c r="M133" s="411"/>
      <c r="N133" s="411"/>
      <c r="O133" s="411"/>
      <c r="P133" s="411"/>
      <c r="Q133" s="411"/>
      <c r="R133" s="411"/>
      <c r="S133" s="411"/>
      <c r="T133" s="411"/>
      <c r="U133" s="411"/>
      <c r="V133" s="411"/>
      <c r="W133" s="411"/>
      <c r="X133" s="411"/>
      <c r="Y133" s="411"/>
      <c r="Z133" s="411"/>
      <c r="AA133" s="411"/>
      <c r="AB133" s="411"/>
      <c r="AC133" s="411"/>
      <c r="AD133" s="411"/>
      <c r="AF133" s="411"/>
      <c r="AG133" s="411"/>
    </row>
    <row r="134" spans="2:33" x14ac:dyDescent="0.35">
      <c r="B134" s="151"/>
      <c r="C134" s="143"/>
      <c r="D134" s="143"/>
      <c r="E134" s="411"/>
      <c r="F134" s="411"/>
      <c r="G134" s="411"/>
      <c r="H134" s="411"/>
      <c r="I134" s="411"/>
      <c r="J134" s="411"/>
      <c r="K134" s="411"/>
      <c r="L134" s="411"/>
      <c r="M134" s="411"/>
      <c r="N134" s="411"/>
      <c r="O134" s="411"/>
      <c r="P134" s="411"/>
      <c r="Q134" s="411"/>
      <c r="R134" s="411"/>
      <c r="S134" s="411"/>
      <c r="T134" s="411"/>
      <c r="U134" s="411"/>
      <c r="V134" s="411"/>
      <c r="W134" s="411"/>
      <c r="X134" s="411"/>
      <c r="Y134" s="411"/>
      <c r="Z134" s="411"/>
      <c r="AA134" s="411"/>
      <c r="AB134" s="411"/>
      <c r="AC134" s="411"/>
      <c r="AD134" s="411"/>
      <c r="AF134" s="411"/>
      <c r="AG134" s="411"/>
    </row>
    <row r="135" spans="2:33" x14ac:dyDescent="0.35">
      <c r="B135" s="151"/>
      <c r="C135" s="143"/>
      <c r="D135" s="143"/>
      <c r="E135" s="411"/>
      <c r="F135" s="411"/>
      <c r="G135" s="411"/>
      <c r="H135" s="411"/>
      <c r="I135" s="411"/>
      <c r="J135" s="411"/>
      <c r="K135" s="411"/>
      <c r="L135" s="411"/>
      <c r="M135" s="411"/>
      <c r="N135" s="411"/>
      <c r="O135" s="411"/>
      <c r="P135" s="411"/>
      <c r="Q135" s="411"/>
      <c r="R135" s="411"/>
      <c r="S135" s="411"/>
      <c r="T135" s="411"/>
      <c r="U135" s="411"/>
      <c r="V135" s="411"/>
      <c r="W135" s="411"/>
      <c r="X135" s="411"/>
      <c r="Y135" s="411"/>
      <c r="Z135" s="411"/>
      <c r="AA135" s="411"/>
      <c r="AB135" s="411"/>
      <c r="AC135" s="411"/>
      <c r="AD135" s="411"/>
      <c r="AF135" s="411"/>
      <c r="AG135" s="411"/>
    </row>
    <row r="136" spans="2:33" x14ac:dyDescent="0.35">
      <c r="B136" s="151"/>
      <c r="C136" s="143"/>
      <c r="D136" s="143"/>
      <c r="E136" s="411"/>
      <c r="F136" s="411"/>
      <c r="G136" s="411"/>
      <c r="H136" s="411"/>
      <c r="I136" s="411"/>
      <c r="J136" s="411"/>
      <c r="K136" s="411"/>
      <c r="L136" s="411"/>
      <c r="M136" s="411"/>
      <c r="N136" s="411"/>
      <c r="O136" s="411"/>
      <c r="P136" s="411"/>
      <c r="Q136" s="411"/>
      <c r="R136" s="411"/>
      <c r="S136" s="411"/>
      <c r="T136" s="411"/>
      <c r="U136" s="411"/>
      <c r="V136" s="411"/>
      <c r="W136" s="411"/>
      <c r="X136" s="411"/>
      <c r="Y136" s="411"/>
      <c r="Z136" s="411"/>
      <c r="AA136" s="411"/>
      <c r="AB136" s="411"/>
      <c r="AC136" s="411"/>
      <c r="AD136" s="411"/>
      <c r="AF136" s="411"/>
      <c r="AG136" s="411"/>
    </row>
    <row r="137" spans="2:33" x14ac:dyDescent="0.35">
      <c r="B137" s="151"/>
      <c r="C137" s="143"/>
      <c r="D137" s="143"/>
      <c r="E137" s="411"/>
      <c r="F137" s="411"/>
      <c r="G137" s="411"/>
      <c r="H137" s="411"/>
      <c r="I137" s="411"/>
      <c r="J137" s="411"/>
      <c r="K137" s="411"/>
      <c r="L137" s="411"/>
      <c r="M137" s="411"/>
      <c r="N137" s="411"/>
      <c r="O137" s="411"/>
      <c r="P137" s="411"/>
      <c r="Q137" s="411"/>
      <c r="R137" s="411"/>
      <c r="S137" s="411"/>
      <c r="T137" s="411"/>
      <c r="U137" s="411"/>
      <c r="V137" s="411"/>
      <c r="W137" s="411"/>
      <c r="X137" s="411"/>
      <c r="Y137" s="411"/>
      <c r="Z137" s="411"/>
      <c r="AA137" s="411"/>
      <c r="AB137" s="411"/>
      <c r="AC137" s="411"/>
      <c r="AD137" s="411"/>
      <c r="AF137" s="411"/>
      <c r="AG137" s="411"/>
    </row>
    <row r="138" spans="2:33" x14ac:dyDescent="0.35">
      <c r="B138" s="151"/>
      <c r="C138" s="143"/>
      <c r="D138" s="143"/>
      <c r="E138" s="411"/>
      <c r="F138" s="411"/>
      <c r="G138" s="411"/>
      <c r="H138" s="411"/>
      <c r="I138" s="411"/>
      <c r="J138" s="411"/>
      <c r="K138" s="411"/>
      <c r="L138" s="411"/>
      <c r="M138" s="411"/>
      <c r="N138" s="411"/>
      <c r="O138" s="411"/>
      <c r="P138" s="411"/>
      <c r="Q138" s="411"/>
      <c r="R138" s="411"/>
      <c r="S138" s="411"/>
      <c r="T138" s="411"/>
      <c r="U138" s="411"/>
      <c r="V138" s="411"/>
      <c r="W138" s="411"/>
      <c r="X138" s="411"/>
      <c r="Y138" s="411"/>
      <c r="Z138" s="411"/>
      <c r="AA138" s="411"/>
      <c r="AB138" s="411"/>
      <c r="AC138" s="411"/>
      <c r="AD138" s="411"/>
      <c r="AF138" s="411"/>
      <c r="AG138" s="411"/>
    </row>
    <row r="139" spans="2:33" x14ac:dyDescent="0.35">
      <c r="B139" s="151"/>
      <c r="C139" s="143"/>
      <c r="D139" s="143"/>
      <c r="E139" s="411"/>
      <c r="F139" s="411"/>
      <c r="G139" s="411"/>
      <c r="H139" s="411"/>
      <c r="I139" s="411"/>
      <c r="J139" s="411"/>
      <c r="K139" s="411"/>
      <c r="L139" s="411"/>
      <c r="M139" s="411"/>
      <c r="N139" s="411"/>
      <c r="O139" s="411"/>
      <c r="P139" s="411"/>
      <c r="Q139" s="411"/>
      <c r="R139" s="411"/>
      <c r="S139" s="411"/>
      <c r="T139" s="411"/>
      <c r="U139" s="411"/>
      <c r="V139" s="411"/>
      <c r="W139" s="411"/>
      <c r="X139" s="411"/>
      <c r="Y139" s="411"/>
      <c r="Z139" s="411"/>
      <c r="AA139" s="411"/>
      <c r="AB139" s="411"/>
      <c r="AC139" s="411"/>
      <c r="AD139" s="411"/>
      <c r="AF139" s="411"/>
      <c r="AG139" s="411"/>
    </row>
    <row r="140" spans="2:33" x14ac:dyDescent="0.35">
      <c r="B140" s="151"/>
      <c r="C140" s="143"/>
      <c r="D140" s="143"/>
      <c r="E140" s="411"/>
      <c r="F140" s="411"/>
      <c r="G140" s="411"/>
      <c r="H140" s="411"/>
      <c r="I140" s="411"/>
      <c r="J140" s="411"/>
      <c r="K140" s="411"/>
      <c r="L140" s="411"/>
      <c r="M140" s="411"/>
      <c r="N140" s="411"/>
      <c r="O140" s="411"/>
      <c r="P140" s="411"/>
      <c r="Q140" s="411"/>
      <c r="R140" s="411"/>
      <c r="S140" s="411"/>
      <c r="T140" s="411"/>
      <c r="U140" s="411"/>
      <c r="V140" s="411"/>
      <c r="W140" s="411"/>
      <c r="X140" s="411"/>
      <c r="Y140" s="411"/>
      <c r="Z140" s="411"/>
      <c r="AA140" s="411"/>
      <c r="AB140" s="411"/>
      <c r="AC140" s="411"/>
      <c r="AD140" s="411"/>
      <c r="AF140" s="411"/>
      <c r="AG140" s="411"/>
    </row>
    <row r="141" spans="2:33" x14ac:dyDescent="0.35">
      <c r="B141" s="151"/>
      <c r="C141" s="143"/>
      <c r="D141" s="143"/>
      <c r="E141" s="411"/>
      <c r="F141" s="411"/>
      <c r="G141" s="411"/>
      <c r="H141" s="411"/>
      <c r="I141" s="411"/>
      <c r="J141" s="411"/>
      <c r="K141" s="411"/>
      <c r="L141" s="411"/>
      <c r="M141" s="411"/>
      <c r="N141" s="411"/>
      <c r="O141" s="411"/>
      <c r="P141" s="411"/>
      <c r="Q141" s="411"/>
      <c r="R141" s="411"/>
      <c r="S141" s="411"/>
      <c r="T141" s="411"/>
      <c r="U141" s="411"/>
      <c r="V141" s="411"/>
      <c r="W141" s="411"/>
      <c r="X141" s="411"/>
      <c r="Y141" s="411"/>
      <c r="Z141" s="411"/>
      <c r="AA141" s="411"/>
      <c r="AB141" s="411"/>
      <c r="AC141" s="411"/>
      <c r="AD141" s="411"/>
      <c r="AF141" s="411"/>
      <c r="AG141" s="411"/>
    </row>
    <row r="142" spans="2:33" x14ac:dyDescent="0.35">
      <c r="B142" s="151"/>
      <c r="C142" s="143"/>
      <c r="D142" s="143"/>
      <c r="E142" s="411"/>
      <c r="F142" s="411"/>
      <c r="G142" s="411"/>
      <c r="H142" s="411"/>
      <c r="I142" s="411"/>
      <c r="J142" s="411"/>
      <c r="K142" s="411"/>
      <c r="L142" s="411"/>
      <c r="M142" s="411"/>
      <c r="N142" s="411"/>
      <c r="O142" s="411"/>
      <c r="P142" s="411"/>
      <c r="Q142" s="411"/>
      <c r="R142" s="411"/>
      <c r="S142" s="411"/>
      <c r="T142" s="411"/>
      <c r="U142" s="411"/>
      <c r="V142" s="411"/>
      <c r="W142" s="411"/>
      <c r="X142" s="411"/>
      <c r="Y142" s="411"/>
      <c r="Z142" s="411"/>
      <c r="AA142" s="411"/>
      <c r="AB142" s="411"/>
      <c r="AC142" s="411"/>
      <c r="AD142" s="411"/>
      <c r="AF142" s="411"/>
      <c r="AG142" s="411"/>
    </row>
    <row r="143" spans="2:33" x14ac:dyDescent="0.35">
      <c r="B143" s="151"/>
      <c r="C143" s="143"/>
      <c r="D143" s="143"/>
      <c r="E143" s="411"/>
      <c r="F143" s="411"/>
      <c r="G143" s="411"/>
      <c r="H143" s="411"/>
      <c r="I143" s="411"/>
      <c r="J143" s="411"/>
      <c r="K143" s="411"/>
      <c r="L143" s="411"/>
      <c r="M143" s="411"/>
      <c r="N143" s="411"/>
      <c r="O143" s="411"/>
      <c r="P143" s="411"/>
      <c r="Q143" s="411"/>
      <c r="R143" s="411"/>
      <c r="S143" s="411"/>
      <c r="T143" s="411"/>
      <c r="U143" s="411"/>
      <c r="V143" s="411"/>
      <c r="W143" s="411"/>
      <c r="X143" s="411"/>
      <c r="Y143" s="411"/>
      <c r="Z143" s="411"/>
      <c r="AA143" s="411"/>
      <c r="AB143" s="411"/>
      <c r="AC143" s="411"/>
      <c r="AD143" s="411"/>
      <c r="AF143" s="411"/>
      <c r="AG143" s="411"/>
    </row>
    <row r="144" spans="2:33" x14ac:dyDescent="0.35">
      <c r="B144" s="151"/>
      <c r="C144" s="143"/>
      <c r="D144" s="143"/>
      <c r="E144" s="411"/>
      <c r="F144" s="411"/>
      <c r="G144" s="411"/>
      <c r="H144" s="411"/>
      <c r="I144" s="411"/>
      <c r="J144" s="411"/>
      <c r="K144" s="411"/>
      <c r="L144" s="411"/>
      <c r="M144" s="411"/>
      <c r="N144" s="411"/>
      <c r="O144" s="411"/>
      <c r="P144" s="411"/>
      <c r="Q144" s="411"/>
      <c r="R144" s="411"/>
      <c r="S144" s="411"/>
      <c r="T144" s="411"/>
      <c r="U144" s="411"/>
      <c r="V144" s="411"/>
      <c r="W144" s="411"/>
      <c r="X144" s="411"/>
      <c r="Y144" s="411"/>
      <c r="Z144" s="411"/>
      <c r="AA144" s="411"/>
      <c r="AB144" s="411"/>
      <c r="AC144" s="411"/>
      <c r="AD144" s="411"/>
      <c r="AF144" s="411"/>
      <c r="AG144" s="411"/>
    </row>
    <row r="145" spans="2:33" x14ac:dyDescent="0.35">
      <c r="B145" s="151"/>
      <c r="C145" s="143"/>
      <c r="D145" s="143"/>
      <c r="E145" s="411"/>
      <c r="F145" s="411"/>
      <c r="G145" s="411"/>
      <c r="H145" s="411"/>
      <c r="I145" s="411"/>
      <c r="J145" s="411"/>
      <c r="K145" s="411"/>
      <c r="L145" s="411"/>
      <c r="M145" s="411"/>
      <c r="N145" s="411"/>
      <c r="O145" s="411"/>
      <c r="P145" s="411"/>
      <c r="Q145" s="411"/>
      <c r="R145" s="411"/>
      <c r="S145" s="411"/>
      <c r="T145" s="411"/>
      <c r="U145" s="411"/>
      <c r="V145" s="411"/>
      <c r="W145" s="411"/>
      <c r="X145" s="411"/>
      <c r="Y145" s="411"/>
      <c r="Z145" s="411"/>
      <c r="AA145" s="411"/>
      <c r="AB145" s="411"/>
      <c r="AC145" s="411"/>
      <c r="AD145" s="411"/>
      <c r="AF145" s="411"/>
      <c r="AG145" s="411"/>
    </row>
    <row r="146" spans="2:33" x14ac:dyDescent="0.35">
      <c r="B146" s="151"/>
      <c r="C146" s="143"/>
      <c r="D146" s="143"/>
      <c r="E146" s="411"/>
      <c r="F146" s="411"/>
      <c r="G146" s="411"/>
      <c r="H146" s="411"/>
      <c r="I146" s="411"/>
      <c r="J146" s="411"/>
      <c r="K146" s="411"/>
      <c r="L146" s="411"/>
      <c r="M146" s="411"/>
      <c r="N146" s="411"/>
      <c r="O146" s="411"/>
      <c r="P146" s="411"/>
      <c r="Q146" s="411"/>
      <c r="R146" s="411"/>
      <c r="S146" s="411"/>
      <c r="T146" s="411"/>
      <c r="U146" s="411"/>
      <c r="V146" s="411"/>
      <c r="W146" s="411"/>
      <c r="X146" s="411"/>
      <c r="Y146" s="411"/>
      <c r="Z146" s="411"/>
      <c r="AA146" s="411"/>
      <c r="AB146" s="411"/>
      <c r="AC146" s="411"/>
      <c r="AD146" s="411"/>
      <c r="AF146" s="411"/>
      <c r="AG146" s="411"/>
    </row>
    <row r="147" spans="2:33" x14ac:dyDescent="0.35">
      <c r="B147" s="151"/>
      <c r="C147" s="143"/>
      <c r="D147" s="143"/>
      <c r="E147" s="411"/>
      <c r="F147" s="411"/>
      <c r="G147" s="411"/>
      <c r="H147" s="411"/>
      <c r="I147" s="411"/>
      <c r="J147" s="411"/>
      <c r="K147" s="411"/>
      <c r="L147" s="411"/>
      <c r="M147" s="411"/>
      <c r="N147" s="411"/>
      <c r="O147" s="411"/>
      <c r="P147" s="411"/>
      <c r="Q147" s="411"/>
      <c r="R147" s="411"/>
      <c r="S147" s="411"/>
      <c r="T147" s="411"/>
      <c r="U147" s="411"/>
      <c r="V147" s="411"/>
      <c r="W147" s="411"/>
      <c r="X147" s="411"/>
      <c r="Y147" s="411"/>
      <c r="Z147" s="411"/>
      <c r="AA147" s="411"/>
      <c r="AB147" s="411"/>
      <c r="AC147" s="411"/>
      <c r="AD147" s="411"/>
      <c r="AF147" s="411"/>
      <c r="AG147" s="411"/>
    </row>
    <row r="148" spans="2:33" x14ac:dyDescent="0.35">
      <c r="B148" s="151"/>
      <c r="C148" s="143"/>
      <c r="D148" s="143"/>
      <c r="E148" s="411"/>
      <c r="F148" s="411"/>
      <c r="G148" s="411"/>
      <c r="H148" s="411"/>
      <c r="I148" s="411"/>
      <c r="J148" s="411"/>
      <c r="K148" s="411"/>
      <c r="L148" s="411"/>
      <c r="M148" s="411"/>
      <c r="N148" s="411"/>
      <c r="O148" s="411"/>
      <c r="P148" s="411"/>
      <c r="Q148" s="411"/>
      <c r="R148" s="411"/>
      <c r="S148" s="411"/>
      <c r="T148" s="411"/>
      <c r="U148" s="411"/>
      <c r="V148" s="411"/>
      <c r="W148" s="411"/>
      <c r="X148" s="411"/>
      <c r="Y148" s="411"/>
      <c r="Z148" s="411"/>
      <c r="AA148" s="411"/>
      <c r="AB148" s="411"/>
      <c r="AC148" s="411"/>
      <c r="AD148" s="411"/>
      <c r="AF148" s="411"/>
      <c r="AG148" s="411"/>
    </row>
    <row r="149" spans="2:33" x14ac:dyDescent="0.35">
      <c r="B149" s="151"/>
      <c r="C149" s="143"/>
      <c r="D149" s="143"/>
      <c r="E149" s="411"/>
      <c r="F149" s="411"/>
      <c r="G149" s="411"/>
      <c r="H149" s="411"/>
      <c r="I149" s="411"/>
      <c r="J149" s="411"/>
      <c r="K149" s="411"/>
      <c r="L149" s="411"/>
      <c r="M149" s="411"/>
      <c r="N149" s="411"/>
      <c r="O149" s="411"/>
      <c r="P149" s="411"/>
      <c r="Q149" s="411"/>
      <c r="R149" s="411"/>
      <c r="S149" s="411"/>
      <c r="T149" s="411"/>
      <c r="U149" s="411"/>
      <c r="V149" s="411"/>
      <c r="W149" s="411"/>
      <c r="X149" s="411"/>
      <c r="Y149" s="411"/>
      <c r="Z149" s="411"/>
      <c r="AA149" s="411"/>
      <c r="AB149" s="411"/>
      <c r="AC149" s="411"/>
      <c r="AD149" s="411"/>
      <c r="AF149" s="411"/>
      <c r="AG149" s="411"/>
    </row>
    <row r="150" spans="2:33" x14ac:dyDescent="0.35">
      <c r="B150" s="151"/>
      <c r="C150" s="143"/>
      <c r="D150" s="143"/>
      <c r="E150" s="411"/>
      <c r="F150" s="411"/>
      <c r="G150" s="411"/>
      <c r="H150" s="411"/>
      <c r="I150" s="411"/>
      <c r="J150" s="411"/>
      <c r="K150" s="411"/>
      <c r="L150" s="411"/>
      <c r="M150" s="411"/>
      <c r="N150" s="411"/>
      <c r="O150" s="411"/>
      <c r="P150" s="411"/>
      <c r="Q150" s="411"/>
      <c r="R150" s="411"/>
      <c r="S150" s="411"/>
      <c r="T150" s="411"/>
      <c r="U150" s="411"/>
      <c r="V150" s="411"/>
      <c r="W150" s="411"/>
      <c r="X150" s="411"/>
      <c r="Y150" s="411"/>
      <c r="Z150" s="411"/>
      <c r="AA150" s="411"/>
      <c r="AB150" s="411"/>
      <c r="AC150" s="411"/>
      <c r="AD150" s="411"/>
      <c r="AF150" s="411"/>
      <c r="AG150" s="411"/>
    </row>
    <row r="151" spans="2:33" x14ac:dyDescent="0.35">
      <c r="B151" s="151"/>
      <c r="C151" s="143"/>
      <c r="D151" s="143"/>
      <c r="E151" s="411"/>
      <c r="F151" s="411"/>
      <c r="G151" s="411"/>
      <c r="H151" s="411"/>
      <c r="I151" s="411"/>
      <c r="J151" s="411"/>
      <c r="K151" s="411"/>
      <c r="L151" s="411"/>
      <c r="M151" s="411"/>
      <c r="N151" s="411"/>
      <c r="O151" s="411"/>
      <c r="P151" s="411"/>
      <c r="Q151" s="411"/>
      <c r="R151" s="411"/>
      <c r="S151" s="411"/>
      <c r="T151" s="411"/>
      <c r="U151" s="411"/>
      <c r="V151" s="411"/>
      <c r="W151" s="411"/>
      <c r="X151" s="411"/>
      <c r="Y151" s="411"/>
      <c r="Z151" s="411"/>
      <c r="AA151" s="411"/>
      <c r="AB151" s="411"/>
      <c r="AC151" s="411"/>
      <c r="AD151" s="411"/>
      <c r="AF151" s="411"/>
      <c r="AG151" s="411"/>
    </row>
    <row r="152" spans="2:33" x14ac:dyDescent="0.35">
      <c r="B152" s="151"/>
      <c r="C152" s="143"/>
      <c r="D152" s="143"/>
      <c r="E152" s="411"/>
      <c r="F152" s="411"/>
      <c r="G152" s="411"/>
      <c r="H152" s="411"/>
      <c r="I152" s="411"/>
      <c r="J152" s="411"/>
      <c r="K152" s="411"/>
      <c r="L152" s="411"/>
      <c r="M152" s="411"/>
      <c r="N152" s="411"/>
      <c r="O152" s="411"/>
      <c r="P152" s="411"/>
      <c r="Q152" s="411"/>
      <c r="R152" s="411"/>
      <c r="S152" s="411"/>
      <c r="T152" s="411"/>
      <c r="U152" s="411"/>
      <c r="V152" s="411"/>
      <c r="W152" s="411"/>
      <c r="X152" s="411"/>
      <c r="Y152" s="411"/>
      <c r="Z152" s="411"/>
      <c r="AA152" s="411"/>
      <c r="AB152" s="411"/>
      <c r="AC152" s="411"/>
      <c r="AD152" s="411"/>
      <c r="AF152" s="411"/>
      <c r="AG152" s="411"/>
    </row>
    <row r="153" spans="2:33" x14ac:dyDescent="0.35">
      <c r="B153" s="151"/>
      <c r="C153" s="143"/>
      <c r="D153" s="143"/>
      <c r="E153" s="411"/>
      <c r="F153" s="411"/>
      <c r="G153" s="411"/>
      <c r="H153" s="411"/>
      <c r="I153" s="411"/>
      <c r="J153" s="411"/>
      <c r="K153" s="411"/>
      <c r="L153" s="411"/>
      <c r="M153" s="411"/>
      <c r="N153" s="411"/>
      <c r="O153" s="411"/>
      <c r="P153" s="411"/>
      <c r="Q153" s="411"/>
      <c r="R153" s="411"/>
      <c r="S153" s="411"/>
      <c r="T153" s="411"/>
      <c r="U153" s="411"/>
      <c r="V153" s="411"/>
      <c r="W153" s="411"/>
      <c r="X153" s="411"/>
      <c r="Y153" s="411"/>
      <c r="Z153" s="411"/>
      <c r="AA153" s="411"/>
      <c r="AB153" s="411"/>
      <c r="AC153" s="411"/>
      <c r="AD153" s="411"/>
      <c r="AF153" s="411"/>
      <c r="AG153" s="411"/>
    </row>
    <row r="154" spans="2:33" x14ac:dyDescent="0.35">
      <c r="B154" s="151"/>
      <c r="C154" s="143"/>
      <c r="D154" s="143"/>
      <c r="E154" s="411"/>
      <c r="F154" s="411"/>
      <c r="G154" s="411"/>
      <c r="H154" s="411"/>
      <c r="I154" s="411"/>
      <c r="J154" s="411"/>
      <c r="K154" s="411"/>
      <c r="L154" s="411"/>
      <c r="M154" s="411"/>
      <c r="N154" s="411"/>
      <c r="O154" s="411"/>
      <c r="P154" s="411"/>
      <c r="Q154" s="411"/>
      <c r="R154" s="411"/>
      <c r="S154" s="411"/>
      <c r="T154" s="411"/>
      <c r="U154" s="411"/>
      <c r="V154" s="411"/>
      <c r="W154" s="411"/>
      <c r="X154" s="411"/>
      <c r="Y154" s="411"/>
      <c r="Z154" s="411"/>
      <c r="AA154" s="411"/>
      <c r="AB154" s="411"/>
      <c r="AC154" s="411"/>
      <c r="AD154" s="411"/>
      <c r="AF154" s="411"/>
      <c r="AG154" s="411"/>
    </row>
    <row r="155" spans="2:33" x14ac:dyDescent="0.35">
      <c r="B155" s="151"/>
      <c r="C155" s="143"/>
      <c r="D155" s="143"/>
      <c r="E155" s="411"/>
      <c r="F155" s="411"/>
      <c r="G155" s="411"/>
      <c r="H155" s="411"/>
      <c r="I155" s="411"/>
      <c r="J155" s="411"/>
      <c r="K155" s="411"/>
      <c r="L155" s="411"/>
      <c r="M155" s="411"/>
      <c r="N155" s="411"/>
      <c r="O155" s="411"/>
      <c r="P155" s="411"/>
      <c r="Q155" s="411"/>
      <c r="R155" s="411"/>
      <c r="S155" s="411"/>
      <c r="T155" s="411"/>
      <c r="U155" s="411"/>
      <c r="V155" s="411"/>
      <c r="W155" s="411"/>
      <c r="X155" s="411"/>
      <c r="Y155" s="411"/>
      <c r="Z155" s="411"/>
      <c r="AA155" s="411"/>
      <c r="AB155" s="411"/>
      <c r="AC155" s="411"/>
      <c r="AD155" s="411"/>
      <c r="AF155" s="411"/>
      <c r="AG155" s="411"/>
    </row>
    <row r="156" spans="2:33" x14ac:dyDescent="0.35">
      <c r="B156" s="151"/>
      <c r="C156" s="143"/>
      <c r="D156" s="143"/>
      <c r="E156" s="411"/>
      <c r="F156" s="411"/>
      <c r="G156" s="411"/>
      <c r="H156" s="411"/>
      <c r="I156" s="411"/>
      <c r="J156" s="411"/>
      <c r="K156" s="411"/>
      <c r="L156" s="411"/>
      <c r="M156" s="411"/>
      <c r="N156" s="411"/>
      <c r="O156" s="411"/>
      <c r="P156" s="411"/>
      <c r="Q156" s="411"/>
      <c r="R156" s="411"/>
      <c r="S156" s="411"/>
      <c r="T156" s="411"/>
      <c r="U156" s="411"/>
      <c r="V156" s="411"/>
      <c r="W156" s="411"/>
      <c r="X156" s="411"/>
      <c r="Y156" s="411"/>
      <c r="Z156" s="411"/>
      <c r="AA156" s="411"/>
      <c r="AB156" s="411"/>
      <c r="AC156" s="411"/>
      <c r="AD156" s="411"/>
      <c r="AF156" s="411"/>
      <c r="AG156" s="411"/>
    </row>
    <row r="157" spans="2:33" x14ac:dyDescent="0.35">
      <c r="B157" s="151"/>
      <c r="C157" s="143"/>
      <c r="D157" s="143"/>
      <c r="E157" s="411"/>
      <c r="F157" s="411"/>
      <c r="G157" s="411"/>
      <c r="H157" s="411"/>
      <c r="I157" s="411"/>
      <c r="J157" s="411"/>
      <c r="K157" s="411"/>
      <c r="L157" s="411"/>
      <c r="M157" s="411"/>
      <c r="N157" s="411"/>
      <c r="O157" s="411"/>
      <c r="P157" s="411"/>
      <c r="Q157" s="411"/>
      <c r="R157" s="411"/>
      <c r="S157" s="411"/>
      <c r="T157" s="411"/>
      <c r="U157" s="411"/>
      <c r="V157" s="411"/>
      <c r="W157" s="411"/>
      <c r="X157" s="411"/>
      <c r="Y157" s="411"/>
      <c r="Z157" s="411"/>
      <c r="AA157" s="411"/>
      <c r="AB157" s="411"/>
      <c r="AC157" s="411"/>
      <c r="AD157" s="411"/>
      <c r="AF157" s="411"/>
      <c r="AG157" s="411"/>
    </row>
    <row r="158" spans="2:33" x14ac:dyDescent="0.35">
      <c r="B158" s="151"/>
      <c r="C158" s="143"/>
      <c r="D158" s="143"/>
      <c r="E158" s="411"/>
      <c r="F158" s="411"/>
      <c r="G158" s="411"/>
      <c r="H158" s="411"/>
      <c r="I158" s="411"/>
      <c r="J158" s="411"/>
      <c r="K158" s="411"/>
      <c r="L158" s="411"/>
      <c r="M158" s="411"/>
      <c r="N158" s="411"/>
      <c r="O158" s="411"/>
      <c r="P158" s="411"/>
      <c r="Q158" s="411"/>
      <c r="R158" s="411"/>
      <c r="S158" s="411"/>
      <c r="T158" s="411"/>
      <c r="U158" s="411"/>
      <c r="V158" s="411"/>
      <c r="W158" s="411"/>
      <c r="X158" s="411"/>
      <c r="Y158" s="411"/>
      <c r="Z158" s="411"/>
      <c r="AA158" s="411"/>
      <c r="AB158" s="411"/>
      <c r="AC158" s="411"/>
      <c r="AD158" s="411"/>
      <c r="AF158" s="411"/>
      <c r="AG158" s="411"/>
    </row>
    <row r="159" spans="2:33" x14ac:dyDescent="0.35">
      <c r="B159" s="151"/>
      <c r="C159" s="143"/>
      <c r="D159" s="143"/>
      <c r="E159" s="411"/>
      <c r="F159" s="411"/>
      <c r="G159" s="411"/>
      <c r="H159" s="411"/>
      <c r="I159" s="411"/>
      <c r="J159" s="411"/>
      <c r="K159" s="411"/>
      <c r="L159" s="411"/>
      <c r="M159" s="411"/>
      <c r="N159" s="411"/>
      <c r="O159" s="411"/>
      <c r="P159" s="411"/>
      <c r="Q159" s="411"/>
      <c r="R159" s="411"/>
      <c r="S159" s="411"/>
      <c r="T159" s="411"/>
      <c r="U159" s="411"/>
      <c r="V159" s="411"/>
      <c r="W159" s="411"/>
      <c r="X159" s="411"/>
      <c r="Y159" s="411"/>
      <c r="Z159" s="411"/>
      <c r="AA159" s="411"/>
      <c r="AB159" s="411"/>
      <c r="AC159" s="411"/>
      <c r="AD159" s="411"/>
      <c r="AF159" s="411"/>
      <c r="AG159" s="411"/>
    </row>
    <row r="160" spans="2:33" x14ac:dyDescent="0.35">
      <c r="B160" s="151"/>
      <c r="C160" s="143"/>
      <c r="D160" s="143"/>
      <c r="E160" s="411"/>
      <c r="F160" s="411"/>
      <c r="G160" s="411"/>
      <c r="H160" s="411"/>
      <c r="I160" s="411"/>
      <c r="J160" s="411"/>
      <c r="K160" s="411"/>
      <c r="L160" s="411"/>
      <c r="M160" s="411"/>
      <c r="N160" s="411"/>
      <c r="O160" s="411"/>
      <c r="P160" s="411"/>
      <c r="Q160" s="411"/>
      <c r="R160" s="411"/>
      <c r="S160" s="411"/>
      <c r="T160" s="411"/>
      <c r="U160" s="411"/>
      <c r="V160" s="411"/>
      <c r="W160" s="411"/>
      <c r="X160" s="411"/>
      <c r="Y160" s="411"/>
      <c r="Z160" s="411"/>
      <c r="AA160" s="411"/>
      <c r="AB160" s="411"/>
      <c r="AC160" s="411"/>
      <c r="AD160" s="411"/>
      <c r="AF160" s="411"/>
      <c r="AG160" s="411"/>
    </row>
    <row r="161" spans="2:33" x14ac:dyDescent="0.35">
      <c r="B161" s="151"/>
      <c r="C161" s="143"/>
      <c r="D161" s="143"/>
      <c r="E161" s="411"/>
      <c r="F161" s="411"/>
      <c r="G161" s="411"/>
      <c r="H161" s="411"/>
      <c r="I161" s="411"/>
      <c r="J161" s="411"/>
      <c r="K161" s="411"/>
      <c r="L161" s="411"/>
      <c r="M161" s="411"/>
      <c r="N161" s="411"/>
      <c r="O161" s="411"/>
      <c r="P161" s="411"/>
      <c r="Q161" s="411"/>
      <c r="R161" s="411"/>
      <c r="S161" s="411"/>
      <c r="T161" s="411"/>
      <c r="U161" s="411"/>
      <c r="V161" s="411"/>
      <c r="W161" s="411"/>
      <c r="X161" s="411"/>
      <c r="Y161" s="411"/>
      <c r="Z161" s="411"/>
      <c r="AA161" s="411"/>
      <c r="AB161" s="411"/>
      <c r="AC161" s="411"/>
      <c r="AD161" s="411"/>
      <c r="AF161" s="411"/>
      <c r="AG161" s="411"/>
    </row>
    <row r="162" spans="2:33" x14ac:dyDescent="0.35">
      <c r="B162" s="151"/>
      <c r="C162" s="143"/>
      <c r="D162" s="143"/>
      <c r="E162" s="411"/>
      <c r="F162" s="411"/>
      <c r="G162" s="411"/>
      <c r="H162" s="411"/>
      <c r="I162" s="411"/>
      <c r="J162" s="411"/>
      <c r="K162" s="411"/>
      <c r="L162" s="411"/>
      <c r="M162" s="411"/>
      <c r="N162" s="411"/>
      <c r="O162" s="411"/>
      <c r="P162" s="411"/>
      <c r="Q162" s="411"/>
      <c r="R162" s="411"/>
      <c r="S162" s="411"/>
      <c r="T162" s="411"/>
      <c r="U162" s="411"/>
      <c r="V162" s="411"/>
      <c r="W162" s="411"/>
      <c r="X162" s="411"/>
      <c r="Y162" s="411"/>
      <c r="Z162" s="411"/>
      <c r="AA162" s="411"/>
      <c r="AB162" s="411"/>
      <c r="AC162" s="411"/>
      <c r="AD162" s="411"/>
      <c r="AF162" s="411"/>
      <c r="AG162" s="411"/>
    </row>
    <row r="163" spans="2:33" x14ac:dyDescent="0.35">
      <c r="B163" s="151"/>
      <c r="C163" s="143"/>
      <c r="D163" s="143"/>
      <c r="E163" s="411"/>
      <c r="F163" s="411"/>
      <c r="G163" s="411"/>
      <c r="H163" s="411"/>
      <c r="I163" s="411"/>
      <c r="J163" s="411"/>
      <c r="K163" s="411"/>
      <c r="L163" s="411"/>
      <c r="M163" s="411"/>
      <c r="N163" s="411"/>
      <c r="O163" s="411"/>
      <c r="P163" s="411"/>
      <c r="Q163" s="411"/>
      <c r="R163" s="411"/>
      <c r="S163" s="411"/>
      <c r="T163" s="411"/>
      <c r="U163" s="411"/>
      <c r="V163" s="411"/>
      <c r="W163" s="411"/>
      <c r="X163" s="411"/>
      <c r="Y163" s="411"/>
      <c r="Z163" s="411"/>
      <c r="AA163" s="411"/>
      <c r="AB163" s="411"/>
      <c r="AC163" s="411"/>
      <c r="AD163" s="411"/>
      <c r="AF163" s="411"/>
      <c r="AG163" s="411"/>
    </row>
    <row r="164" spans="2:33" x14ac:dyDescent="0.35">
      <c r="B164" s="151"/>
      <c r="C164" s="143"/>
      <c r="D164" s="143"/>
      <c r="E164" s="411"/>
      <c r="F164" s="411"/>
      <c r="G164" s="411"/>
      <c r="H164" s="411"/>
      <c r="I164" s="411"/>
      <c r="J164" s="411"/>
      <c r="K164" s="411"/>
      <c r="L164" s="411"/>
      <c r="M164" s="411"/>
      <c r="N164" s="411"/>
      <c r="O164" s="411"/>
      <c r="P164" s="411"/>
      <c r="Q164" s="411"/>
      <c r="R164" s="411"/>
      <c r="S164" s="411"/>
      <c r="T164" s="411"/>
      <c r="U164" s="411"/>
      <c r="V164" s="411"/>
      <c r="W164" s="411"/>
      <c r="X164" s="411"/>
      <c r="Y164" s="411"/>
      <c r="Z164" s="411"/>
      <c r="AA164" s="411"/>
      <c r="AB164" s="411"/>
      <c r="AC164" s="411"/>
      <c r="AD164" s="411"/>
      <c r="AF164" s="411"/>
      <c r="AG164" s="411"/>
    </row>
    <row r="165" spans="2:33" x14ac:dyDescent="0.35">
      <c r="B165" s="151"/>
      <c r="C165" s="143"/>
      <c r="D165" s="143"/>
      <c r="E165" s="411"/>
      <c r="F165" s="411"/>
      <c r="G165" s="411"/>
      <c r="H165" s="411"/>
      <c r="I165" s="411"/>
      <c r="J165" s="411"/>
      <c r="K165" s="411"/>
      <c r="L165" s="411"/>
      <c r="M165" s="411"/>
      <c r="N165" s="411"/>
      <c r="O165" s="411"/>
      <c r="P165" s="411"/>
      <c r="Q165" s="411"/>
      <c r="R165" s="411"/>
      <c r="S165" s="411"/>
      <c r="T165" s="411"/>
      <c r="U165" s="411"/>
      <c r="V165" s="411"/>
      <c r="W165" s="411"/>
      <c r="X165" s="411"/>
      <c r="Y165" s="411"/>
      <c r="Z165" s="411"/>
      <c r="AA165" s="411"/>
      <c r="AB165" s="411"/>
      <c r="AC165" s="411"/>
      <c r="AD165" s="411"/>
      <c r="AF165" s="411"/>
      <c r="AG165" s="411"/>
    </row>
    <row r="166" spans="2:33" x14ac:dyDescent="0.35">
      <c r="B166" s="151"/>
      <c r="C166" s="143"/>
      <c r="D166" s="143"/>
      <c r="E166" s="411"/>
      <c r="F166" s="411"/>
      <c r="G166" s="411"/>
      <c r="H166" s="411"/>
      <c r="I166" s="411"/>
      <c r="J166" s="411"/>
      <c r="K166" s="411"/>
      <c r="L166" s="411"/>
      <c r="M166" s="411"/>
      <c r="N166" s="411"/>
      <c r="O166" s="411"/>
      <c r="P166" s="411"/>
      <c r="Q166" s="411"/>
      <c r="R166" s="411"/>
      <c r="S166" s="411"/>
      <c r="T166" s="411"/>
      <c r="U166" s="411"/>
      <c r="V166" s="411"/>
      <c r="W166" s="411"/>
      <c r="X166" s="411"/>
      <c r="Y166" s="411"/>
      <c r="Z166" s="411"/>
      <c r="AA166" s="411"/>
      <c r="AB166" s="411"/>
      <c r="AC166" s="411"/>
      <c r="AD166" s="411"/>
      <c r="AF166" s="411"/>
      <c r="AG166" s="411"/>
    </row>
    <row r="167" spans="2:33" x14ac:dyDescent="0.35">
      <c r="B167" s="151"/>
      <c r="C167" s="143"/>
      <c r="D167" s="143"/>
      <c r="E167" s="411"/>
      <c r="F167" s="411"/>
      <c r="G167" s="411"/>
      <c r="H167" s="411"/>
      <c r="I167" s="411"/>
      <c r="J167" s="411"/>
      <c r="K167" s="411"/>
      <c r="L167" s="411"/>
      <c r="M167" s="411"/>
      <c r="N167" s="411"/>
      <c r="O167" s="411"/>
      <c r="P167" s="411"/>
      <c r="Q167" s="411"/>
      <c r="R167" s="411"/>
      <c r="S167" s="411"/>
      <c r="T167" s="411"/>
      <c r="U167" s="411"/>
      <c r="V167" s="411"/>
      <c r="W167" s="411"/>
      <c r="X167" s="411"/>
      <c r="Y167" s="411"/>
      <c r="Z167" s="411"/>
      <c r="AA167" s="411"/>
      <c r="AB167" s="411"/>
      <c r="AC167" s="411"/>
      <c r="AD167" s="411"/>
      <c r="AF167" s="411"/>
      <c r="AG167" s="411"/>
    </row>
    <row r="168" spans="2:33" x14ac:dyDescent="0.35">
      <c r="B168" s="151"/>
      <c r="C168" s="143"/>
      <c r="D168" s="143"/>
      <c r="E168" s="411"/>
      <c r="F168" s="411"/>
      <c r="G168" s="411"/>
      <c r="H168" s="411"/>
      <c r="I168" s="411"/>
      <c r="J168" s="411"/>
      <c r="K168" s="411"/>
      <c r="L168" s="411"/>
      <c r="M168" s="411"/>
      <c r="N168" s="411"/>
      <c r="O168" s="411"/>
      <c r="P168" s="411"/>
      <c r="Q168" s="411"/>
      <c r="R168" s="411"/>
      <c r="S168" s="411"/>
      <c r="T168" s="411"/>
      <c r="U168" s="411"/>
      <c r="V168" s="411"/>
      <c r="W168" s="411"/>
      <c r="X168" s="411"/>
      <c r="Y168" s="411"/>
      <c r="Z168" s="411"/>
      <c r="AA168" s="411"/>
      <c r="AB168" s="411"/>
      <c r="AC168" s="411"/>
      <c r="AD168" s="411"/>
      <c r="AF168" s="411"/>
      <c r="AG168" s="411"/>
    </row>
    <row r="169" spans="2:33" x14ac:dyDescent="0.35">
      <c r="B169" s="151"/>
      <c r="C169" s="143"/>
      <c r="D169" s="143"/>
      <c r="E169" s="411"/>
      <c r="F169" s="411"/>
      <c r="G169" s="411"/>
      <c r="H169" s="411"/>
      <c r="I169" s="411"/>
      <c r="J169" s="411"/>
      <c r="K169" s="411"/>
      <c r="L169" s="411"/>
      <c r="M169" s="411"/>
      <c r="N169" s="411"/>
      <c r="O169" s="411"/>
      <c r="P169" s="411"/>
      <c r="Q169" s="411"/>
      <c r="R169" s="411"/>
      <c r="S169" s="411"/>
      <c r="T169" s="411"/>
      <c r="U169" s="411"/>
      <c r="V169" s="411"/>
      <c r="W169" s="411"/>
      <c r="X169" s="411"/>
      <c r="Y169" s="411"/>
      <c r="Z169" s="411"/>
      <c r="AA169" s="411"/>
      <c r="AB169" s="411"/>
      <c r="AC169" s="411"/>
      <c r="AD169" s="411"/>
      <c r="AF169" s="411"/>
      <c r="AG169" s="411"/>
    </row>
    <row r="170" spans="2:33" x14ac:dyDescent="0.35">
      <c r="B170" s="151"/>
      <c r="C170" s="143"/>
      <c r="D170" s="143"/>
      <c r="E170" s="411"/>
      <c r="F170" s="411"/>
      <c r="G170" s="411"/>
      <c r="H170" s="411"/>
      <c r="I170" s="411"/>
      <c r="J170" s="411"/>
      <c r="K170" s="411"/>
      <c r="L170" s="411"/>
      <c r="M170" s="411"/>
      <c r="N170" s="411"/>
      <c r="O170" s="411"/>
      <c r="P170" s="411"/>
      <c r="Q170" s="411"/>
      <c r="R170" s="411"/>
      <c r="S170" s="411"/>
      <c r="T170" s="411"/>
      <c r="U170" s="411"/>
      <c r="V170" s="411"/>
      <c r="W170" s="411"/>
      <c r="X170" s="411"/>
      <c r="Y170" s="411"/>
      <c r="Z170" s="411"/>
      <c r="AA170" s="411"/>
      <c r="AB170" s="411"/>
      <c r="AC170" s="411"/>
      <c r="AD170" s="411"/>
      <c r="AF170" s="411"/>
      <c r="AG170" s="411"/>
    </row>
    <row r="171" spans="2:33" x14ac:dyDescent="0.35">
      <c r="B171" s="151"/>
      <c r="C171" s="143"/>
      <c r="D171" s="143"/>
      <c r="E171" s="411"/>
      <c r="F171" s="411"/>
      <c r="G171" s="411"/>
      <c r="H171" s="411"/>
      <c r="I171" s="411"/>
      <c r="J171" s="411"/>
      <c r="K171" s="411"/>
      <c r="L171" s="411"/>
      <c r="M171" s="411"/>
      <c r="N171" s="411"/>
      <c r="O171" s="411"/>
      <c r="P171" s="411"/>
      <c r="Q171" s="411"/>
      <c r="R171" s="411"/>
      <c r="S171" s="411"/>
      <c r="T171" s="411"/>
      <c r="U171" s="411"/>
      <c r="V171" s="411"/>
      <c r="W171" s="411"/>
      <c r="X171" s="411"/>
      <c r="Y171" s="411"/>
      <c r="Z171" s="411"/>
      <c r="AA171" s="411"/>
      <c r="AB171" s="411"/>
      <c r="AC171" s="411"/>
      <c r="AD171" s="411"/>
      <c r="AF171" s="411"/>
      <c r="AG171" s="411"/>
    </row>
    <row r="172" spans="2:33" x14ac:dyDescent="0.35">
      <c r="B172" s="151"/>
      <c r="C172" s="143"/>
      <c r="D172" s="143"/>
      <c r="E172" s="411"/>
      <c r="F172" s="411"/>
      <c r="G172" s="411"/>
      <c r="H172" s="411"/>
      <c r="I172" s="411"/>
      <c r="J172" s="411"/>
      <c r="K172" s="411"/>
      <c r="L172" s="411"/>
      <c r="M172" s="411"/>
      <c r="N172" s="411"/>
      <c r="O172" s="411"/>
      <c r="P172" s="411"/>
      <c r="Q172" s="411"/>
      <c r="R172" s="411"/>
      <c r="S172" s="411"/>
      <c r="T172" s="411"/>
      <c r="U172" s="411"/>
      <c r="V172" s="411"/>
      <c r="W172" s="411"/>
      <c r="X172" s="411"/>
      <c r="Y172" s="411"/>
      <c r="Z172" s="411"/>
      <c r="AA172" s="411"/>
      <c r="AB172" s="411"/>
      <c r="AC172" s="411"/>
      <c r="AD172" s="411"/>
      <c r="AF172" s="411"/>
      <c r="AG172" s="411"/>
    </row>
    <row r="173" spans="2:33" x14ac:dyDescent="0.35">
      <c r="B173" s="151"/>
      <c r="C173" s="143"/>
      <c r="D173" s="143"/>
      <c r="E173" s="411"/>
      <c r="F173" s="411"/>
      <c r="G173" s="411"/>
      <c r="H173" s="411"/>
      <c r="I173" s="411"/>
      <c r="J173" s="411"/>
      <c r="K173" s="411"/>
      <c r="L173" s="411"/>
      <c r="M173" s="411"/>
      <c r="N173" s="411"/>
      <c r="O173" s="411"/>
      <c r="P173" s="411"/>
      <c r="Q173" s="411"/>
      <c r="R173" s="411"/>
      <c r="S173" s="411"/>
      <c r="T173" s="411"/>
      <c r="U173" s="411"/>
      <c r="V173" s="411"/>
      <c r="W173" s="411"/>
      <c r="X173" s="411"/>
      <c r="Y173" s="411"/>
      <c r="Z173" s="411"/>
      <c r="AA173" s="411"/>
      <c r="AB173" s="411"/>
      <c r="AC173" s="411"/>
      <c r="AD173" s="411"/>
      <c r="AF173" s="411"/>
      <c r="AG173" s="411"/>
    </row>
    <row r="174" spans="2:33" x14ac:dyDescent="0.35">
      <c r="B174" s="151"/>
      <c r="C174" s="143"/>
      <c r="D174" s="143"/>
      <c r="E174" s="411"/>
      <c r="F174" s="411"/>
      <c r="G174" s="411"/>
      <c r="H174" s="411"/>
      <c r="I174" s="411"/>
      <c r="J174" s="411"/>
      <c r="K174" s="411"/>
      <c r="L174" s="411"/>
      <c r="M174" s="411"/>
      <c r="N174" s="411"/>
      <c r="O174" s="411"/>
      <c r="P174" s="411"/>
      <c r="Q174" s="411"/>
      <c r="R174" s="411"/>
      <c r="S174" s="411"/>
      <c r="T174" s="411"/>
      <c r="U174" s="411"/>
      <c r="V174" s="411"/>
      <c r="W174" s="411"/>
      <c r="X174" s="411"/>
      <c r="Y174" s="411"/>
      <c r="Z174" s="411"/>
      <c r="AA174" s="411"/>
      <c r="AB174" s="411"/>
      <c r="AC174" s="411"/>
      <c r="AD174" s="411"/>
      <c r="AF174" s="411"/>
      <c r="AG174" s="411"/>
    </row>
    <row r="175" spans="2:33" x14ac:dyDescent="0.35">
      <c r="B175" s="151"/>
      <c r="C175" s="143"/>
      <c r="D175" s="143"/>
      <c r="E175" s="411"/>
      <c r="F175" s="411"/>
      <c r="G175" s="411"/>
      <c r="H175" s="411"/>
      <c r="I175" s="411"/>
      <c r="J175" s="411"/>
      <c r="K175" s="411"/>
      <c r="L175" s="411"/>
      <c r="M175" s="411"/>
      <c r="N175" s="411"/>
      <c r="O175" s="411"/>
      <c r="P175" s="411"/>
      <c r="Q175" s="411"/>
      <c r="R175" s="411"/>
      <c r="S175" s="411"/>
      <c r="T175" s="411"/>
      <c r="U175" s="411"/>
      <c r="V175" s="411"/>
      <c r="W175" s="411"/>
      <c r="X175" s="411"/>
      <c r="Y175" s="411"/>
      <c r="Z175" s="411"/>
      <c r="AA175" s="411"/>
      <c r="AB175" s="411"/>
      <c r="AC175" s="411"/>
      <c r="AD175" s="411"/>
      <c r="AF175" s="411"/>
      <c r="AG175" s="411"/>
    </row>
    <row r="176" spans="2:33" x14ac:dyDescent="0.35">
      <c r="B176" s="151"/>
      <c r="C176" s="143"/>
      <c r="D176" s="143"/>
      <c r="E176" s="411"/>
      <c r="F176" s="411"/>
      <c r="G176" s="411"/>
      <c r="H176" s="411"/>
      <c r="I176" s="411"/>
      <c r="J176" s="411"/>
      <c r="K176" s="411"/>
      <c r="L176" s="411"/>
      <c r="M176" s="411"/>
      <c r="N176" s="411"/>
      <c r="O176" s="411"/>
      <c r="P176" s="411"/>
      <c r="Q176" s="411"/>
      <c r="R176" s="411"/>
      <c r="S176" s="411"/>
      <c r="T176" s="411"/>
      <c r="U176" s="411"/>
      <c r="V176" s="411"/>
      <c r="W176" s="411"/>
      <c r="X176" s="411"/>
      <c r="Y176" s="411"/>
      <c r="Z176" s="411"/>
      <c r="AA176" s="411"/>
      <c r="AB176" s="411"/>
      <c r="AC176" s="411"/>
      <c r="AD176" s="411"/>
      <c r="AF176" s="411"/>
      <c r="AG176" s="411"/>
    </row>
    <row r="177" spans="2:33" x14ac:dyDescent="0.35">
      <c r="B177" s="151"/>
      <c r="C177" s="143"/>
      <c r="D177" s="143"/>
      <c r="E177" s="411"/>
      <c r="F177" s="411"/>
      <c r="G177" s="411"/>
      <c r="H177" s="411"/>
      <c r="I177" s="411"/>
      <c r="J177" s="411"/>
      <c r="K177" s="411"/>
      <c r="L177" s="411"/>
      <c r="M177" s="411"/>
      <c r="N177" s="411"/>
      <c r="O177" s="411"/>
      <c r="P177" s="411"/>
      <c r="Q177" s="411"/>
      <c r="R177" s="411"/>
      <c r="S177" s="411"/>
      <c r="T177" s="411"/>
      <c r="U177" s="411"/>
      <c r="V177" s="411"/>
      <c r="W177" s="411"/>
      <c r="X177" s="411"/>
      <c r="Y177" s="411"/>
      <c r="Z177" s="411"/>
      <c r="AA177" s="411"/>
      <c r="AB177" s="411"/>
      <c r="AC177" s="411"/>
      <c r="AD177" s="411"/>
      <c r="AF177" s="411"/>
      <c r="AG177" s="411"/>
    </row>
    <row r="178" spans="2:33" x14ac:dyDescent="0.35">
      <c r="B178" s="151"/>
      <c r="C178" s="143"/>
      <c r="D178" s="143"/>
      <c r="E178" s="411"/>
      <c r="F178" s="411"/>
      <c r="G178" s="411"/>
      <c r="H178" s="411"/>
      <c r="I178" s="411"/>
      <c r="J178" s="411"/>
      <c r="K178" s="411"/>
      <c r="L178" s="411"/>
      <c r="M178" s="411"/>
      <c r="N178" s="411"/>
      <c r="O178" s="411"/>
      <c r="P178" s="411"/>
      <c r="Q178" s="411"/>
      <c r="R178" s="411"/>
      <c r="S178" s="411"/>
      <c r="T178" s="411"/>
      <c r="U178" s="411"/>
      <c r="V178" s="411"/>
      <c r="W178" s="411"/>
      <c r="X178" s="411"/>
      <c r="Y178" s="411"/>
      <c r="Z178" s="411"/>
      <c r="AA178" s="411"/>
      <c r="AB178" s="411"/>
      <c r="AC178" s="411"/>
      <c r="AD178" s="411"/>
      <c r="AF178" s="411"/>
      <c r="AG178" s="411"/>
    </row>
    <row r="179" spans="2:33" x14ac:dyDescent="0.35">
      <c r="B179" s="151"/>
      <c r="C179" s="143"/>
      <c r="D179" s="143"/>
      <c r="E179" s="411"/>
      <c r="F179" s="411"/>
      <c r="G179" s="411"/>
      <c r="H179" s="411"/>
      <c r="I179" s="411"/>
      <c r="J179" s="411"/>
      <c r="K179" s="411"/>
      <c r="L179" s="411"/>
      <c r="M179" s="411"/>
      <c r="N179" s="411"/>
      <c r="O179" s="411"/>
      <c r="P179" s="411"/>
      <c r="Q179" s="411"/>
      <c r="R179" s="411"/>
      <c r="S179" s="411"/>
      <c r="T179" s="411"/>
      <c r="U179" s="411"/>
      <c r="V179" s="411"/>
      <c r="W179" s="411"/>
      <c r="X179" s="411"/>
      <c r="Y179" s="411"/>
      <c r="Z179" s="411"/>
      <c r="AA179" s="411"/>
      <c r="AB179" s="411"/>
      <c r="AC179" s="411"/>
      <c r="AD179" s="411"/>
      <c r="AF179" s="411"/>
      <c r="AG179" s="411"/>
    </row>
    <row r="180" spans="2:33" x14ac:dyDescent="0.35">
      <c r="B180" s="151"/>
      <c r="C180" s="143"/>
      <c r="D180" s="143"/>
      <c r="E180" s="411"/>
      <c r="F180" s="411"/>
      <c r="G180" s="411"/>
      <c r="H180" s="411"/>
      <c r="I180" s="411"/>
      <c r="J180" s="411"/>
      <c r="K180" s="411"/>
      <c r="L180" s="411"/>
      <c r="M180" s="411"/>
      <c r="N180" s="411"/>
      <c r="O180" s="411"/>
      <c r="P180" s="411"/>
      <c r="Q180" s="411"/>
      <c r="R180" s="411"/>
      <c r="S180" s="411"/>
      <c r="T180" s="411"/>
      <c r="U180" s="411"/>
      <c r="V180" s="411"/>
      <c r="W180" s="411"/>
      <c r="X180" s="411"/>
      <c r="Y180" s="411"/>
      <c r="Z180" s="411"/>
      <c r="AA180" s="411"/>
      <c r="AB180" s="411"/>
      <c r="AC180" s="411"/>
      <c r="AD180" s="411"/>
      <c r="AF180" s="411"/>
      <c r="AG180" s="411"/>
    </row>
    <row r="181" spans="2:33" x14ac:dyDescent="0.35">
      <c r="B181" s="151"/>
      <c r="C181" s="143"/>
      <c r="D181" s="143"/>
      <c r="E181" s="411"/>
      <c r="F181" s="411"/>
      <c r="G181" s="411"/>
      <c r="H181" s="411"/>
      <c r="I181" s="411"/>
      <c r="J181" s="411"/>
      <c r="K181" s="411"/>
      <c r="L181" s="411"/>
      <c r="M181" s="411"/>
      <c r="N181" s="411"/>
      <c r="O181" s="411"/>
      <c r="P181" s="411"/>
      <c r="Q181" s="411"/>
      <c r="R181" s="411"/>
      <c r="S181" s="411"/>
      <c r="T181" s="411"/>
      <c r="U181" s="411"/>
      <c r="V181" s="411"/>
      <c r="W181" s="411"/>
      <c r="X181" s="411"/>
      <c r="Y181" s="411"/>
      <c r="Z181" s="411"/>
      <c r="AA181" s="411"/>
      <c r="AB181" s="411"/>
      <c r="AC181" s="411"/>
      <c r="AD181" s="411"/>
      <c r="AF181" s="411"/>
      <c r="AG181" s="411"/>
    </row>
    <row r="182" spans="2:33" x14ac:dyDescent="0.35">
      <c r="B182" s="151"/>
      <c r="C182" s="143"/>
      <c r="D182" s="143"/>
      <c r="E182" s="411"/>
      <c r="F182" s="411"/>
      <c r="G182" s="411"/>
      <c r="H182" s="411"/>
      <c r="I182" s="411"/>
      <c r="J182" s="411"/>
      <c r="K182" s="411"/>
      <c r="L182" s="411"/>
      <c r="M182" s="411"/>
      <c r="N182" s="411"/>
      <c r="O182" s="411"/>
      <c r="P182" s="411"/>
      <c r="Q182" s="411"/>
      <c r="R182" s="411"/>
      <c r="S182" s="411"/>
      <c r="T182" s="411"/>
      <c r="U182" s="411"/>
      <c r="V182" s="411"/>
      <c r="W182" s="411"/>
      <c r="X182" s="411"/>
      <c r="Y182" s="411"/>
      <c r="Z182" s="411"/>
      <c r="AA182" s="411"/>
      <c r="AB182" s="411"/>
      <c r="AC182" s="411"/>
      <c r="AD182" s="411"/>
      <c r="AF182" s="411"/>
      <c r="AG182" s="411"/>
    </row>
    <row r="183" spans="2:33" x14ac:dyDescent="0.35">
      <c r="B183" s="151"/>
      <c r="C183" s="143"/>
      <c r="D183" s="143"/>
      <c r="E183" s="411"/>
      <c r="F183" s="411"/>
      <c r="G183" s="411"/>
      <c r="H183" s="411"/>
      <c r="I183" s="411"/>
      <c r="J183" s="411"/>
      <c r="K183" s="411"/>
      <c r="L183" s="411"/>
      <c r="M183" s="411"/>
      <c r="N183" s="411"/>
      <c r="O183" s="411"/>
      <c r="P183" s="411"/>
      <c r="Q183" s="411"/>
      <c r="R183" s="411"/>
      <c r="S183" s="411"/>
      <c r="T183" s="411"/>
      <c r="U183" s="411"/>
      <c r="V183" s="411"/>
      <c r="W183" s="411"/>
      <c r="X183" s="411"/>
      <c r="Y183" s="411"/>
      <c r="Z183" s="411"/>
      <c r="AA183" s="411"/>
      <c r="AB183" s="411"/>
      <c r="AC183" s="411"/>
      <c r="AD183" s="411"/>
      <c r="AF183" s="411"/>
      <c r="AG183" s="411"/>
    </row>
    <row r="184" spans="2:33" x14ac:dyDescent="0.35">
      <c r="B184" s="151"/>
      <c r="C184" s="143"/>
      <c r="D184" s="143"/>
      <c r="E184" s="411"/>
      <c r="F184" s="411"/>
      <c r="G184" s="411"/>
      <c r="H184" s="411"/>
      <c r="I184" s="411"/>
      <c r="J184" s="411"/>
      <c r="K184" s="411"/>
      <c r="L184" s="411"/>
      <c r="M184" s="411"/>
      <c r="N184" s="411"/>
      <c r="O184" s="411"/>
      <c r="P184" s="411"/>
      <c r="Q184" s="411"/>
      <c r="R184" s="411"/>
      <c r="S184" s="411"/>
      <c r="T184" s="411"/>
      <c r="U184" s="411"/>
      <c r="V184" s="411"/>
      <c r="W184" s="411"/>
      <c r="X184" s="411"/>
      <c r="Y184" s="411"/>
      <c r="Z184" s="411"/>
      <c r="AA184" s="411"/>
      <c r="AB184" s="411"/>
      <c r="AC184" s="411"/>
      <c r="AD184" s="411"/>
      <c r="AF184" s="411"/>
      <c r="AG184" s="411"/>
    </row>
    <row r="185" spans="2:33" x14ac:dyDescent="0.35">
      <c r="B185" s="151"/>
      <c r="C185" s="143"/>
      <c r="D185" s="143"/>
      <c r="E185" s="411"/>
      <c r="F185" s="411"/>
      <c r="G185" s="411"/>
      <c r="H185" s="411"/>
      <c r="I185" s="411"/>
      <c r="J185" s="411"/>
      <c r="K185" s="411"/>
      <c r="L185" s="411"/>
      <c r="M185" s="411"/>
      <c r="N185" s="411"/>
      <c r="O185" s="411"/>
      <c r="P185" s="411"/>
      <c r="Q185" s="411"/>
      <c r="R185" s="411"/>
      <c r="S185" s="411"/>
      <c r="T185" s="411"/>
      <c r="U185" s="411"/>
      <c r="V185" s="411"/>
      <c r="W185" s="411"/>
      <c r="X185" s="411"/>
      <c r="Y185" s="411"/>
      <c r="Z185" s="411"/>
      <c r="AA185" s="411"/>
      <c r="AB185" s="411"/>
      <c r="AC185" s="411"/>
      <c r="AD185" s="411"/>
      <c r="AF185" s="411"/>
      <c r="AG185" s="411"/>
    </row>
    <row r="186" spans="2:33" x14ac:dyDescent="0.35">
      <c r="B186" s="151"/>
      <c r="C186" s="143"/>
      <c r="D186" s="143"/>
      <c r="E186" s="411"/>
      <c r="F186" s="411"/>
      <c r="G186" s="411"/>
      <c r="H186" s="411"/>
      <c r="I186" s="411"/>
      <c r="J186" s="411"/>
      <c r="K186" s="411"/>
      <c r="L186" s="411"/>
      <c r="M186" s="411"/>
      <c r="N186" s="411"/>
      <c r="O186" s="411"/>
      <c r="P186" s="411"/>
      <c r="Q186" s="411"/>
      <c r="R186" s="411"/>
      <c r="S186" s="411"/>
      <c r="T186" s="411"/>
      <c r="U186" s="411"/>
      <c r="V186" s="411"/>
      <c r="W186" s="411"/>
      <c r="X186" s="411"/>
      <c r="Y186" s="411"/>
      <c r="Z186" s="411"/>
      <c r="AA186" s="411"/>
      <c r="AB186" s="411"/>
      <c r="AC186" s="411"/>
      <c r="AD186" s="411"/>
      <c r="AF186" s="411"/>
      <c r="AG186" s="411"/>
    </row>
    <row r="187" spans="2:33" x14ac:dyDescent="0.35">
      <c r="B187" s="151"/>
      <c r="C187" s="143"/>
      <c r="D187" s="143"/>
      <c r="E187" s="411"/>
      <c r="F187" s="411"/>
      <c r="G187" s="411"/>
      <c r="H187" s="411"/>
      <c r="I187" s="411"/>
      <c r="J187" s="411"/>
      <c r="K187" s="411"/>
      <c r="L187" s="411"/>
      <c r="M187" s="411"/>
      <c r="N187" s="411"/>
      <c r="O187" s="411"/>
      <c r="P187" s="411"/>
      <c r="Q187" s="411"/>
      <c r="R187" s="411"/>
      <c r="S187" s="411"/>
      <c r="T187" s="411"/>
      <c r="U187" s="411"/>
      <c r="V187" s="411"/>
      <c r="W187" s="411"/>
      <c r="X187" s="411"/>
      <c r="Y187" s="411"/>
      <c r="Z187" s="411"/>
      <c r="AA187" s="411"/>
      <c r="AB187" s="411"/>
      <c r="AC187" s="411"/>
      <c r="AD187" s="411"/>
      <c r="AF187" s="411"/>
      <c r="AG187" s="411"/>
    </row>
    <row r="188" spans="2:33" x14ac:dyDescent="0.35">
      <c r="B188" s="151"/>
      <c r="C188" s="143"/>
      <c r="D188" s="143"/>
      <c r="E188" s="411"/>
      <c r="F188" s="411"/>
      <c r="G188" s="411"/>
      <c r="H188" s="411"/>
      <c r="I188" s="411"/>
      <c r="J188" s="411"/>
      <c r="K188" s="411"/>
      <c r="L188" s="411"/>
      <c r="M188" s="411"/>
      <c r="N188" s="411"/>
      <c r="O188" s="411"/>
      <c r="P188" s="411"/>
      <c r="Q188" s="411"/>
      <c r="R188" s="411"/>
      <c r="S188" s="411"/>
      <c r="T188" s="411"/>
      <c r="U188" s="411"/>
      <c r="V188" s="411"/>
      <c r="W188" s="411"/>
      <c r="X188" s="411"/>
      <c r="Y188" s="411"/>
      <c r="Z188" s="411"/>
      <c r="AA188" s="411"/>
      <c r="AB188" s="411"/>
      <c r="AC188" s="411"/>
      <c r="AD188" s="411"/>
      <c r="AF188" s="411"/>
      <c r="AG188" s="411"/>
    </row>
    <row r="189" spans="2:33" x14ac:dyDescent="0.35">
      <c r="B189" s="151"/>
      <c r="C189" s="143"/>
      <c r="D189" s="143"/>
      <c r="E189" s="411"/>
      <c r="F189" s="411"/>
      <c r="G189" s="411"/>
      <c r="H189" s="411"/>
      <c r="I189" s="411"/>
      <c r="J189" s="411"/>
      <c r="K189" s="411"/>
      <c r="L189" s="411"/>
      <c r="M189" s="411"/>
      <c r="N189" s="411"/>
      <c r="O189" s="411"/>
      <c r="P189" s="411"/>
      <c r="Q189" s="411"/>
      <c r="R189" s="411"/>
      <c r="S189" s="411"/>
      <c r="T189" s="411"/>
      <c r="U189" s="411"/>
      <c r="V189" s="411"/>
      <c r="W189" s="411"/>
      <c r="X189" s="411"/>
      <c r="Y189" s="411"/>
      <c r="Z189" s="411"/>
      <c r="AA189" s="411"/>
      <c r="AB189" s="411"/>
      <c r="AC189" s="411"/>
      <c r="AD189" s="411"/>
      <c r="AF189" s="411"/>
      <c r="AG189" s="411"/>
    </row>
    <row r="190" spans="2:33" x14ac:dyDescent="0.35">
      <c r="B190" s="151"/>
      <c r="C190" s="143"/>
      <c r="D190" s="143"/>
      <c r="E190" s="411"/>
      <c r="F190" s="411"/>
      <c r="G190" s="411"/>
      <c r="H190" s="411"/>
      <c r="I190" s="411"/>
      <c r="J190" s="411"/>
      <c r="K190" s="411"/>
      <c r="L190" s="411"/>
      <c r="M190" s="411"/>
      <c r="N190" s="411"/>
      <c r="O190" s="411"/>
      <c r="P190" s="411"/>
      <c r="Q190" s="411"/>
      <c r="R190" s="411"/>
      <c r="S190" s="411"/>
      <c r="T190" s="411"/>
      <c r="U190" s="411"/>
      <c r="V190" s="411"/>
      <c r="W190" s="411"/>
      <c r="X190" s="411"/>
      <c r="Y190" s="411"/>
      <c r="Z190" s="411"/>
      <c r="AA190" s="411"/>
      <c r="AB190" s="411"/>
      <c r="AC190" s="411"/>
      <c r="AD190" s="411"/>
      <c r="AF190" s="411"/>
      <c r="AG190" s="411"/>
    </row>
    <row r="191" spans="2:33" x14ac:dyDescent="0.35">
      <c r="B191" s="151"/>
      <c r="C191" s="143"/>
      <c r="D191" s="143"/>
      <c r="E191" s="411"/>
      <c r="F191" s="411"/>
      <c r="G191" s="411"/>
      <c r="H191" s="411"/>
      <c r="I191" s="411"/>
      <c r="J191" s="411"/>
      <c r="K191" s="411"/>
      <c r="L191" s="411"/>
      <c r="M191" s="411"/>
      <c r="N191" s="411"/>
      <c r="O191" s="411"/>
      <c r="P191" s="411"/>
      <c r="Q191" s="411"/>
      <c r="R191" s="411"/>
      <c r="S191" s="411"/>
      <c r="T191" s="411"/>
      <c r="U191" s="411"/>
      <c r="V191" s="411"/>
      <c r="W191" s="411"/>
      <c r="X191" s="411"/>
      <c r="Y191" s="411"/>
      <c r="Z191" s="411"/>
      <c r="AA191" s="411"/>
      <c r="AB191" s="411"/>
      <c r="AC191" s="411"/>
      <c r="AD191" s="411"/>
      <c r="AF191" s="411"/>
      <c r="AG191" s="411"/>
    </row>
    <row r="192" spans="2:33" x14ac:dyDescent="0.35">
      <c r="B192" s="151"/>
      <c r="C192" s="143"/>
      <c r="D192" s="143"/>
      <c r="E192" s="411"/>
      <c r="F192" s="411"/>
      <c r="G192" s="411"/>
      <c r="H192" s="411"/>
      <c r="I192" s="411"/>
      <c r="J192" s="411"/>
      <c r="K192" s="411"/>
      <c r="L192" s="411"/>
      <c r="M192" s="411"/>
      <c r="N192" s="411"/>
      <c r="O192" s="411"/>
      <c r="P192" s="411"/>
      <c r="Q192" s="411"/>
      <c r="R192" s="411"/>
      <c r="S192" s="411"/>
      <c r="T192" s="411"/>
      <c r="U192" s="411"/>
      <c r="V192" s="411"/>
      <c r="W192" s="411"/>
      <c r="X192" s="411"/>
      <c r="Y192" s="411"/>
      <c r="Z192" s="411"/>
      <c r="AA192" s="411"/>
      <c r="AB192" s="411"/>
      <c r="AC192" s="411"/>
      <c r="AD192" s="411"/>
      <c r="AF192" s="411"/>
      <c r="AG192" s="411"/>
    </row>
    <row r="193" spans="2:33" x14ac:dyDescent="0.35">
      <c r="B193" s="151"/>
      <c r="C193" s="143"/>
      <c r="D193" s="143"/>
      <c r="E193" s="411"/>
      <c r="F193" s="411"/>
      <c r="G193" s="411"/>
      <c r="H193" s="411"/>
      <c r="I193" s="411"/>
      <c r="J193" s="411"/>
      <c r="K193" s="411"/>
      <c r="L193" s="411"/>
      <c r="M193" s="411"/>
      <c r="N193" s="411"/>
      <c r="O193" s="411"/>
      <c r="P193" s="411"/>
      <c r="Q193" s="411"/>
      <c r="R193" s="411"/>
      <c r="S193" s="411"/>
      <c r="T193" s="411"/>
      <c r="U193" s="411"/>
      <c r="V193" s="411"/>
      <c r="W193" s="411"/>
      <c r="X193" s="411"/>
      <c r="Y193" s="411"/>
      <c r="Z193" s="411"/>
      <c r="AA193" s="411"/>
      <c r="AB193" s="411"/>
      <c r="AC193" s="411"/>
      <c r="AD193" s="411"/>
      <c r="AF193" s="411"/>
      <c r="AG193" s="411"/>
    </row>
    <row r="194" spans="2:33" x14ac:dyDescent="0.35">
      <c r="B194" s="151"/>
      <c r="C194" s="143"/>
      <c r="D194" s="143"/>
      <c r="E194" s="411"/>
      <c r="F194" s="411"/>
      <c r="G194" s="411"/>
      <c r="H194" s="411"/>
      <c r="I194" s="411"/>
      <c r="J194" s="411"/>
      <c r="K194" s="411"/>
      <c r="L194" s="411"/>
      <c r="M194" s="411"/>
      <c r="N194" s="411"/>
      <c r="O194" s="411"/>
      <c r="P194" s="411"/>
      <c r="Q194" s="411"/>
      <c r="R194" s="411"/>
      <c r="S194" s="411"/>
      <c r="T194" s="411"/>
      <c r="U194" s="411"/>
      <c r="V194" s="411"/>
      <c r="W194" s="411"/>
      <c r="X194" s="411"/>
      <c r="Y194" s="411"/>
      <c r="Z194" s="411"/>
      <c r="AA194" s="411"/>
      <c r="AB194" s="411"/>
      <c r="AC194" s="411"/>
      <c r="AD194" s="411"/>
      <c r="AF194" s="411"/>
      <c r="AG194" s="411"/>
    </row>
    <row r="195" spans="2:33" x14ac:dyDescent="0.35">
      <c r="B195" s="151"/>
      <c r="C195" s="143"/>
      <c r="D195" s="143"/>
      <c r="E195" s="411"/>
      <c r="F195" s="411"/>
      <c r="G195" s="411"/>
      <c r="H195" s="411"/>
      <c r="I195" s="411"/>
      <c r="J195" s="411"/>
      <c r="K195" s="411"/>
      <c r="L195" s="411"/>
      <c r="M195" s="411"/>
      <c r="N195" s="411"/>
      <c r="O195" s="411"/>
      <c r="P195" s="411"/>
      <c r="Q195" s="411"/>
      <c r="R195" s="411"/>
      <c r="S195" s="411"/>
      <c r="T195" s="411"/>
      <c r="U195" s="411"/>
      <c r="V195" s="411"/>
      <c r="W195" s="411"/>
      <c r="X195" s="411"/>
      <c r="Y195" s="411"/>
      <c r="Z195" s="411"/>
      <c r="AA195" s="411"/>
      <c r="AB195" s="411"/>
      <c r="AC195" s="411"/>
      <c r="AD195" s="411"/>
      <c r="AF195" s="411"/>
      <c r="AG195" s="411"/>
    </row>
    <row r="196" spans="2:33" x14ac:dyDescent="0.35">
      <c r="B196" s="151"/>
      <c r="C196" s="143"/>
      <c r="D196" s="143"/>
      <c r="E196" s="411"/>
      <c r="F196" s="411"/>
      <c r="G196" s="411"/>
      <c r="H196" s="411"/>
      <c r="I196" s="411"/>
      <c r="J196" s="411"/>
      <c r="K196" s="411"/>
      <c r="L196" s="411"/>
      <c r="M196" s="411"/>
      <c r="N196" s="411"/>
      <c r="O196" s="411"/>
      <c r="P196" s="411"/>
      <c r="Q196" s="411"/>
      <c r="R196" s="411"/>
      <c r="S196" s="411"/>
      <c r="T196" s="411"/>
      <c r="U196" s="411"/>
      <c r="V196" s="411"/>
      <c r="W196" s="411"/>
      <c r="X196" s="411"/>
      <c r="Y196" s="411"/>
      <c r="Z196" s="411"/>
      <c r="AA196" s="411"/>
      <c r="AB196" s="411"/>
      <c r="AC196" s="411"/>
      <c r="AD196" s="411"/>
      <c r="AF196" s="411"/>
      <c r="AG196" s="411"/>
    </row>
    <row r="197" spans="2:33" x14ac:dyDescent="0.35">
      <c r="B197" s="151"/>
      <c r="C197" s="143"/>
      <c r="D197" s="143"/>
      <c r="E197" s="411"/>
      <c r="F197" s="411"/>
      <c r="G197" s="411"/>
      <c r="H197" s="411"/>
      <c r="I197" s="411"/>
      <c r="J197" s="411"/>
      <c r="K197" s="411"/>
      <c r="L197" s="411"/>
      <c r="M197" s="411"/>
      <c r="N197" s="411"/>
      <c r="O197" s="411"/>
      <c r="P197" s="411"/>
      <c r="Q197" s="411"/>
      <c r="R197" s="411"/>
      <c r="S197" s="411"/>
      <c r="T197" s="411"/>
      <c r="U197" s="411"/>
      <c r="V197" s="411"/>
      <c r="W197" s="411"/>
      <c r="X197" s="411"/>
      <c r="Y197" s="411"/>
      <c r="Z197" s="411"/>
      <c r="AA197" s="411"/>
      <c r="AB197" s="411"/>
      <c r="AC197" s="411"/>
      <c r="AD197" s="411"/>
      <c r="AF197" s="411"/>
      <c r="AG197" s="411"/>
    </row>
    <row r="198" spans="2:33" x14ac:dyDescent="0.35">
      <c r="B198" s="151"/>
      <c r="C198" s="143"/>
      <c r="D198" s="143"/>
      <c r="E198" s="411"/>
      <c r="F198" s="411"/>
      <c r="G198" s="411"/>
      <c r="H198" s="411"/>
      <c r="I198" s="411"/>
      <c r="J198" s="411"/>
      <c r="K198" s="411"/>
      <c r="L198" s="411"/>
      <c r="M198" s="411"/>
      <c r="N198" s="411"/>
      <c r="O198" s="411"/>
      <c r="P198" s="411"/>
      <c r="Q198" s="411"/>
      <c r="R198" s="411"/>
      <c r="S198" s="411"/>
      <c r="T198" s="411"/>
      <c r="U198" s="411"/>
      <c r="V198" s="411"/>
      <c r="W198" s="411"/>
      <c r="X198" s="411"/>
      <c r="Y198" s="411"/>
      <c r="Z198" s="411"/>
      <c r="AA198" s="411"/>
      <c r="AB198" s="411"/>
      <c r="AC198" s="411"/>
      <c r="AD198" s="411"/>
      <c r="AF198" s="411"/>
      <c r="AG198" s="411"/>
    </row>
    <row r="199" spans="2:33" x14ac:dyDescent="0.35">
      <c r="B199" s="151"/>
      <c r="C199" s="143"/>
      <c r="D199" s="143"/>
      <c r="E199" s="411"/>
      <c r="F199" s="411"/>
      <c r="G199" s="411"/>
      <c r="H199" s="411"/>
      <c r="I199" s="411"/>
      <c r="J199" s="411"/>
      <c r="K199" s="411"/>
      <c r="L199" s="411"/>
      <c r="M199" s="411"/>
      <c r="N199" s="411"/>
      <c r="O199" s="411"/>
      <c r="P199" s="411"/>
      <c r="Q199" s="411"/>
      <c r="R199" s="411"/>
      <c r="S199" s="411"/>
      <c r="T199" s="411"/>
      <c r="U199" s="411"/>
      <c r="V199" s="411"/>
      <c r="W199" s="411"/>
      <c r="X199" s="411"/>
      <c r="Y199" s="411"/>
      <c r="Z199" s="411"/>
      <c r="AA199" s="411"/>
      <c r="AB199" s="411"/>
      <c r="AC199" s="411"/>
      <c r="AD199" s="411"/>
      <c r="AF199" s="411"/>
      <c r="AG199" s="411"/>
    </row>
    <row r="200" spans="2:33" x14ac:dyDescent="0.35">
      <c r="B200" s="151"/>
      <c r="C200" s="143"/>
      <c r="D200" s="143"/>
      <c r="E200" s="411"/>
      <c r="F200" s="411"/>
      <c r="G200" s="411"/>
      <c r="H200" s="411"/>
      <c r="I200" s="411"/>
      <c r="J200" s="411"/>
      <c r="K200" s="411"/>
      <c r="L200" s="411"/>
      <c r="M200" s="411"/>
      <c r="N200" s="411"/>
      <c r="O200" s="411"/>
      <c r="P200" s="411"/>
      <c r="Q200" s="411"/>
      <c r="R200" s="411"/>
      <c r="S200" s="411"/>
      <c r="T200" s="411"/>
      <c r="U200" s="411"/>
      <c r="V200" s="411"/>
      <c r="W200" s="411"/>
      <c r="X200" s="411"/>
      <c r="Y200" s="411"/>
      <c r="Z200" s="411"/>
      <c r="AA200" s="411"/>
      <c r="AB200" s="411"/>
      <c r="AC200" s="411"/>
      <c r="AD200" s="411"/>
      <c r="AF200" s="411"/>
      <c r="AG200" s="411"/>
    </row>
    <row r="201" spans="2:33" x14ac:dyDescent="0.35">
      <c r="B201" s="151"/>
      <c r="C201" s="143"/>
      <c r="D201" s="143"/>
      <c r="E201" s="411"/>
      <c r="F201" s="411"/>
      <c r="G201" s="411"/>
      <c r="H201" s="411"/>
      <c r="I201" s="411"/>
      <c r="J201" s="411"/>
      <c r="K201" s="411"/>
      <c r="L201" s="411"/>
      <c r="M201" s="411"/>
      <c r="N201" s="411"/>
      <c r="O201" s="411"/>
      <c r="P201" s="411"/>
      <c r="Q201" s="411"/>
      <c r="R201" s="411"/>
      <c r="S201" s="411"/>
      <c r="T201" s="411"/>
      <c r="U201" s="411"/>
      <c r="V201" s="411"/>
      <c r="W201" s="411"/>
      <c r="X201" s="411"/>
      <c r="Y201" s="411"/>
      <c r="Z201" s="411"/>
      <c r="AA201" s="411"/>
      <c r="AB201" s="411"/>
      <c r="AC201" s="411"/>
      <c r="AD201" s="411"/>
      <c r="AF201" s="411"/>
      <c r="AG201" s="411"/>
    </row>
    <row r="202" spans="2:33" x14ac:dyDescent="0.35">
      <c r="B202" s="151"/>
      <c r="C202" s="143"/>
      <c r="D202" s="143"/>
      <c r="E202" s="411"/>
      <c r="F202" s="411"/>
      <c r="G202" s="411"/>
      <c r="H202" s="411"/>
      <c r="I202" s="411"/>
      <c r="J202" s="411"/>
      <c r="K202" s="411"/>
      <c r="L202" s="411"/>
      <c r="M202" s="411"/>
      <c r="N202" s="411"/>
      <c r="O202" s="411"/>
      <c r="P202" s="411"/>
      <c r="Q202" s="411"/>
      <c r="R202" s="411"/>
      <c r="S202" s="411"/>
      <c r="T202" s="411"/>
      <c r="U202" s="411"/>
      <c r="V202" s="411"/>
      <c r="W202" s="411"/>
      <c r="X202" s="411"/>
      <c r="Y202" s="411"/>
      <c r="Z202" s="411"/>
      <c r="AA202" s="411"/>
      <c r="AB202" s="411"/>
      <c r="AC202" s="411"/>
      <c r="AD202" s="411"/>
      <c r="AF202" s="411"/>
      <c r="AG202" s="411"/>
    </row>
    <row r="203" spans="2:33" x14ac:dyDescent="0.35">
      <c r="B203" s="151"/>
      <c r="C203" s="143"/>
      <c r="D203" s="143"/>
      <c r="E203" s="411"/>
      <c r="F203" s="411"/>
      <c r="G203" s="411"/>
      <c r="H203" s="411"/>
      <c r="I203" s="411"/>
      <c r="J203" s="411"/>
      <c r="K203" s="411"/>
      <c r="L203" s="411"/>
      <c r="M203" s="411"/>
      <c r="N203" s="411"/>
      <c r="O203" s="411"/>
      <c r="P203" s="411"/>
      <c r="Q203" s="411"/>
      <c r="R203" s="411"/>
      <c r="S203" s="411"/>
      <c r="T203" s="411"/>
      <c r="U203" s="411"/>
      <c r="V203" s="411"/>
      <c r="W203" s="411"/>
      <c r="X203" s="411"/>
      <c r="Y203" s="411"/>
      <c r="Z203" s="411"/>
      <c r="AA203" s="411"/>
      <c r="AB203" s="411"/>
      <c r="AC203" s="411"/>
      <c r="AD203" s="411"/>
      <c r="AF203" s="411"/>
      <c r="AG203" s="411"/>
    </row>
    <row r="204" spans="2:33" x14ac:dyDescent="0.35">
      <c r="B204" s="151"/>
      <c r="C204" s="143"/>
      <c r="D204" s="143"/>
      <c r="E204" s="411"/>
      <c r="F204" s="411"/>
      <c r="G204" s="411"/>
      <c r="H204" s="411"/>
      <c r="I204" s="411"/>
      <c r="J204" s="411"/>
      <c r="K204" s="411"/>
      <c r="L204" s="411"/>
      <c r="M204" s="411"/>
      <c r="N204" s="411"/>
      <c r="O204" s="411"/>
      <c r="P204" s="411"/>
      <c r="Q204" s="411"/>
      <c r="R204" s="411"/>
      <c r="S204" s="411"/>
      <c r="T204" s="411"/>
      <c r="U204" s="411"/>
      <c r="V204" s="411"/>
      <c r="W204" s="411"/>
      <c r="X204" s="411"/>
      <c r="Y204" s="411"/>
      <c r="Z204" s="411"/>
      <c r="AA204" s="411"/>
      <c r="AB204" s="411"/>
      <c r="AC204" s="411"/>
      <c r="AD204" s="411"/>
      <c r="AF204" s="411"/>
      <c r="AG204" s="411"/>
    </row>
    <row r="205" spans="2:33" x14ac:dyDescent="0.35">
      <c r="B205" s="151"/>
      <c r="C205" s="143"/>
      <c r="D205" s="143"/>
      <c r="E205" s="411"/>
      <c r="F205" s="411"/>
      <c r="G205" s="411"/>
      <c r="H205" s="411"/>
      <c r="I205" s="411"/>
      <c r="J205" s="411"/>
      <c r="K205" s="411"/>
      <c r="L205" s="411"/>
      <c r="M205" s="411"/>
      <c r="N205" s="411"/>
      <c r="O205" s="411"/>
      <c r="P205" s="411"/>
      <c r="Q205" s="411"/>
      <c r="R205" s="411"/>
      <c r="S205" s="411"/>
      <c r="T205" s="411"/>
      <c r="U205" s="411"/>
      <c r="V205" s="411"/>
      <c r="W205" s="411"/>
      <c r="X205" s="411"/>
      <c r="Y205" s="411"/>
      <c r="Z205" s="411"/>
      <c r="AA205" s="411"/>
      <c r="AB205" s="411"/>
      <c r="AC205" s="411"/>
      <c r="AD205" s="411"/>
      <c r="AF205" s="411"/>
      <c r="AG205" s="411"/>
    </row>
    <row r="206" spans="2:33" x14ac:dyDescent="0.35">
      <c r="B206" s="151"/>
      <c r="C206" s="143"/>
      <c r="D206" s="143"/>
      <c r="E206" s="411"/>
      <c r="F206" s="411"/>
      <c r="G206" s="411"/>
      <c r="H206" s="411"/>
      <c r="I206" s="411"/>
      <c r="J206" s="411"/>
      <c r="K206" s="411"/>
      <c r="L206" s="411"/>
      <c r="M206" s="411"/>
      <c r="N206" s="411"/>
      <c r="O206" s="411"/>
      <c r="P206" s="411"/>
      <c r="Q206" s="411"/>
      <c r="R206" s="411"/>
      <c r="S206" s="411"/>
      <c r="T206" s="411"/>
      <c r="U206" s="411"/>
      <c r="V206" s="411"/>
      <c r="W206" s="411"/>
      <c r="X206" s="411"/>
      <c r="Y206" s="411"/>
      <c r="Z206" s="411"/>
      <c r="AA206" s="411"/>
      <c r="AB206" s="411"/>
      <c r="AC206" s="411"/>
      <c r="AD206" s="411"/>
      <c r="AF206" s="411"/>
      <c r="AG206" s="411"/>
    </row>
    <row r="207" spans="2:33" x14ac:dyDescent="0.35">
      <c r="B207" s="151"/>
      <c r="C207" s="143"/>
      <c r="D207" s="143"/>
      <c r="E207" s="411"/>
      <c r="F207" s="411"/>
      <c r="G207" s="411"/>
      <c r="H207" s="411"/>
      <c r="I207" s="411"/>
      <c r="J207" s="411"/>
      <c r="K207" s="411"/>
      <c r="L207" s="411"/>
      <c r="M207" s="411"/>
      <c r="N207" s="411"/>
      <c r="O207" s="411"/>
      <c r="P207" s="411"/>
      <c r="Q207" s="411"/>
      <c r="R207" s="411"/>
      <c r="S207" s="411"/>
      <c r="T207" s="411"/>
      <c r="U207" s="411"/>
      <c r="V207" s="411"/>
      <c r="W207" s="411"/>
      <c r="X207" s="411"/>
      <c r="Y207" s="411"/>
      <c r="Z207" s="411"/>
      <c r="AA207" s="411"/>
      <c r="AB207" s="411"/>
      <c r="AC207" s="411"/>
      <c r="AD207" s="411"/>
      <c r="AF207" s="411"/>
      <c r="AG207" s="411"/>
    </row>
    <row r="208" spans="2:33" x14ac:dyDescent="0.35">
      <c r="B208" s="151"/>
      <c r="C208" s="143"/>
      <c r="D208" s="143"/>
      <c r="E208" s="411"/>
      <c r="F208" s="411"/>
      <c r="G208" s="411"/>
      <c r="H208" s="411"/>
      <c r="I208" s="411"/>
      <c r="J208" s="411"/>
      <c r="K208" s="411"/>
      <c r="L208" s="411"/>
      <c r="M208" s="411"/>
      <c r="N208" s="411"/>
      <c r="O208" s="411"/>
      <c r="P208" s="411"/>
      <c r="Q208" s="411"/>
      <c r="R208" s="411"/>
      <c r="S208" s="411"/>
      <c r="T208" s="411"/>
      <c r="U208" s="411"/>
      <c r="V208" s="411"/>
      <c r="W208" s="411"/>
      <c r="X208" s="411"/>
      <c r="Y208" s="411"/>
      <c r="Z208" s="411"/>
      <c r="AA208" s="411"/>
      <c r="AB208" s="411"/>
      <c r="AC208" s="411"/>
      <c r="AD208" s="411"/>
      <c r="AF208" s="411"/>
      <c r="AG208" s="411"/>
    </row>
    <row r="209" spans="2:33" x14ac:dyDescent="0.35">
      <c r="B209" s="151"/>
      <c r="C209" s="143"/>
      <c r="D209" s="143"/>
      <c r="E209" s="411"/>
      <c r="F209" s="411"/>
      <c r="G209" s="411"/>
      <c r="H209" s="411"/>
      <c r="I209" s="411"/>
      <c r="J209" s="411"/>
      <c r="K209" s="411"/>
      <c r="L209" s="411"/>
      <c r="M209" s="411"/>
      <c r="N209" s="411"/>
      <c r="O209" s="411"/>
      <c r="P209" s="411"/>
      <c r="Q209" s="411"/>
      <c r="R209" s="411"/>
      <c r="S209" s="411"/>
      <c r="T209" s="411"/>
      <c r="U209" s="411"/>
      <c r="V209" s="411"/>
      <c r="W209" s="411"/>
      <c r="X209" s="411"/>
      <c r="Y209" s="411"/>
      <c r="Z209" s="411"/>
      <c r="AA209" s="411"/>
      <c r="AB209" s="411"/>
      <c r="AC209" s="411"/>
      <c r="AD209" s="411"/>
      <c r="AF209" s="411"/>
      <c r="AG209" s="411"/>
    </row>
    <row r="210" spans="2:33" x14ac:dyDescent="0.35">
      <c r="B210" s="151"/>
      <c r="C210" s="143"/>
      <c r="D210" s="143"/>
      <c r="E210" s="411"/>
      <c r="F210" s="411"/>
      <c r="G210" s="411"/>
      <c r="H210" s="411"/>
      <c r="I210" s="411"/>
      <c r="J210" s="411"/>
      <c r="K210" s="411"/>
      <c r="L210" s="411"/>
      <c r="M210" s="411"/>
      <c r="N210" s="411"/>
      <c r="O210" s="411"/>
      <c r="P210" s="411"/>
      <c r="Q210" s="411"/>
      <c r="R210" s="411"/>
      <c r="S210" s="411"/>
      <c r="T210" s="411"/>
      <c r="U210" s="411"/>
      <c r="V210" s="411"/>
      <c r="W210" s="411"/>
      <c r="X210" s="411"/>
      <c r="Y210" s="411"/>
      <c r="Z210" s="411"/>
      <c r="AA210" s="411"/>
      <c r="AB210" s="411"/>
      <c r="AC210" s="411"/>
      <c r="AD210" s="411"/>
      <c r="AF210" s="411"/>
      <c r="AG210" s="411"/>
    </row>
    <row r="211" spans="2:33" x14ac:dyDescent="0.35">
      <c r="B211" s="151"/>
      <c r="C211" s="143"/>
      <c r="D211" s="143"/>
      <c r="E211" s="411"/>
      <c r="F211" s="411"/>
      <c r="G211" s="411"/>
      <c r="H211" s="411"/>
      <c r="I211" s="411"/>
      <c r="J211" s="411"/>
      <c r="K211" s="411"/>
      <c r="L211" s="411"/>
      <c r="M211" s="411"/>
      <c r="N211" s="411"/>
      <c r="O211" s="411"/>
      <c r="P211" s="411"/>
      <c r="Q211" s="411"/>
      <c r="R211" s="411"/>
      <c r="S211" s="411"/>
      <c r="T211" s="411"/>
      <c r="U211" s="411"/>
      <c r="V211" s="411"/>
      <c r="W211" s="411"/>
      <c r="X211" s="411"/>
      <c r="Y211" s="411"/>
      <c r="Z211" s="411"/>
      <c r="AA211" s="411"/>
      <c r="AB211" s="411"/>
      <c r="AC211" s="411"/>
      <c r="AD211" s="411"/>
      <c r="AF211" s="411"/>
      <c r="AG211" s="411"/>
    </row>
    <row r="212" spans="2:33" x14ac:dyDescent="0.35">
      <c r="B212" s="151"/>
      <c r="C212" s="143"/>
      <c r="D212" s="143"/>
      <c r="E212" s="411"/>
      <c r="F212" s="411"/>
      <c r="G212" s="411"/>
      <c r="H212" s="411"/>
      <c r="I212" s="411"/>
      <c r="J212" s="411"/>
      <c r="K212" s="411"/>
      <c r="L212" s="411"/>
      <c r="M212" s="411"/>
      <c r="N212" s="411"/>
      <c r="O212" s="411"/>
      <c r="P212" s="411"/>
      <c r="Q212" s="411"/>
      <c r="R212" s="411"/>
      <c r="S212" s="411"/>
      <c r="T212" s="411"/>
      <c r="U212" s="411"/>
      <c r="V212" s="411"/>
      <c r="W212" s="411"/>
      <c r="X212" s="411"/>
      <c r="Y212" s="411"/>
      <c r="Z212" s="411"/>
      <c r="AA212" s="411"/>
      <c r="AB212" s="411"/>
      <c r="AC212" s="411"/>
      <c r="AD212" s="411"/>
      <c r="AF212" s="411"/>
      <c r="AG212" s="411"/>
    </row>
    <row r="213" spans="2:33" x14ac:dyDescent="0.35">
      <c r="B213" s="151"/>
      <c r="C213" s="143"/>
      <c r="D213" s="143"/>
      <c r="E213" s="411"/>
      <c r="F213" s="411"/>
      <c r="G213" s="411"/>
      <c r="H213" s="411"/>
      <c r="I213" s="411"/>
      <c r="J213" s="411"/>
      <c r="K213" s="411"/>
      <c r="L213" s="411"/>
      <c r="M213" s="411"/>
      <c r="N213" s="411"/>
      <c r="O213" s="411"/>
      <c r="P213" s="411"/>
      <c r="Q213" s="411"/>
      <c r="R213" s="411"/>
      <c r="S213" s="411"/>
      <c r="T213" s="411"/>
      <c r="U213" s="411"/>
      <c r="V213" s="411"/>
      <c r="W213" s="411"/>
      <c r="X213" s="411"/>
      <c r="Y213" s="411"/>
      <c r="Z213" s="411"/>
      <c r="AA213" s="411"/>
      <c r="AB213" s="411"/>
      <c r="AC213" s="411"/>
      <c r="AD213" s="411"/>
      <c r="AF213" s="411"/>
      <c r="AG213" s="411"/>
    </row>
    <row r="214" spans="2:33" x14ac:dyDescent="0.35">
      <c r="B214" s="151"/>
      <c r="C214" s="143"/>
      <c r="D214" s="143"/>
      <c r="E214" s="411"/>
      <c r="F214" s="411"/>
      <c r="G214" s="411"/>
      <c r="H214" s="411"/>
      <c r="I214" s="411"/>
      <c r="J214" s="411"/>
      <c r="K214" s="411"/>
      <c r="L214" s="411"/>
      <c r="M214" s="411"/>
      <c r="N214" s="411"/>
      <c r="O214" s="411"/>
      <c r="P214" s="411"/>
      <c r="Q214" s="411"/>
      <c r="R214" s="411"/>
      <c r="S214" s="411"/>
      <c r="T214" s="411"/>
      <c r="U214" s="411"/>
      <c r="V214" s="411"/>
      <c r="W214" s="411"/>
      <c r="X214" s="411"/>
      <c r="Y214" s="411"/>
      <c r="Z214" s="411"/>
      <c r="AA214" s="411"/>
      <c r="AB214" s="411"/>
      <c r="AC214" s="411"/>
      <c r="AD214" s="411"/>
      <c r="AF214" s="411"/>
      <c r="AG214" s="411"/>
    </row>
    <row r="215" spans="2:33" x14ac:dyDescent="0.35">
      <c r="B215" s="151"/>
      <c r="C215" s="143"/>
      <c r="D215" s="143"/>
      <c r="E215" s="411"/>
      <c r="F215" s="411"/>
      <c r="G215" s="411"/>
      <c r="H215" s="411"/>
      <c r="I215" s="411"/>
      <c r="J215" s="411"/>
      <c r="K215" s="411"/>
      <c r="L215" s="411"/>
      <c r="M215" s="411"/>
      <c r="N215" s="411"/>
      <c r="O215" s="411"/>
      <c r="P215" s="411"/>
      <c r="Q215" s="411"/>
      <c r="R215" s="411"/>
      <c r="S215" s="411"/>
      <c r="T215" s="411"/>
      <c r="U215" s="411"/>
      <c r="V215" s="411"/>
      <c r="W215" s="411"/>
      <c r="X215" s="411"/>
      <c r="Y215" s="411"/>
      <c r="Z215" s="411"/>
      <c r="AA215" s="411"/>
      <c r="AB215" s="411"/>
      <c r="AC215" s="411"/>
      <c r="AD215" s="411"/>
      <c r="AF215" s="411"/>
      <c r="AG215" s="411"/>
    </row>
    <row r="216" spans="2:33" x14ac:dyDescent="0.35">
      <c r="B216" s="151"/>
      <c r="C216" s="143"/>
      <c r="D216" s="143"/>
      <c r="E216" s="411"/>
      <c r="F216" s="411"/>
      <c r="G216" s="411"/>
      <c r="H216" s="411"/>
      <c r="I216" s="411"/>
      <c r="J216" s="411"/>
      <c r="K216" s="411"/>
      <c r="L216" s="411"/>
      <c r="M216" s="411"/>
      <c r="N216" s="411"/>
      <c r="O216" s="411"/>
      <c r="P216" s="411"/>
      <c r="Q216" s="411"/>
      <c r="R216" s="411"/>
      <c r="S216" s="411"/>
      <c r="T216" s="411"/>
      <c r="U216" s="411"/>
      <c r="V216" s="411"/>
      <c r="W216" s="411"/>
      <c r="X216" s="411"/>
      <c r="Y216" s="411"/>
      <c r="Z216" s="411"/>
      <c r="AA216" s="411"/>
      <c r="AB216" s="411"/>
      <c r="AC216" s="411"/>
      <c r="AD216" s="411"/>
      <c r="AF216" s="411"/>
      <c r="AG216" s="411"/>
    </row>
    <row r="217" spans="2:33" x14ac:dyDescent="0.35">
      <c r="B217" s="151"/>
      <c r="C217" s="143"/>
      <c r="D217" s="143"/>
      <c r="E217" s="411"/>
      <c r="F217" s="411"/>
      <c r="G217" s="411"/>
      <c r="H217" s="411"/>
      <c r="I217" s="411"/>
      <c r="J217" s="411"/>
      <c r="K217" s="411"/>
      <c r="L217" s="411"/>
      <c r="M217" s="411"/>
      <c r="N217" s="411"/>
      <c r="O217" s="411"/>
      <c r="P217" s="411"/>
      <c r="Q217" s="411"/>
      <c r="R217" s="411"/>
      <c r="S217" s="411"/>
      <c r="T217" s="411"/>
      <c r="U217" s="411"/>
      <c r="V217" s="411"/>
      <c r="W217" s="411"/>
      <c r="X217" s="411"/>
      <c r="Y217" s="411"/>
      <c r="Z217" s="411"/>
      <c r="AA217" s="411"/>
      <c r="AB217" s="411"/>
      <c r="AC217" s="411"/>
      <c r="AD217" s="411"/>
      <c r="AF217" s="411"/>
      <c r="AG217" s="411"/>
    </row>
    <row r="218" spans="2:33" x14ac:dyDescent="0.35">
      <c r="B218" s="151"/>
      <c r="C218" s="143"/>
      <c r="D218" s="143"/>
      <c r="E218" s="411"/>
      <c r="F218" s="411"/>
      <c r="G218" s="411"/>
      <c r="H218" s="411"/>
      <c r="I218" s="411"/>
      <c r="J218" s="411"/>
      <c r="K218" s="411"/>
      <c r="L218" s="411"/>
      <c r="M218" s="411"/>
      <c r="N218" s="411"/>
      <c r="O218" s="411"/>
      <c r="P218" s="411"/>
      <c r="Q218" s="411"/>
      <c r="R218" s="411"/>
      <c r="S218" s="411"/>
      <c r="T218" s="411"/>
      <c r="U218" s="411"/>
      <c r="V218" s="411"/>
      <c r="W218" s="411"/>
      <c r="X218" s="411"/>
      <c r="Y218" s="411"/>
      <c r="Z218" s="411"/>
      <c r="AA218" s="411"/>
      <c r="AB218" s="411"/>
      <c r="AC218" s="411"/>
      <c r="AD218" s="411"/>
      <c r="AF218" s="411"/>
      <c r="AG218" s="411"/>
    </row>
    <row r="219" spans="2:33" x14ac:dyDescent="0.35">
      <c r="B219" s="151"/>
      <c r="C219" s="143"/>
      <c r="D219" s="143"/>
      <c r="E219" s="411"/>
      <c r="F219" s="411"/>
      <c r="G219" s="411"/>
      <c r="H219" s="411"/>
      <c r="I219" s="411"/>
      <c r="J219" s="411"/>
      <c r="K219" s="411"/>
      <c r="L219" s="411"/>
      <c r="M219" s="411"/>
      <c r="N219" s="411"/>
      <c r="O219" s="411"/>
      <c r="P219" s="411"/>
      <c r="Q219" s="411"/>
      <c r="R219" s="411"/>
      <c r="S219" s="411"/>
      <c r="T219" s="411"/>
      <c r="U219" s="411"/>
      <c r="V219" s="411"/>
      <c r="W219" s="411"/>
      <c r="X219" s="411"/>
      <c r="Y219" s="411"/>
      <c r="Z219" s="411"/>
      <c r="AA219" s="411"/>
      <c r="AB219" s="411"/>
      <c r="AC219" s="411"/>
      <c r="AD219" s="411"/>
      <c r="AF219" s="411"/>
      <c r="AG219" s="411"/>
    </row>
    <row r="220" spans="2:33" x14ac:dyDescent="0.35">
      <c r="B220" s="151"/>
      <c r="C220" s="143"/>
      <c r="D220" s="143"/>
      <c r="E220" s="411"/>
      <c r="F220" s="411"/>
      <c r="G220" s="411"/>
      <c r="H220" s="411"/>
      <c r="I220" s="411"/>
      <c r="J220" s="411"/>
      <c r="K220" s="411"/>
      <c r="L220" s="411"/>
      <c r="M220" s="411"/>
      <c r="N220" s="411"/>
      <c r="O220" s="411"/>
      <c r="P220" s="411"/>
      <c r="Q220" s="411"/>
      <c r="R220" s="411"/>
      <c r="S220" s="411"/>
      <c r="T220" s="411"/>
      <c r="U220" s="411"/>
      <c r="V220" s="411"/>
      <c r="W220" s="411"/>
      <c r="X220" s="411"/>
      <c r="Y220" s="411"/>
      <c r="Z220" s="411"/>
      <c r="AA220" s="411"/>
      <c r="AB220" s="411"/>
      <c r="AC220" s="411"/>
      <c r="AD220" s="411"/>
      <c r="AF220" s="411"/>
      <c r="AG220" s="411"/>
    </row>
    <row r="221" spans="2:33" x14ac:dyDescent="0.35">
      <c r="B221" s="151"/>
      <c r="C221" s="143"/>
      <c r="D221" s="143"/>
      <c r="E221" s="411"/>
      <c r="F221" s="411"/>
      <c r="G221" s="411"/>
      <c r="H221" s="411"/>
      <c r="I221" s="411"/>
      <c r="J221" s="411"/>
      <c r="K221" s="411"/>
      <c r="L221" s="411"/>
      <c r="M221" s="411"/>
      <c r="N221" s="411"/>
      <c r="O221" s="411"/>
      <c r="P221" s="411"/>
      <c r="Q221" s="411"/>
      <c r="R221" s="411"/>
      <c r="S221" s="411"/>
      <c r="T221" s="411"/>
      <c r="U221" s="411"/>
      <c r="V221" s="411"/>
      <c r="W221" s="411"/>
      <c r="X221" s="411"/>
      <c r="Y221" s="411"/>
      <c r="Z221" s="411"/>
      <c r="AA221" s="411"/>
      <c r="AB221" s="411"/>
      <c r="AC221" s="411"/>
      <c r="AD221" s="411"/>
      <c r="AF221" s="411"/>
      <c r="AG221" s="411"/>
    </row>
    <row r="222" spans="2:33" x14ac:dyDescent="0.35">
      <c r="B222" s="151"/>
      <c r="C222" s="143"/>
      <c r="D222" s="143"/>
      <c r="E222" s="411"/>
      <c r="F222" s="411"/>
      <c r="G222" s="411"/>
      <c r="H222" s="411"/>
      <c r="I222" s="411"/>
      <c r="J222" s="411"/>
      <c r="K222" s="411"/>
      <c r="L222" s="411"/>
      <c r="M222" s="411"/>
      <c r="N222" s="411"/>
      <c r="O222" s="411"/>
      <c r="P222" s="411"/>
      <c r="Q222" s="411"/>
      <c r="R222" s="411"/>
      <c r="S222" s="411"/>
      <c r="T222" s="411"/>
      <c r="U222" s="411"/>
      <c r="V222" s="411"/>
      <c r="W222" s="411"/>
      <c r="X222" s="411"/>
      <c r="Y222" s="411"/>
      <c r="Z222" s="411"/>
      <c r="AA222" s="411"/>
      <c r="AB222" s="411"/>
      <c r="AC222" s="411"/>
      <c r="AD222" s="411"/>
      <c r="AF222" s="411"/>
      <c r="AG222" s="411"/>
    </row>
    <row r="223" spans="2:33" x14ac:dyDescent="0.35">
      <c r="B223" s="151"/>
      <c r="C223" s="143"/>
      <c r="D223" s="143"/>
      <c r="E223" s="411"/>
      <c r="F223" s="411"/>
      <c r="G223" s="411"/>
      <c r="H223" s="411"/>
      <c r="I223" s="411"/>
      <c r="J223" s="411"/>
      <c r="K223" s="411"/>
      <c r="L223" s="411"/>
      <c r="M223" s="411"/>
      <c r="N223" s="411"/>
      <c r="O223" s="411"/>
      <c r="P223" s="411"/>
      <c r="Q223" s="411"/>
      <c r="R223" s="411"/>
      <c r="S223" s="411"/>
      <c r="T223" s="411"/>
      <c r="U223" s="411"/>
      <c r="V223" s="411"/>
      <c r="W223" s="411"/>
      <c r="X223" s="411"/>
      <c r="Y223" s="411"/>
      <c r="Z223" s="411"/>
      <c r="AA223" s="411"/>
      <c r="AB223" s="411"/>
      <c r="AC223" s="411"/>
      <c r="AD223" s="411"/>
      <c r="AF223" s="411"/>
      <c r="AG223" s="411"/>
    </row>
    <row r="224" spans="2:33" x14ac:dyDescent="0.35">
      <c r="B224" s="151"/>
      <c r="C224" s="143"/>
      <c r="D224" s="143"/>
      <c r="E224" s="411"/>
      <c r="F224" s="411"/>
      <c r="G224" s="411"/>
      <c r="H224" s="411"/>
      <c r="I224" s="411"/>
      <c r="J224" s="411"/>
      <c r="K224" s="411"/>
      <c r="L224" s="411"/>
      <c r="M224" s="411"/>
      <c r="N224" s="411"/>
      <c r="O224" s="411"/>
      <c r="P224" s="411"/>
      <c r="Q224" s="411"/>
      <c r="R224" s="411"/>
      <c r="S224" s="411"/>
      <c r="T224" s="411"/>
      <c r="U224" s="411"/>
      <c r="V224" s="411"/>
      <c r="W224" s="411"/>
      <c r="X224" s="411"/>
      <c r="Y224" s="411"/>
      <c r="Z224" s="411"/>
      <c r="AA224" s="411"/>
      <c r="AB224" s="411"/>
      <c r="AC224" s="411"/>
      <c r="AD224" s="411"/>
      <c r="AF224" s="411"/>
      <c r="AG224" s="411"/>
    </row>
    <row r="225" spans="2:33" x14ac:dyDescent="0.35">
      <c r="B225" s="151"/>
      <c r="C225" s="143"/>
      <c r="D225" s="143"/>
      <c r="E225" s="411"/>
      <c r="F225" s="411"/>
      <c r="G225" s="411"/>
      <c r="H225" s="411"/>
      <c r="I225" s="411"/>
      <c r="J225" s="411"/>
      <c r="K225" s="411"/>
      <c r="L225" s="411"/>
      <c r="M225" s="411"/>
      <c r="N225" s="411"/>
      <c r="O225" s="411"/>
      <c r="P225" s="411"/>
      <c r="Q225" s="411"/>
      <c r="R225" s="411"/>
      <c r="S225" s="411"/>
      <c r="T225" s="411"/>
      <c r="U225" s="411"/>
      <c r="V225" s="411"/>
      <c r="W225" s="411"/>
      <c r="X225" s="411"/>
      <c r="Y225" s="411"/>
      <c r="Z225" s="411"/>
      <c r="AA225" s="411"/>
      <c r="AB225" s="411"/>
      <c r="AC225" s="411"/>
      <c r="AD225" s="411"/>
      <c r="AF225" s="411"/>
      <c r="AG225" s="411"/>
    </row>
    <row r="226" spans="2:33" x14ac:dyDescent="0.35">
      <c r="B226" s="151"/>
      <c r="C226" s="143"/>
      <c r="D226" s="143"/>
      <c r="E226" s="411"/>
      <c r="F226" s="411"/>
      <c r="G226" s="411"/>
      <c r="H226" s="411"/>
      <c r="I226" s="411"/>
      <c r="J226" s="411"/>
      <c r="K226" s="411"/>
      <c r="L226" s="411"/>
      <c r="M226" s="411"/>
      <c r="N226" s="411"/>
      <c r="O226" s="411"/>
      <c r="P226" s="411"/>
      <c r="Q226" s="411"/>
      <c r="R226" s="411"/>
      <c r="S226" s="411"/>
      <c r="T226" s="411"/>
      <c r="U226" s="411"/>
      <c r="V226" s="411"/>
      <c r="W226" s="411"/>
      <c r="X226" s="411"/>
      <c r="Y226" s="411"/>
      <c r="Z226" s="411"/>
      <c r="AA226" s="411"/>
      <c r="AB226" s="411"/>
      <c r="AC226" s="411"/>
      <c r="AD226" s="411"/>
      <c r="AF226" s="411"/>
      <c r="AG226" s="411"/>
    </row>
    <row r="227" spans="2:33" x14ac:dyDescent="0.35">
      <c r="B227" s="151"/>
      <c r="C227" s="143"/>
      <c r="D227" s="143"/>
      <c r="E227" s="411"/>
      <c r="F227" s="411"/>
      <c r="G227" s="411"/>
      <c r="H227" s="411"/>
      <c r="I227" s="411"/>
      <c r="J227" s="411"/>
      <c r="K227" s="411"/>
      <c r="L227" s="411"/>
      <c r="M227" s="411"/>
      <c r="N227" s="411"/>
      <c r="O227" s="411"/>
      <c r="P227" s="411"/>
      <c r="Q227" s="411"/>
      <c r="R227" s="411"/>
      <c r="S227" s="411"/>
      <c r="T227" s="411"/>
      <c r="U227" s="411"/>
      <c r="V227" s="411"/>
      <c r="W227" s="411"/>
      <c r="X227" s="411"/>
      <c r="Y227" s="411"/>
      <c r="Z227" s="411"/>
      <c r="AA227" s="411"/>
      <c r="AB227" s="411"/>
      <c r="AC227" s="411"/>
      <c r="AD227" s="411"/>
      <c r="AF227" s="411"/>
      <c r="AG227" s="411"/>
    </row>
    <row r="228" spans="2:33" x14ac:dyDescent="0.35">
      <c r="B228" s="151"/>
      <c r="C228" s="143"/>
      <c r="D228" s="143"/>
      <c r="E228" s="411"/>
      <c r="F228" s="411"/>
      <c r="G228" s="411"/>
      <c r="H228" s="411"/>
      <c r="I228" s="411"/>
      <c r="J228" s="411"/>
      <c r="K228" s="411"/>
      <c r="L228" s="411"/>
      <c r="M228" s="411"/>
      <c r="N228" s="411"/>
      <c r="O228" s="411"/>
      <c r="P228" s="411"/>
      <c r="Q228" s="411"/>
      <c r="R228" s="411"/>
      <c r="S228" s="411"/>
      <c r="T228" s="411"/>
      <c r="U228" s="411"/>
      <c r="V228" s="411"/>
      <c r="W228" s="411"/>
      <c r="X228" s="411"/>
      <c r="Y228" s="411"/>
      <c r="Z228" s="411"/>
      <c r="AA228" s="411"/>
      <c r="AB228" s="411"/>
      <c r="AC228" s="411"/>
      <c r="AD228" s="411"/>
      <c r="AF228" s="411"/>
      <c r="AG228" s="411"/>
    </row>
    <row r="229" spans="2:33" x14ac:dyDescent="0.35">
      <c r="B229" s="151"/>
      <c r="C229" s="143"/>
      <c r="D229" s="143"/>
      <c r="E229" s="411"/>
      <c r="F229" s="411"/>
      <c r="G229" s="411"/>
      <c r="H229" s="411"/>
      <c r="I229" s="411"/>
      <c r="J229" s="411"/>
      <c r="K229" s="411"/>
      <c r="L229" s="411"/>
      <c r="M229" s="411"/>
      <c r="N229" s="411"/>
      <c r="O229" s="411"/>
      <c r="P229" s="411"/>
      <c r="Q229" s="411"/>
      <c r="R229" s="411"/>
      <c r="S229" s="411"/>
      <c r="T229" s="411"/>
      <c r="U229" s="411"/>
      <c r="V229" s="411"/>
      <c r="W229" s="411"/>
      <c r="X229" s="411"/>
      <c r="Y229" s="411"/>
      <c r="Z229" s="411"/>
      <c r="AA229" s="411"/>
      <c r="AB229" s="411"/>
      <c r="AC229" s="411"/>
      <c r="AD229" s="411"/>
      <c r="AF229" s="411"/>
      <c r="AG229" s="411"/>
    </row>
    <row r="230" spans="2:33" x14ac:dyDescent="0.35">
      <c r="B230" s="151"/>
      <c r="C230" s="143"/>
      <c r="D230" s="143"/>
      <c r="E230" s="411"/>
      <c r="F230" s="411"/>
      <c r="G230" s="411"/>
      <c r="H230" s="411"/>
      <c r="I230" s="411"/>
      <c r="J230" s="411"/>
      <c r="K230" s="411"/>
      <c r="L230" s="411"/>
      <c r="M230" s="411"/>
      <c r="N230" s="411"/>
      <c r="O230" s="411"/>
      <c r="P230" s="411"/>
      <c r="Q230" s="411"/>
      <c r="R230" s="411"/>
      <c r="S230" s="411"/>
      <c r="T230" s="411"/>
      <c r="U230" s="411"/>
      <c r="V230" s="411"/>
      <c r="W230" s="411"/>
      <c r="X230" s="411"/>
      <c r="Y230" s="411"/>
      <c r="Z230" s="411"/>
      <c r="AA230" s="411"/>
      <c r="AB230" s="411"/>
      <c r="AC230" s="411"/>
      <c r="AD230" s="411"/>
      <c r="AF230" s="411"/>
      <c r="AG230" s="411"/>
    </row>
    <row r="231" spans="2:33" x14ac:dyDescent="0.35">
      <c r="B231" s="151"/>
      <c r="C231" s="143"/>
      <c r="D231" s="143"/>
      <c r="E231" s="411"/>
      <c r="F231" s="411"/>
      <c r="G231" s="411"/>
      <c r="H231" s="411"/>
      <c r="I231" s="411"/>
      <c r="J231" s="411"/>
      <c r="K231" s="411"/>
      <c r="L231" s="411"/>
      <c r="M231" s="411"/>
      <c r="N231" s="411"/>
      <c r="O231" s="411"/>
      <c r="P231" s="411"/>
      <c r="Q231" s="411"/>
      <c r="R231" s="411"/>
      <c r="S231" s="411"/>
      <c r="T231" s="411"/>
      <c r="U231" s="411"/>
      <c r="V231" s="411"/>
      <c r="W231" s="411"/>
      <c r="X231" s="411"/>
      <c r="Y231" s="411"/>
      <c r="Z231" s="411"/>
      <c r="AA231" s="411"/>
      <c r="AB231" s="411"/>
      <c r="AC231" s="411"/>
      <c r="AD231" s="411"/>
      <c r="AF231" s="411"/>
      <c r="AG231" s="411"/>
    </row>
    <row r="232" spans="2:33" x14ac:dyDescent="0.35">
      <c r="B232" s="151"/>
      <c r="C232" s="143"/>
      <c r="D232" s="143"/>
      <c r="E232" s="411"/>
      <c r="F232" s="411"/>
      <c r="G232" s="411"/>
      <c r="H232" s="411"/>
      <c r="I232" s="411"/>
      <c r="J232" s="411"/>
      <c r="K232" s="411"/>
      <c r="L232" s="411"/>
      <c r="M232" s="411"/>
      <c r="N232" s="411"/>
      <c r="O232" s="411"/>
      <c r="P232" s="411"/>
      <c r="Q232" s="411"/>
      <c r="R232" s="411"/>
      <c r="S232" s="411"/>
      <c r="T232" s="411"/>
      <c r="U232" s="411"/>
      <c r="V232" s="411"/>
      <c r="W232" s="411"/>
      <c r="X232" s="411"/>
      <c r="Y232" s="411"/>
      <c r="Z232" s="411"/>
      <c r="AA232" s="411"/>
      <c r="AB232" s="411"/>
      <c r="AC232" s="411"/>
      <c r="AD232" s="411"/>
      <c r="AF232" s="411"/>
      <c r="AG232" s="411"/>
    </row>
    <row r="233" spans="2:33" x14ac:dyDescent="0.35">
      <c r="B233" s="151"/>
      <c r="C233" s="143"/>
      <c r="D233" s="143"/>
      <c r="E233" s="411"/>
      <c r="F233" s="411"/>
      <c r="G233" s="411"/>
      <c r="H233" s="411"/>
      <c r="I233" s="411"/>
      <c r="J233" s="411"/>
      <c r="K233" s="411"/>
      <c r="L233" s="411"/>
      <c r="M233" s="411"/>
      <c r="N233" s="411"/>
      <c r="O233" s="411"/>
      <c r="P233" s="411"/>
      <c r="Q233" s="411"/>
      <c r="R233" s="411"/>
      <c r="S233" s="411"/>
      <c r="T233" s="411"/>
      <c r="U233" s="411"/>
      <c r="V233" s="411"/>
      <c r="W233" s="411"/>
      <c r="X233" s="411"/>
      <c r="Y233" s="411"/>
      <c r="Z233" s="411"/>
      <c r="AA233" s="411"/>
      <c r="AB233" s="411"/>
      <c r="AC233" s="411"/>
      <c r="AD233" s="411"/>
      <c r="AF233" s="411"/>
      <c r="AG233" s="411"/>
    </row>
    <row r="234" spans="2:33" x14ac:dyDescent="0.35">
      <c r="B234" s="151"/>
      <c r="C234" s="143"/>
      <c r="D234" s="143"/>
      <c r="E234" s="411"/>
      <c r="F234" s="411"/>
      <c r="G234" s="411"/>
      <c r="H234" s="411"/>
      <c r="I234" s="411"/>
      <c r="J234" s="411"/>
      <c r="K234" s="411"/>
      <c r="L234" s="411"/>
      <c r="M234" s="411"/>
      <c r="N234" s="411"/>
      <c r="O234" s="411"/>
      <c r="P234" s="411"/>
      <c r="Q234" s="411"/>
      <c r="R234" s="411"/>
      <c r="S234" s="411"/>
      <c r="T234" s="411"/>
      <c r="U234" s="411"/>
      <c r="V234" s="411"/>
      <c r="W234" s="411"/>
      <c r="X234" s="411"/>
      <c r="Y234" s="411"/>
      <c r="Z234" s="411"/>
      <c r="AA234" s="411"/>
      <c r="AB234" s="411"/>
      <c r="AC234" s="411"/>
      <c r="AD234" s="411"/>
      <c r="AF234" s="411"/>
      <c r="AG234" s="411"/>
    </row>
    <row r="235" spans="2:33" x14ac:dyDescent="0.35">
      <c r="B235" s="151"/>
      <c r="C235" s="143"/>
      <c r="D235" s="143"/>
      <c r="E235" s="411"/>
      <c r="F235" s="411"/>
      <c r="G235" s="411"/>
      <c r="H235" s="411"/>
      <c r="I235" s="411"/>
      <c r="J235" s="411"/>
      <c r="K235" s="411"/>
      <c r="L235" s="411"/>
      <c r="M235" s="411"/>
      <c r="N235" s="411"/>
      <c r="O235" s="411"/>
      <c r="P235" s="411"/>
      <c r="Q235" s="411"/>
      <c r="R235" s="411"/>
      <c r="S235" s="411"/>
      <c r="T235" s="411"/>
      <c r="U235" s="411"/>
      <c r="V235" s="411"/>
      <c r="W235" s="411"/>
      <c r="X235" s="411"/>
      <c r="Y235" s="411"/>
      <c r="Z235" s="411"/>
      <c r="AA235" s="411"/>
      <c r="AB235" s="411"/>
      <c r="AC235" s="411"/>
      <c r="AD235" s="411"/>
      <c r="AF235" s="411"/>
      <c r="AG235" s="411"/>
    </row>
    <row r="236" spans="2:33" x14ac:dyDescent="0.35">
      <c r="B236" s="151"/>
      <c r="C236" s="143"/>
      <c r="D236" s="143"/>
      <c r="E236" s="411"/>
      <c r="F236" s="411"/>
      <c r="G236" s="411"/>
      <c r="H236" s="411"/>
      <c r="I236" s="411"/>
      <c r="J236" s="411"/>
      <c r="K236" s="411"/>
      <c r="L236" s="411"/>
      <c r="M236" s="411"/>
      <c r="N236" s="411"/>
      <c r="O236" s="411"/>
      <c r="P236" s="411"/>
      <c r="Q236" s="411"/>
      <c r="R236" s="411"/>
      <c r="S236" s="411"/>
      <c r="T236" s="411"/>
      <c r="U236" s="411"/>
      <c r="V236" s="411"/>
      <c r="W236" s="411"/>
      <c r="X236" s="411"/>
      <c r="Y236" s="411"/>
      <c r="Z236" s="411"/>
      <c r="AA236" s="411"/>
      <c r="AB236" s="411"/>
      <c r="AC236" s="411"/>
      <c r="AD236" s="411"/>
      <c r="AF236" s="411"/>
      <c r="AG236" s="411"/>
    </row>
    <row r="237" spans="2:33" x14ac:dyDescent="0.35">
      <c r="B237" s="151"/>
      <c r="C237" s="143"/>
      <c r="D237" s="143"/>
      <c r="E237" s="411"/>
      <c r="F237" s="411"/>
      <c r="G237" s="411"/>
      <c r="H237" s="411"/>
      <c r="I237" s="411"/>
      <c r="J237" s="411"/>
      <c r="K237" s="411"/>
      <c r="L237" s="411"/>
      <c r="M237" s="411"/>
      <c r="N237" s="411"/>
      <c r="O237" s="411"/>
      <c r="P237" s="411"/>
      <c r="Q237" s="411"/>
      <c r="R237" s="411"/>
      <c r="S237" s="411"/>
      <c r="T237" s="411"/>
      <c r="U237" s="411"/>
      <c r="V237" s="411"/>
      <c r="W237" s="411"/>
      <c r="X237" s="411"/>
      <c r="Y237" s="411"/>
      <c r="Z237" s="411"/>
      <c r="AA237" s="411"/>
      <c r="AB237" s="411"/>
      <c r="AC237" s="411"/>
      <c r="AD237" s="411"/>
      <c r="AF237" s="411"/>
      <c r="AG237" s="411"/>
    </row>
    <row r="238" spans="2:33" x14ac:dyDescent="0.35">
      <c r="B238" s="151"/>
      <c r="C238" s="143"/>
      <c r="D238" s="143"/>
      <c r="E238" s="411"/>
      <c r="F238" s="411"/>
      <c r="G238" s="411"/>
      <c r="H238" s="411"/>
      <c r="I238" s="411"/>
      <c r="J238" s="411"/>
      <c r="K238" s="411"/>
      <c r="L238" s="411"/>
      <c r="M238" s="411"/>
      <c r="N238" s="411"/>
      <c r="O238" s="411"/>
      <c r="P238" s="411"/>
      <c r="Q238" s="411"/>
      <c r="R238" s="411"/>
      <c r="S238" s="411"/>
      <c r="T238" s="411"/>
      <c r="U238" s="411"/>
      <c r="V238" s="411"/>
      <c r="W238" s="411"/>
      <c r="X238" s="411"/>
      <c r="Y238" s="411"/>
      <c r="Z238" s="411"/>
      <c r="AA238" s="411"/>
      <c r="AB238" s="411"/>
      <c r="AC238" s="411"/>
      <c r="AD238" s="411"/>
      <c r="AF238" s="411"/>
      <c r="AG238" s="411"/>
    </row>
    <row r="239" spans="2:33" x14ac:dyDescent="0.35">
      <c r="B239" s="151"/>
      <c r="C239" s="143"/>
      <c r="D239" s="143"/>
      <c r="E239" s="411"/>
      <c r="F239" s="411"/>
      <c r="G239" s="411"/>
      <c r="H239" s="411"/>
      <c r="I239" s="411"/>
      <c r="J239" s="411"/>
      <c r="K239" s="411"/>
      <c r="L239" s="411"/>
      <c r="M239" s="411"/>
      <c r="N239" s="411"/>
      <c r="O239" s="411"/>
      <c r="P239" s="411"/>
      <c r="Q239" s="411"/>
      <c r="R239" s="411"/>
      <c r="S239" s="411"/>
      <c r="T239" s="411"/>
      <c r="U239" s="411"/>
      <c r="V239" s="411"/>
      <c r="W239" s="411"/>
      <c r="X239" s="411"/>
      <c r="Y239" s="411"/>
      <c r="Z239" s="411"/>
      <c r="AA239" s="411"/>
      <c r="AB239" s="411"/>
      <c r="AC239" s="411"/>
      <c r="AD239" s="411"/>
      <c r="AF239" s="411"/>
      <c r="AG239" s="411"/>
    </row>
    <row r="240" spans="2:33" x14ac:dyDescent="0.35">
      <c r="B240" s="151"/>
      <c r="C240" s="143"/>
      <c r="D240" s="143"/>
      <c r="E240" s="411"/>
      <c r="F240" s="411"/>
      <c r="G240" s="411"/>
      <c r="H240" s="411"/>
      <c r="I240" s="411"/>
      <c r="J240" s="411"/>
      <c r="K240" s="411"/>
      <c r="L240" s="411"/>
      <c r="M240" s="411"/>
      <c r="N240" s="411"/>
      <c r="O240" s="411"/>
      <c r="P240" s="411"/>
      <c r="Q240" s="411"/>
      <c r="R240" s="411"/>
      <c r="S240" s="411"/>
      <c r="T240" s="411"/>
      <c r="U240" s="411"/>
      <c r="V240" s="411"/>
      <c r="W240" s="411"/>
      <c r="X240" s="411"/>
      <c r="Y240" s="411"/>
      <c r="Z240" s="411"/>
      <c r="AA240" s="411"/>
      <c r="AB240" s="411"/>
      <c r="AC240" s="411"/>
      <c r="AD240" s="411"/>
      <c r="AF240" s="411"/>
      <c r="AG240" s="411"/>
    </row>
    <row r="241" spans="2:33" x14ac:dyDescent="0.35">
      <c r="B241" s="151"/>
      <c r="C241" s="143"/>
      <c r="D241" s="143"/>
      <c r="E241" s="411"/>
      <c r="F241" s="411"/>
      <c r="G241" s="411"/>
      <c r="H241" s="411"/>
      <c r="I241" s="411"/>
      <c r="J241" s="411"/>
      <c r="K241" s="411"/>
      <c r="L241" s="411"/>
      <c r="M241" s="411"/>
      <c r="N241" s="411"/>
      <c r="O241" s="411"/>
      <c r="P241" s="411"/>
      <c r="Q241" s="411"/>
      <c r="R241" s="411"/>
      <c r="S241" s="411"/>
      <c r="T241" s="411"/>
      <c r="U241" s="411"/>
      <c r="V241" s="411"/>
      <c r="W241" s="411"/>
      <c r="X241" s="411"/>
      <c r="Y241" s="411"/>
      <c r="Z241" s="411"/>
      <c r="AA241" s="411"/>
      <c r="AB241" s="411"/>
      <c r="AC241" s="411"/>
      <c r="AD241" s="411"/>
      <c r="AF241" s="411"/>
      <c r="AG241" s="411"/>
    </row>
    <row r="242" spans="2:33" x14ac:dyDescent="0.35">
      <c r="B242" s="151"/>
      <c r="C242" s="143"/>
      <c r="D242" s="143"/>
      <c r="E242" s="411"/>
      <c r="F242" s="411"/>
      <c r="G242" s="411"/>
      <c r="H242" s="411"/>
      <c r="I242" s="411"/>
      <c r="J242" s="411"/>
      <c r="K242" s="411"/>
      <c r="L242" s="411"/>
      <c r="M242" s="411"/>
      <c r="N242" s="411"/>
      <c r="O242" s="411"/>
      <c r="P242" s="411"/>
      <c r="Q242" s="411"/>
      <c r="R242" s="411"/>
      <c r="S242" s="411"/>
      <c r="T242" s="411"/>
      <c r="U242" s="411"/>
      <c r="V242" s="411"/>
      <c r="W242" s="411"/>
      <c r="X242" s="411"/>
      <c r="Y242" s="411"/>
      <c r="Z242" s="411"/>
      <c r="AA242" s="411"/>
      <c r="AB242" s="411"/>
      <c r="AC242" s="411"/>
      <c r="AD242" s="411"/>
      <c r="AF242" s="411"/>
      <c r="AG242" s="411"/>
    </row>
    <row r="243" spans="2:33" x14ac:dyDescent="0.35">
      <c r="B243" s="151"/>
      <c r="C243" s="143"/>
      <c r="D243" s="143"/>
      <c r="E243" s="411"/>
      <c r="F243" s="411"/>
      <c r="G243" s="411"/>
      <c r="H243" s="411"/>
      <c r="I243" s="411"/>
      <c r="J243" s="411"/>
      <c r="K243" s="411"/>
      <c r="L243" s="411"/>
      <c r="M243" s="411"/>
      <c r="N243" s="411"/>
      <c r="O243" s="411"/>
      <c r="P243" s="411"/>
      <c r="Q243" s="411"/>
      <c r="R243" s="411"/>
      <c r="S243" s="411"/>
      <c r="T243" s="411"/>
      <c r="U243" s="411"/>
      <c r="V243" s="411"/>
      <c r="W243" s="411"/>
      <c r="X243" s="411"/>
      <c r="Y243" s="411"/>
      <c r="Z243" s="411"/>
      <c r="AA243" s="411"/>
      <c r="AB243" s="411"/>
      <c r="AC243" s="411"/>
      <c r="AD243" s="411"/>
      <c r="AF243" s="411"/>
      <c r="AG243" s="411"/>
    </row>
    <row r="244" spans="2:33" x14ac:dyDescent="0.35">
      <c r="B244" s="151"/>
      <c r="C244" s="143"/>
      <c r="D244" s="143"/>
      <c r="E244" s="411"/>
      <c r="F244" s="411"/>
      <c r="G244" s="411"/>
      <c r="H244" s="411"/>
      <c r="I244" s="411"/>
      <c r="J244" s="411"/>
      <c r="K244" s="411"/>
      <c r="L244" s="411"/>
      <c r="M244" s="411"/>
      <c r="N244" s="411"/>
      <c r="O244" s="411"/>
      <c r="P244" s="411"/>
      <c r="Q244" s="411"/>
      <c r="R244" s="411"/>
      <c r="S244" s="411"/>
      <c r="T244" s="411"/>
      <c r="U244" s="411"/>
      <c r="V244" s="411"/>
      <c r="W244" s="411"/>
      <c r="X244" s="411"/>
      <c r="Y244" s="411"/>
      <c r="Z244" s="411"/>
      <c r="AA244" s="411"/>
      <c r="AB244" s="411"/>
      <c r="AC244" s="411"/>
      <c r="AD244" s="411"/>
      <c r="AF244" s="411"/>
      <c r="AG244" s="411"/>
    </row>
    <row r="245" spans="2:33" x14ac:dyDescent="0.35">
      <c r="B245" s="151"/>
      <c r="C245" s="143"/>
      <c r="D245" s="143"/>
      <c r="E245" s="411"/>
      <c r="F245" s="411"/>
      <c r="G245" s="411"/>
      <c r="H245" s="411"/>
      <c r="I245" s="411"/>
      <c r="J245" s="411"/>
      <c r="K245" s="411"/>
      <c r="L245" s="411"/>
      <c r="M245" s="411"/>
      <c r="N245" s="411"/>
      <c r="O245" s="411"/>
      <c r="P245" s="411"/>
      <c r="Q245" s="411"/>
      <c r="R245" s="411"/>
      <c r="S245" s="411"/>
      <c r="T245" s="411"/>
      <c r="U245" s="411"/>
      <c r="V245" s="411"/>
      <c r="W245" s="411"/>
      <c r="X245" s="411"/>
      <c r="Y245" s="411"/>
      <c r="Z245" s="411"/>
      <c r="AA245" s="411"/>
      <c r="AB245" s="411"/>
      <c r="AC245" s="411"/>
      <c r="AD245" s="411"/>
      <c r="AF245" s="411"/>
      <c r="AG245" s="411"/>
    </row>
    <row r="246" spans="2:33" x14ac:dyDescent="0.35">
      <c r="B246" s="151"/>
      <c r="C246" s="143"/>
      <c r="D246" s="143"/>
      <c r="E246" s="411"/>
      <c r="F246" s="411"/>
      <c r="G246" s="411"/>
      <c r="H246" s="411"/>
      <c r="I246" s="411"/>
      <c r="J246" s="411"/>
      <c r="K246" s="411"/>
      <c r="L246" s="411"/>
      <c r="M246" s="411"/>
      <c r="N246" s="411"/>
      <c r="O246" s="411"/>
      <c r="P246" s="411"/>
      <c r="Q246" s="411"/>
      <c r="R246" s="411"/>
      <c r="S246" s="411"/>
      <c r="T246" s="411"/>
      <c r="U246" s="411"/>
      <c r="V246" s="411"/>
      <c r="W246" s="411"/>
      <c r="X246" s="411"/>
      <c r="Y246" s="411"/>
      <c r="Z246" s="411"/>
      <c r="AA246" s="411"/>
      <c r="AB246" s="411"/>
      <c r="AC246" s="411"/>
      <c r="AD246" s="411"/>
      <c r="AF246" s="411"/>
      <c r="AG246" s="411"/>
    </row>
    <row r="247" spans="2:33" x14ac:dyDescent="0.35">
      <c r="B247" s="151"/>
      <c r="C247" s="143"/>
      <c r="D247" s="143"/>
      <c r="E247" s="411"/>
      <c r="F247" s="411"/>
      <c r="G247" s="411"/>
      <c r="H247" s="411"/>
      <c r="I247" s="411"/>
      <c r="J247" s="411"/>
      <c r="K247" s="411"/>
      <c r="L247" s="411"/>
      <c r="M247" s="411"/>
      <c r="N247" s="411"/>
      <c r="O247" s="411"/>
      <c r="P247" s="411"/>
      <c r="Q247" s="411"/>
      <c r="R247" s="411"/>
      <c r="S247" s="411"/>
      <c r="T247" s="411"/>
      <c r="U247" s="411"/>
      <c r="V247" s="411"/>
      <c r="W247" s="411"/>
      <c r="X247" s="411"/>
      <c r="Y247" s="411"/>
      <c r="Z247" s="411"/>
      <c r="AA247" s="411"/>
      <c r="AB247" s="411"/>
      <c r="AC247" s="411"/>
      <c r="AD247" s="411"/>
      <c r="AF247" s="411"/>
      <c r="AG247" s="411"/>
    </row>
    <row r="248" spans="2:33" x14ac:dyDescent="0.35">
      <c r="B248" s="151"/>
      <c r="C248" s="143"/>
      <c r="D248" s="143"/>
      <c r="E248" s="411"/>
      <c r="F248" s="411"/>
      <c r="G248" s="411"/>
      <c r="H248" s="411"/>
      <c r="I248" s="411"/>
      <c r="J248" s="411"/>
      <c r="K248" s="411"/>
      <c r="L248" s="411"/>
      <c r="M248" s="411"/>
      <c r="N248" s="411"/>
      <c r="O248" s="411"/>
      <c r="P248" s="411"/>
      <c r="Q248" s="411"/>
      <c r="R248" s="411"/>
      <c r="S248" s="411"/>
      <c r="T248" s="411"/>
      <c r="U248" s="411"/>
      <c r="V248" s="411"/>
      <c r="W248" s="411"/>
      <c r="X248" s="411"/>
      <c r="Y248" s="411"/>
      <c r="Z248" s="411"/>
      <c r="AA248" s="411"/>
      <c r="AB248" s="411"/>
      <c r="AC248" s="411"/>
      <c r="AD248" s="411"/>
      <c r="AF248" s="411"/>
      <c r="AG248" s="411"/>
    </row>
    <row r="249" spans="2:33" x14ac:dyDescent="0.35">
      <c r="B249" s="151"/>
      <c r="C249" s="143"/>
      <c r="D249" s="143"/>
      <c r="E249" s="411"/>
      <c r="F249" s="411"/>
      <c r="G249" s="411"/>
      <c r="H249" s="411"/>
      <c r="I249" s="411"/>
      <c r="J249" s="411"/>
      <c r="K249" s="411"/>
      <c r="L249" s="411"/>
      <c r="M249" s="411"/>
      <c r="N249" s="411"/>
      <c r="O249" s="411"/>
      <c r="P249" s="411"/>
      <c r="Q249" s="411"/>
      <c r="R249" s="411"/>
      <c r="S249" s="411"/>
      <c r="T249" s="411"/>
      <c r="U249" s="411"/>
      <c r="V249" s="411"/>
      <c r="W249" s="411"/>
      <c r="X249" s="411"/>
      <c r="Y249" s="411"/>
      <c r="Z249" s="411"/>
      <c r="AA249" s="411"/>
      <c r="AB249" s="411"/>
      <c r="AC249" s="411"/>
      <c r="AD249" s="411"/>
      <c r="AF249" s="411"/>
      <c r="AG249" s="411"/>
    </row>
    <row r="250" spans="2:33" x14ac:dyDescent="0.35">
      <c r="B250" s="151"/>
      <c r="C250" s="143"/>
      <c r="D250" s="143"/>
      <c r="E250" s="411"/>
      <c r="F250" s="411"/>
      <c r="G250" s="411"/>
      <c r="H250" s="411"/>
      <c r="I250" s="411"/>
      <c r="J250" s="411"/>
      <c r="K250" s="411"/>
      <c r="L250" s="411"/>
      <c r="M250" s="411"/>
      <c r="N250" s="411"/>
      <c r="O250" s="411"/>
      <c r="P250" s="411"/>
      <c r="Q250" s="411"/>
      <c r="R250" s="411"/>
      <c r="S250" s="411"/>
      <c r="T250" s="411"/>
      <c r="U250" s="411"/>
      <c r="V250" s="411"/>
      <c r="W250" s="411"/>
      <c r="X250" s="411"/>
      <c r="Y250" s="411"/>
      <c r="Z250" s="411"/>
      <c r="AA250" s="411"/>
      <c r="AB250" s="411"/>
      <c r="AC250" s="411"/>
      <c r="AD250" s="411"/>
      <c r="AF250" s="411"/>
      <c r="AG250" s="411"/>
    </row>
    <row r="251" spans="2:33" x14ac:dyDescent="0.35">
      <c r="B251" s="151"/>
      <c r="C251" s="143"/>
      <c r="D251" s="143"/>
      <c r="E251" s="411"/>
      <c r="F251" s="411"/>
      <c r="G251" s="411"/>
      <c r="H251" s="411"/>
      <c r="I251" s="411"/>
      <c r="J251" s="411"/>
      <c r="K251" s="411"/>
      <c r="L251" s="411"/>
      <c r="M251" s="411"/>
      <c r="N251" s="411"/>
      <c r="O251" s="411"/>
      <c r="P251" s="411"/>
      <c r="Q251" s="411"/>
      <c r="R251" s="411"/>
      <c r="S251" s="411"/>
      <c r="T251" s="411"/>
      <c r="U251" s="411"/>
      <c r="V251" s="411"/>
      <c r="W251" s="411"/>
      <c r="X251" s="411"/>
      <c r="Y251" s="411"/>
      <c r="Z251" s="411"/>
      <c r="AA251" s="411"/>
      <c r="AB251" s="411"/>
      <c r="AC251" s="411"/>
      <c r="AD251" s="411"/>
      <c r="AF251" s="411"/>
      <c r="AG251" s="411"/>
    </row>
    <row r="252" spans="2:33" x14ac:dyDescent="0.35">
      <c r="B252" s="151"/>
      <c r="C252" s="143"/>
      <c r="D252" s="143"/>
      <c r="E252" s="411"/>
      <c r="F252" s="411"/>
      <c r="G252" s="411"/>
      <c r="H252" s="411"/>
      <c r="I252" s="411"/>
      <c r="J252" s="411"/>
      <c r="K252" s="411"/>
      <c r="L252" s="411"/>
      <c r="M252" s="411"/>
      <c r="N252" s="411"/>
      <c r="O252" s="411"/>
      <c r="P252" s="411"/>
      <c r="Q252" s="411"/>
      <c r="R252" s="411"/>
      <c r="S252" s="411"/>
      <c r="T252" s="411"/>
      <c r="U252" s="411"/>
      <c r="V252" s="411"/>
      <c r="W252" s="411"/>
      <c r="X252" s="411"/>
      <c r="Y252" s="411"/>
      <c r="Z252" s="411"/>
      <c r="AA252" s="411"/>
      <c r="AB252" s="411"/>
      <c r="AC252" s="411"/>
      <c r="AD252" s="411"/>
      <c r="AF252" s="411"/>
      <c r="AG252" s="411"/>
    </row>
    <row r="253" spans="2:33" x14ac:dyDescent="0.35">
      <c r="B253" s="151"/>
      <c r="C253" s="143"/>
      <c r="D253" s="143"/>
      <c r="E253" s="411"/>
      <c r="F253" s="411"/>
      <c r="G253" s="411"/>
      <c r="H253" s="411"/>
      <c r="I253" s="411"/>
      <c r="J253" s="411"/>
      <c r="K253" s="411"/>
      <c r="L253" s="411"/>
      <c r="M253" s="411"/>
      <c r="N253" s="411"/>
      <c r="O253" s="411"/>
      <c r="P253" s="411"/>
      <c r="Q253" s="411"/>
      <c r="R253" s="411"/>
      <c r="S253" s="411"/>
      <c r="T253" s="411"/>
      <c r="U253" s="411"/>
      <c r="V253" s="411"/>
      <c r="W253" s="411"/>
      <c r="X253" s="411"/>
      <c r="Y253" s="411"/>
      <c r="Z253" s="411"/>
      <c r="AA253" s="411"/>
      <c r="AB253" s="411"/>
      <c r="AC253" s="411"/>
      <c r="AD253" s="411"/>
      <c r="AF253" s="411"/>
      <c r="AG253" s="411"/>
    </row>
    <row r="254" spans="2:33" x14ac:dyDescent="0.35">
      <c r="B254" s="151"/>
      <c r="C254" s="143"/>
      <c r="D254" s="143"/>
      <c r="E254" s="411"/>
      <c r="F254" s="411"/>
      <c r="G254" s="411"/>
      <c r="H254" s="411"/>
      <c r="I254" s="411"/>
      <c r="J254" s="411"/>
      <c r="K254" s="411"/>
      <c r="L254" s="411"/>
      <c r="M254" s="411"/>
      <c r="N254" s="411"/>
      <c r="O254" s="411"/>
      <c r="P254" s="411"/>
      <c r="Q254" s="411"/>
      <c r="R254" s="411"/>
      <c r="S254" s="411"/>
      <c r="T254" s="411"/>
      <c r="U254" s="411"/>
      <c r="V254" s="411"/>
      <c r="W254" s="411"/>
      <c r="X254" s="411"/>
      <c r="Y254" s="411"/>
      <c r="Z254" s="411"/>
      <c r="AA254" s="411"/>
      <c r="AB254" s="411"/>
      <c r="AC254" s="411"/>
      <c r="AD254" s="411"/>
      <c r="AF254" s="411"/>
      <c r="AG254" s="411"/>
    </row>
    <row r="255" spans="2:33" x14ac:dyDescent="0.35">
      <c r="B255" s="151"/>
      <c r="C255" s="143"/>
      <c r="D255" s="143"/>
      <c r="E255" s="411"/>
      <c r="F255" s="411"/>
      <c r="G255" s="411"/>
      <c r="H255" s="411"/>
      <c r="I255" s="411"/>
      <c r="J255" s="411"/>
      <c r="K255" s="411"/>
      <c r="L255" s="411"/>
      <c r="M255" s="411"/>
      <c r="N255" s="411"/>
      <c r="O255" s="411"/>
      <c r="P255" s="411"/>
      <c r="Q255" s="411"/>
      <c r="R255" s="411"/>
      <c r="S255" s="411"/>
      <c r="T255" s="411"/>
      <c r="U255" s="411"/>
      <c r="V255" s="411"/>
      <c r="W255" s="411"/>
      <c r="X255" s="411"/>
      <c r="Y255" s="411"/>
      <c r="Z255" s="411"/>
      <c r="AA255" s="411"/>
      <c r="AB255" s="411"/>
      <c r="AC255" s="411"/>
      <c r="AD255" s="411"/>
      <c r="AF255" s="411"/>
      <c r="AG255" s="411"/>
    </row>
    <row r="256" spans="2:33" x14ac:dyDescent="0.35">
      <c r="B256" s="151"/>
      <c r="C256" s="143"/>
      <c r="D256" s="143"/>
      <c r="E256" s="411"/>
      <c r="F256" s="411"/>
      <c r="G256" s="411"/>
      <c r="H256" s="411"/>
      <c r="I256" s="411"/>
      <c r="J256" s="411"/>
      <c r="K256" s="411"/>
      <c r="L256" s="411"/>
      <c r="M256" s="411"/>
      <c r="N256" s="411"/>
      <c r="O256" s="411"/>
      <c r="P256" s="411"/>
      <c r="Q256" s="411"/>
      <c r="R256" s="411"/>
      <c r="S256" s="411"/>
      <c r="T256" s="411"/>
      <c r="U256" s="411"/>
      <c r="V256" s="411"/>
      <c r="W256" s="411"/>
      <c r="X256" s="411"/>
      <c r="Y256" s="411"/>
      <c r="Z256" s="411"/>
      <c r="AA256" s="411"/>
      <c r="AB256" s="411"/>
      <c r="AC256" s="411"/>
      <c r="AD256" s="411"/>
      <c r="AF256" s="411"/>
      <c r="AG256" s="411"/>
    </row>
    <row r="257" spans="2:33" x14ac:dyDescent="0.35">
      <c r="B257" s="151"/>
      <c r="C257" s="143"/>
      <c r="D257" s="143"/>
      <c r="E257" s="411"/>
      <c r="F257" s="411"/>
      <c r="G257" s="411"/>
      <c r="H257" s="411"/>
      <c r="I257" s="411"/>
      <c r="J257" s="411"/>
      <c r="K257" s="411"/>
      <c r="L257" s="411"/>
      <c r="M257" s="411"/>
      <c r="N257" s="411"/>
      <c r="O257" s="411"/>
      <c r="P257" s="411"/>
      <c r="Q257" s="411"/>
      <c r="R257" s="411"/>
      <c r="S257" s="411"/>
      <c r="T257" s="411"/>
      <c r="U257" s="411"/>
      <c r="V257" s="411"/>
      <c r="W257" s="411"/>
      <c r="X257" s="411"/>
      <c r="Y257" s="411"/>
      <c r="Z257" s="411"/>
      <c r="AA257" s="411"/>
      <c r="AB257" s="411"/>
      <c r="AC257" s="411"/>
      <c r="AD257" s="411"/>
      <c r="AF257" s="411"/>
      <c r="AG257" s="411"/>
    </row>
    <row r="258" spans="2:33" x14ac:dyDescent="0.35">
      <c r="B258" s="151"/>
      <c r="C258" s="143"/>
      <c r="D258" s="143"/>
      <c r="E258" s="411"/>
      <c r="F258" s="411"/>
      <c r="G258" s="411"/>
      <c r="H258" s="411"/>
      <c r="I258" s="411"/>
      <c r="J258" s="411"/>
      <c r="K258" s="411"/>
      <c r="L258" s="411"/>
      <c r="M258" s="411"/>
      <c r="N258" s="411"/>
      <c r="O258" s="411"/>
      <c r="P258" s="411"/>
      <c r="Q258" s="411"/>
      <c r="R258" s="411"/>
      <c r="S258" s="411"/>
      <c r="T258" s="411"/>
      <c r="U258" s="411"/>
      <c r="V258" s="411"/>
      <c r="W258" s="411"/>
      <c r="X258" s="411"/>
      <c r="Y258" s="411"/>
      <c r="Z258" s="411"/>
      <c r="AA258" s="411"/>
      <c r="AB258" s="411"/>
      <c r="AC258" s="411"/>
      <c r="AD258" s="411"/>
      <c r="AF258" s="411"/>
      <c r="AG258" s="411"/>
    </row>
    <row r="259" spans="2:33" x14ac:dyDescent="0.35">
      <c r="B259" s="151"/>
      <c r="C259" s="143"/>
      <c r="D259" s="143"/>
      <c r="E259" s="411"/>
      <c r="F259" s="411"/>
      <c r="G259" s="411"/>
      <c r="H259" s="411"/>
      <c r="I259" s="411"/>
      <c r="J259" s="411"/>
      <c r="K259" s="411"/>
      <c r="L259" s="411"/>
      <c r="M259" s="411"/>
      <c r="N259" s="411"/>
      <c r="O259" s="411"/>
      <c r="P259" s="411"/>
      <c r="Q259" s="411"/>
      <c r="R259" s="411"/>
      <c r="S259" s="411"/>
      <c r="T259" s="411"/>
      <c r="U259" s="411"/>
      <c r="V259" s="411"/>
      <c r="W259" s="411"/>
      <c r="X259" s="411"/>
      <c r="Y259" s="411"/>
      <c r="Z259" s="411"/>
      <c r="AA259" s="411"/>
      <c r="AB259" s="411"/>
      <c r="AC259" s="411"/>
      <c r="AD259" s="411"/>
      <c r="AF259" s="411"/>
      <c r="AG259" s="411"/>
    </row>
    <row r="260" spans="2:33" x14ac:dyDescent="0.35">
      <c r="B260" s="151"/>
      <c r="C260" s="143"/>
      <c r="D260" s="143"/>
      <c r="E260" s="411"/>
      <c r="F260" s="411"/>
      <c r="G260" s="411"/>
      <c r="H260" s="411"/>
      <c r="I260" s="411"/>
      <c r="J260" s="411"/>
      <c r="K260" s="411"/>
      <c r="L260" s="411"/>
      <c r="M260" s="411"/>
      <c r="N260" s="411"/>
      <c r="O260" s="411"/>
      <c r="P260" s="411"/>
      <c r="Q260" s="411"/>
      <c r="R260" s="411"/>
      <c r="S260" s="411"/>
      <c r="T260" s="411"/>
      <c r="U260" s="411"/>
      <c r="V260" s="411"/>
      <c r="W260" s="411"/>
      <c r="X260" s="411"/>
      <c r="Y260" s="411"/>
      <c r="Z260" s="411"/>
      <c r="AA260" s="411"/>
      <c r="AB260" s="411"/>
      <c r="AC260" s="411"/>
      <c r="AD260" s="411"/>
      <c r="AF260" s="411"/>
      <c r="AG260" s="411"/>
    </row>
    <row r="261" spans="2:33" x14ac:dyDescent="0.35">
      <c r="B261" s="151"/>
      <c r="C261" s="143"/>
      <c r="D261" s="143"/>
      <c r="E261" s="411"/>
      <c r="F261" s="411"/>
      <c r="G261" s="411"/>
      <c r="H261" s="411"/>
      <c r="I261" s="411"/>
      <c r="J261" s="411"/>
      <c r="K261" s="411"/>
      <c r="L261" s="411"/>
      <c r="M261" s="411"/>
      <c r="N261" s="411"/>
      <c r="O261" s="411"/>
      <c r="P261" s="411"/>
      <c r="Q261" s="411"/>
      <c r="R261" s="411"/>
      <c r="S261" s="411"/>
      <c r="T261" s="411"/>
      <c r="U261" s="411"/>
      <c r="V261" s="411"/>
      <c r="W261" s="411"/>
      <c r="X261" s="411"/>
      <c r="Y261" s="411"/>
      <c r="Z261" s="411"/>
      <c r="AA261" s="411"/>
      <c r="AB261" s="411"/>
      <c r="AC261" s="411"/>
      <c r="AD261" s="411"/>
      <c r="AF261" s="411"/>
      <c r="AG261" s="411"/>
    </row>
    <row r="262" spans="2:33" x14ac:dyDescent="0.35">
      <c r="B262" s="151"/>
      <c r="C262" s="143"/>
      <c r="D262" s="143"/>
      <c r="E262" s="411"/>
      <c r="F262" s="411"/>
      <c r="G262" s="411"/>
      <c r="H262" s="411"/>
      <c r="I262" s="411"/>
      <c r="J262" s="411"/>
      <c r="K262" s="411"/>
      <c r="L262" s="411"/>
      <c r="M262" s="411"/>
      <c r="N262" s="411"/>
      <c r="O262" s="411"/>
      <c r="P262" s="411"/>
      <c r="Q262" s="411"/>
      <c r="R262" s="411"/>
      <c r="S262" s="411"/>
      <c r="T262" s="411"/>
      <c r="U262" s="411"/>
      <c r="V262" s="411"/>
      <c r="W262" s="411"/>
      <c r="X262" s="411"/>
      <c r="Y262" s="411"/>
      <c r="Z262" s="411"/>
      <c r="AA262" s="411"/>
      <c r="AB262" s="411"/>
      <c r="AC262" s="411"/>
      <c r="AD262" s="411"/>
      <c r="AF262" s="411"/>
      <c r="AG262" s="411"/>
    </row>
    <row r="263" spans="2:33" x14ac:dyDescent="0.35">
      <c r="B263" s="151"/>
      <c r="C263" s="143"/>
      <c r="D263" s="143"/>
      <c r="E263" s="411"/>
      <c r="F263" s="411"/>
      <c r="G263" s="411"/>
      <c r="H263" s="411"/>
      <c r="I263" s="411"/>
      <c r="J263" s="411"/>
      <c r="K263" s="411"/>
      <c r="L263" s="411"/>
      <c r="M263" s="411"/>
      <c r="N263" s="411"/>
      <c r="O263" s="411"/>
      <c r="P263" s="411"/>
      <c r="Q263" s="411"/>
      <c r="R263" s="411"/>
      <c r="S263" s="411"/>
      <c r="T263" s="411"/>
      <c r="U263" s="411"/>
      <c r="V263" s="411"/>
      <c r="W263" s="411"/>
      <c r="X263" s="411"/>
      <c r="Y263" s="411"/>
      <c r="Z263" s="411"/>
      <c r="AA263" s="411"/>
      <c r="AB263" s="411"/>
      <c r="AC263" s="411"/>
      <c r="AD263" s="411"/>
      <c r="AF263" s="411"/>
      <c r="AG263" s="411"/>
    </row>
    <row r="264" spans="2:33" x14ac:dyDescent="0.35">
      <c r="B264" s="151"/>
      <c r="C264" s="143"/>
      <c r="D264" s="143"/>
      <c r="E264" s="411"/>
      <c r="F264" s="411"/>
      <c r="G264" s="411"/>
      <c r="H264" s="411"/>
      <c r="I264" s="411"/>
      <c r="J264" s="411"/>
      <c r="K264" s="411"/>
      <c r="L264" s="411"/>
      <c r="M264" s="411"/>
      <c r="N264" s="411"/>
      <c r="O264" s="411"/>
      <c r="P264" s="411"/>
      <c r="Q264" s="411"/>
      <c r="R264" s="411"/>
      <c r="S264" s="411"/>
      <c r="T264" s="411"/>
      <c r="U264" s="411"/>
      <c r="V264" s="411"/>
      <c r="W264" s="411"/>
      <c r="X264" s="411"/>
      <c r="Y264" s="411"/>
      <c r="Z264" s="411"/>
      <c r="AA264" s="411"/>
      <c r="AB264" s="411"/>
      <c r="AC264" s="411"/>
      <c r="AD264" s="411"/>
      <c r="AF264" s="411"/>
      <c r="AG264" s="411"/>
    </row>
    <row r="265" spans="2:33" x14ac:dyDescent="0.35">
      <c r="B265" s="151"/>
      <c r="C265" s="143"/>
      <c r="D265" s="143"/>
      <c r="E265" s="411"/>
      <c r="F265" s="411"/>
      <c r="G265" s="411"/>
      <c r="H265" s="411"/>
      <c r="I265" s="411"/>
      <c r="J265" s="411"/>
      <c r="K265" s="411"/>
      <c r="L265" s="411"/>
      <c r="M265" s="411"/>
      <c r="N265" s="411"/>
      <c r="O265" s="411"/>
      <c r="P265" s="411"/>
      <c r="Q265" s="411"/>
      <c r="R265" s="411"/>
      <c r="S265" s="411"/>
      <c r="T265" s="411"/>
      <c r="U265" s="411"/>
      <c r="V265" s="411"/>
      <c r="W265" s="411"/>
      <c r="X265" s="411"/>
      <c r="Y265" s="411"/>
      <c r="Z265" s="411"/>
      <c r="AA265" s="411"/>
      <c r="AB265" s="411"/>
      <c r="AC265" s="411"/>
      <c r="AD265" s="411"/>
      <c r="AF265" s="411"/>
      <c r="AG265" s="411"/>
    </row>
    <row r="266" spans="2:33" x14ac:dyDescent="0.35">
      <c r="B266" s="151"/>
      <c r="C266" s="143"/>
      <c r="D266" s="143"/>
      <c r="E266" s="411"/>
      <c r="F266" s="411"/>
      <c r="G266" s="411"/>
      <c r="H266" s="411"/>
      <c r="I266" s="411"/>
      <c r="J266" s="411"/>
      <c r="K266" s="411"/>
      <c r="L266" s="411"/>
      <c r="M266" s="411"/>
      <c r="N266" s="411"/>
      <c r="O266" s="411"/>
      <c r="P266" s="411"/>
      <c r="Q266" s="411"/>
      <c r="R266" s="411"/>
      <c r="S266" s="411"/>
      <c r="T266" s="411"/>
      <c r="U266" s="411"/>
      <c r="V266" s="411"/>
      <c r="W266" s="411"/>
      <c r="X266" s="411"/>
      <c r="Y266" s="411"/>
      <c r="Z266" s="411"/>
      <c r="AA266" s="411"/>
      <c r="AB266" s="411"/>
      <c r="AC266" s="411"/>
      <c r="AD266" s="411"/>
      <c r="AF266" s="411"/>
      <c r="AG266" s="411"/>
    </row>
    <row r="267" spans="2:33" x14ac:dyDescent="0.35">
      <c r="B267" s="151"/>
      <c r="C267" s="143"/>
      <c r="D267" s="143"/>
      <c r="E267" s="411"/>
      <c r="F267" s="411"/>
      <c r="G267" s="411"/>
      <c r="H267" s="411"/>
      <c r="I267" s="411"/>
      <c r="J267" s="411"/>
      <c r="K267" s="411"/>
      <c r="L267" s="411"/>
      <c r="M267" s="411"/>
      <c r="N267" s="411"/>
      <c r="O267" s="411"/>
      <c r="P267" s="411"/>
      <c r="Q267" s="411"/>
      <c r="R267" s="411"/>
      <c r="S267" s="411"/>
      <c r="T267" s="411"/>
      <c r="U267" s="411"/>
      <c r="V267" s="411"/>
      <c r="W267" s="411"/>
      <c r="X267" s="411"/>
      <c r="Y267" s="411"/>
      <c r="Z267" s="411"/>
      <c r="AA267" s="411"/>
      <c r="AB267" s="411"/>
      <c r="AC267" s="411"/>
      <c r="AD267" s="411"/>
      <c r="AF267" s="411"/>
      <c r="AG267" s="411"/>
    </row>
    <row r="268" spans="2:33" x14ac:dyDescent="0.35">
      <c r="B268" s="151"/>
      <c r="C268" s="143"/>
      <c r="D268" s="143"/>
      <c r="E268" s="411"/>
      <c r="F268" s="411"/>
      <c r="G268" s="411"/>
      <c r="H268" s="411"/>
      <c r="I268" s="411"/>
      <c r="J268" s="411"/>
      <c r="K268" s="411"/>
      <c r="L268" s="411"/>
      <c r="M268" s="411"/>
      <c r="N268" s="411"/>
      <c r="O268" s="411"/>
      <c r="P268" s="411"/>
      <c r="Q268" s="411"/>
      <c r="R268" s="411"/>
      <c r="S268" s="411"/>
      <c r="T268" s="411"/>
      <c r="U268" s="411"/>
      <c r="V268" s="411"/>
      <c r="W268" s="411"/>
      <c r="X268" s="411"/>
      <c r="Y268" s="411"/>
      <c r="Z268" s="411"/>
      <c r="AA268" s="411"/>
      <c r="AB268" s="411"/>
      <c r="AC268" s="411"/>
      <c r="AD268" s="411"/>
      <c r="AF268" s="411"/>
      <c r="AG268" s="411"/>
    </row>
    <row r="269" spans="2:33" x14ac:dyDescent="0.35">
      <c r="B269" s="151"/>
      <c r="C269" s="143"/>
      <c r="D269" s="143"/>
      <c r="E269" s="411"/>
      <c r="F269" s="411"/>
      <c r="G269" s="411"/>
      <c r="H269" s="411"/>
      <c r="I269" s="411"/>
      <c r="J269" s="411"/>
      <c r="K269" s="411"/>
      <c r="L269" s="411"/>
      <c r="M269" s="411"/>
      <c r="N269" s="411"/>
      <c r="O269" s="411"/>
      <c r="P269" s="411"/>
      <c r="Q269" s="411"/>
      <c r="R269" s="411"/>
      <c r="S269" s="411"/>
      <c r="T269" s="411"/>
      <c r="U269" s="411"/>
      <c r="V269" s="411"/>
      <c r="W269" s="411"/>
      <c r="X269" s="411"/>
      <c r="Y269" s="411"/>
      <c r="Z269" s="411"/>
      <c r="AA269" s="411"/>
      <c r="AB269" s="411"/>
      <c r="AC269" s="411"/>
      <c r="AD269" s="411"/>
      <c r="AF269" s="411"/>
      <c r="AG269" s="411"/>
    </row>
    <row r="270" spans="2:33" x14ac:dyDescent="0.35">
      <c r="B270" s="151"/>
      <c r="C270" s="143"/>
      <c r="D270" s="143"/>
      <c r="E270" s="411"/>
      <c r="F270" s="411"/>
      <c r="G270" s="411"/>
      <c r="H270" s="411"/>
      <c r="I270" s="411"/>
      <c r="J270" s="411"/>
      <c r="K270" s="411"/>
      <c r="L270" s="411"/>
      <c r="M270" s="411"/>
      <c r="N270" s="411"/>
      <c r="O270" s="411"/>
      <c r="P270" s="411"/>
      <c r="Q270" s="411"/>
      <c r="R270" s="411"/>
      <c r="S270" s="411"/>
      <c r="T270" s="411"/>
      <c r="U270" s="411"/>
      <c r="V270" s="411"/>
      <c r="W270" s="411"/>
      <c r="X270" s="411"/>
      <c r="Y270" s="411"/>
      <c r="Z270" s="411"/>
      <c r="AA270" s="411"/>
      <c r="AB270" s="411"/>
      <c r="AC270" s="411"/>
      <c r="AD270" s="411"/>
      <c r="AF270" s="411"/>
      <c r="AG270" s="411"/>
    </row>
    <row r="271" spans="2:33" x14ac:dyDescent="0.35">
      <c r="B271" s="151"/>
      <c r="C271" s="143"/>
      <c r="D271" s="143"/>
      <c r="E271" s="411"/>
      <c r="F271" s="411"/>
      <c r="G271" s="411"/>
      <c r="H271" s="411"/>
      <c r="I271" s="411"/>
      <c r="J271" s="411"/>
      <c r="K271" s="411"/>
      <c r="L271" s="411"/>
      <c r="M271" s="411"/>
      <c r="N271" s="411"/>
      <c r="O271" s="411"/>
      <c r="P271" s="411"/>
      <c r="Q271" s="411"/>
      <c r="R271" s="411"/>
      <c r="S271" s="411"/>
      <c r="T271" s="411"/>
      <c r="U271" s="411"/>
      <c r="V271" s="411"/>
      <c r="W271" s="411"/>
      <c r="X271" s="411"/>
      <c r="Y271" s="411"/>
      <c r="Z271" s="411"/>
      <c r="AA271" s="411"/>
      <c r="AB271" s="411"/>
      <c r="AC271" s="411"/>
      <c r="AD271" s="411"/>
      <c r="AF271" s="411"/>
      <c r="AG271" s="411"/>
    </row>
    <row r="272" spans="2:33" x14ac:dyDescent="0.35">
      <c r="B272" s="151"/>
      <c r="C272" s="143"/>
      <c r="D272" s="143"/>
      <c r="E272" s="411"/>
      <c r="F272" s="411"/>
      <c r="G272" s="411"/>
      <c r="H272" s="411"/>
      <c r="I272" s="411"/>
      <c r="J272" s="411"/>
      <c r="K272" s="411"/>
      <c r="L272" s="411"/>
      <c r="M272" s="411"/>
      <c r="N272" s="411"/>
      <c r="O272" s="411"/>
      <c r="P272" s="411"/>
      <c r="Q272" s="411"/>
      <c r="R272" s="411"/>
      <c r="S272" s="411"/>
      <c r="T272" s="411"/>
      <c r="U272" s="411"/>
      <c r="V272" s="411"/>
      <c r="W272" s="411"/>
      <c r="X272" s="411"/>
      <c r="Y272" s="411"/>
      <c r="Z272" s="411"/>
      <c r="AA272" s="411"/>
      <c r="AB272" s="411"/>
      <c r="AC272" s="411"/>
      <c r="AD272" s="411"/>
      <c r="AF272" s="411"/>
      <c r="AG272" s="411"/>
    </row>
    <row r="273" spans="2:33" x14ac:dyDescent="0.35">
      <c r="B273" s="151"/>
      <c r="C273" s="143"/>
      <c r="D273" s="143"/>
      <c r="E273" s="411"/>
      <c r="F273" s="411"/>
      <c r="G273" s="411"/>
      <c r="H273" s="411"/>
      <c r="I273" s="411"/>
      <c r="J273" s="411"/>
      <c r="K273" s="411"/>
      <c r="L273" s="411"/>
      <c r="M273" s="411"/>
      <c r="N273" s="411"/>
      <c r="O273" s="411"/>
      <c r="P273" s="411"/>
      <c r="Q273" s="411"/>
      <c r="R273" s="411"/>
      <c r="S273" s="411"/>
      <c r="T273" s="411"/>
      <c r="U273" s="411"/>
      <c r="V273" s="411"/>
      <c r="W273" s="411"/>
      <c r="X273" s="411"/>
      <c r="Y273" s="411"/>
      <c r="Z273" s="411"/>
      <c r="AA273" s="411"/>
      <c r="AB273" s="411"/>
      <c r="AC273" s="411"/>
      <c r="AD273" s="411"/>
      <c r="AF273" s="411"/>
      <c r="AG273" s="411"/>
    </row>
    <row r="274" spans="2:33" x14ac:dyDescent="0.35">
      <c r="B274" s="151"/>
      <c r="C274" s="143"/>
      <c r="D274" s="143"/>
      <c r="E274" s="411"/>
      <c r="F274" s="411"/>
      <c r="G274" s="411"/>
      <c r="H274" s="411"/>
      <c r="I274" s="411"/>
      <c r="J274" s="411"/>
      <c r="K274" s="411"/>
      <c r="L274" s="411"/>
      <c r="M274" s="411"/>
      <c r="N274" s="411"/>
      <c r="O274" s="411"/>
      <c r="P274" s="411"/>
      <c r="Q274" s="411"/>
      <c r="R274" s="411"/>
      <c r="S274" s="411"/>
      <c r="T274" s="411"/>
      <c r="U274" s="411"/>
      <c r="V274" s="411"/>
      <c r="W274" s="411"/>
      <c r="X274" s="411"/>
      <c r="Y274" s="411"/>
      <c r="Z274" s="411"/>
      <c r="AA274" s="411"/>
      <c r="AB274" s="411"/>
      <c r="AC274" s="411"/>
      <c r="AD274" s="411"/>
      <c r="AF274" s="411"/>
      <c r="AG274" s="411"/>
    </row>
    <row r="275" spans="2:33" x14ac:dyDescent="0.35">
      <c r="B275" s="151"/>
      <c r="C275" s="143"/>
      <c r="D275" s="143"/>
      <c r="E275" s="411"/>
      <c r="F275" s="411"/>
      <c r="G275" s="411"/>
      <c r="H275" s="411"/>
      <c r="I275" s="411"/>
      <c r="J275" s="411"/>
      <c r="K275" s="411"/>
      <c r="L275" s="411"/>
      <c r="M275" s="411"/>
      <c r="N275" s="411"/>
      <c r="O275" s="411"/>
      <c r="P275" s="411"/>
      <c r="Q275" s="411"/>
      <c r="R275" s="411"/>
      <c r="S275" s="411"/>
      <c r="T275" s="411"/>
      <c r="U275" s="411"/>
      <c r="V275" s="411"/>
      <c r="W275" s="411"/>
      <c r="X275" s="411"/>
      <c r="Y275" s="411"/>
      <c r="Z275" s="411"/>
      <c r="AA275" s="411"/>
      <c r="AB275" s="411"/>
      <c r="AC275" s="411"/>
      <c r="AD275" s="411"/>
      <c r="AF275" s="411"/>
      <c r="AG275" s="411"/>
    </row>
    <row r="276" spans="2:33" x14ac:dyDescent="0.35">
      <c r="B276" s="151"/>
      <c r="C276" s="143"/>
      <c r="D276" s="143"/>
      <c r="E276" s="411"/>
      <c r="F276" s="411"/>
      <c r="G276" s="411"/>
      <c r="H276" s="411"/>
      <c r="I276" s="411"/>
      <c r="J276" s="411"/>
      <c r="K276" s="411"/>
      <c r="L276" s="411"/>
      <c r="M276" s="411"/>
      <c r="N276" s="411"/>
      <c r="O276" s="411"/>
      <c r="P276" s="411"/>
      <c r="Q276" s="411"/>
      <c r="R276" s="411"/>
      <c r="S276" s="411"/>
      <c r="T276" s="411"/>
      <c r="U276" s="411"/>
      <c r="V276" s="411"/>
      <c r="W276" s="411"/>
      <c r="X276" s="411"/>
      <c r="Y276" s="411"/>
      <c r="Z276" s="411"/>
      <c r="AA276" s="411"/>
      <c r="AB276" s="411"/>
      <c r="AC276" s="411"/>
      <c r="AD276" s="411"/>
      <c r="AF276" s="411"/>
      <c r="AG276" s="411"/>
    </row>
    <row r="277" spans="2:33" x14ac:dyDescent="0.35">
      <c r="B277" s="151"/>
      <c r="C277" s="143"/>
      <c r="D277" s="143"/>
      <c r="E277" s="411"/>
      <c r="F277" s="411"/>
      <c r="G277" s="411"/>
      <c r="H277" s="411"/>
      <c r="I277" s="411"/>
      <c r="J277" s="411"/>
      <c r="K277" s="411"/>
      <c r="L277" s="411"/>
      <c r="M277" s="411"/>
      <c r="N277" s="411"/>
      <c r="O277" s="411"/>
      <c r="P277" s="411"/>
      <c r="Q277" s="411"/>
      <c r="R277" s="411"/>
      <c r="S277" s="411"/>
      <c r="T277" s="411"/>
      <c r="U277" s="411"/>
      <c r="V277" s="411"/>
      <c r="W277" s="411"/>
      <c r="X277" s="411"/>
      <c r="Y277" s="411"/>
      <c r="Z277" s="411"/>
      <c r="AA277" s="411"/>
      <c r="AB277" s="411"/>
      <c r="AC277" s="411"/>
      <c r="AD277" s="411"/>
      <c r="AF277" s="411"/>
      <c r="AG277" s="411"/>
    </row>
    <row r="278" spans="2:33" x14ac:dyDescent="0.35">
      <c r="B278" s="151"/>
      <c r="C278" s="143"/>
      <c r="D278" s="143"/>
      <c r="E278" s="411"/>
      <c r="F278" s="411"/>
      <c r="G278" s="411"/>
      <c r="H278" s="411"/>
      <c r="I278" s="411"/>
      <c r="J278" s="411"/>
      <c r="K278" s="411"/>
      <c r="L278" s="411"/>
      <c r="M278" s="411"/>
      <c r="N278" s="411"/>
      <c r="O278" s="411"/>
      <c r="P278" s="411"/>
      <c r="Q278" s="411"/>
      <c r="R278" s="411"/>
      <c r="S278" s="411"/>
      <c r="T278" s="411"/>
      <c r="U278" s="411"/>
      <c r="V278" s="411"/>
      <c r="W278" s="411"/>
      <c r="X278" s="411"/>
      <c r="Y278" s="411"/>
      <c r="Z278" s="411"/>
      <c r="AA278" s="411"/>
      <c r="AB278" s="411"/>
      <c r="AC278" s="411"/>
      <c r="AD278" s="411"/>
      <c r="AF278" s="411"/>
      <c r="AG278" s="411"/>
    </row>
    <row r="279" spans="2:33" x14ac:dyDescent="0.35">
      <c r="B279" s="151"/>
      <c r="C279" s="143"/>
      <c r="D279" s="143"/>
      <c r="E279" s="411"/>
      <c r="F279" s="411"/>
      <c r="G279" s="411"/>
      <c r="H279" s="411"/>
      <c r="I279" s="411"/>
      <c r="J279" s="411"/>
      <c r="K279" s="411"/>
      <c r="L279" s="411"/>
      <c r="M279" s="411"/>
      <c r="N279" s="411"/>
      <c r="O279" s="411"/>
      <c r="P279" s="411"/>
      <c r="Q279" s="411"/>
      <c r="R279" s="411"/>
      <c r="S279" s="411"/>
      <c r="T279" s="411"/>
      <c r="U279" s="411"/>
      <c r="V279" s="411"/>
      <c r="W279" s="411"/>
      <c r="X279" s="411"/>
      <c r="Y279" s="411"/>
      <c r="Z279" s="411"/>
      <c r="AA279" s="411"/>
      <c r="AB279" s="411"/>
      <c r="AC279" s="411"/>
      <c r="AD279" s="411"/>
      <c r="AF279" s="411"/>
      <c r="AG279" s="411"/>
    </row>
    <row r="280" spans="2:33" x14ac:dyDescent="0.35">
      <c r="B280" s="151"/>
      <c r="C280" s="143"/>
      <c r="D280" s="143"/>
      <c r="E280" s="411"/>
      <c r="F280" s="411"/>
      <c r="G280" s="411"/>
      <c r="H280" s="411"/>
      <c r="I280" s="411"/>
      <c r="J280" s="411"/>
      <c r="K280" s="411"/>
      <c r="L280" s="411"/>
      <c r="M280" s="411"/>
      <c r="N280" s="411"/>
      <c r="O280" s="411"/>
      <c r="P280" s="411"/>
      <c r="Q280" s="411"/>
      <c r="R280" s="411"/>
      <c r="S280" s="411"/>
      <c r="T280" s="411"/>
      <c r="U280" s="411"/>
      <c r="V280" s="411"/>
      <c r="W280" s="411"/>
      <c r="X280" s="411"/>
      <c r="Y280" s="411"/>
      <c r="Z280" s="411"/>
      <c r="AA280" s="411"/>
      <c r="AB280" s="411"/>
      <c r="AC280" s="411"/>
      <c r="AD280" s="411"/>
      <c r="AF280" s="411"/>
      <c r="AG280" s="411"/>
    </row>
    <row r="281" spans="2:33" x14ac:dyDescent="0.35">
      <c r="B281" s="151"/>
      <c r="C281" s="143"/>
      <c r="D281" s="143"/>
      <c r="E281" s="411"/>
      <c r="F281" s="411"/>
      <c r="G281" s="411"/>
      <c r="H281" s="411"/>
      <c r="I281" s="411"/>
      <c r="J281" s="411"/>
      <c r="K281" s="411"/>
      <c r="L281" s="411"/>
      <c r="M281" s="411"/>
      <c r="N281" s="411"/>
      <c r="O281" s="411"/>
      <c r="P281" s="411"/>
      <c r="Q281" s="411"/>
      <c r="R281" s="411"/>
      <c r="S281" s="411"/>
      <c r="T281" s="411"/>
      <c r="U281" s="411"/>
      <c r="V281" s="411"/>
      <c r="W281" s="411"/>
      <c r="X281" s="411"/>
      <c r="Y281" s="411"/>
      <c r="Z281" s="411"/>
      <c r="AA281" s="411"/>
      <c r="AB281" s="411"/>
      <c r="AC281" s="411"/>
      <c r="AD281" s="411"/>
      <c r="AF281" s="411"/>
      <c r="AG281" s="411"/>
    </row>
    <row r="282" spans="2:33" x14ac:dyDescent="0.35">
      <c r="B282" s="151"/>
      <c r="C282" s="143"/>
      <c r="D282" s="143"/>
      <c r="E282" s="411"/>
      <c r="F282" s="411"/>
      <c r="G282" s="411"/>
      <c r="H282" s="411"/>
      <c r="I282" s="411"/>
      <c r="J282" s="411"/>
      <c r="K282" s="411"/>
      <c r="L282" s="411"/>
      <c r="M282" s="411"/>
      <c r="N282" s="411"/>
      <c r="O282" s="411"/>
      <c r="P282" s="411"/>
      <c r="Q282" s="411"/>
      <c r="R282" s="411"/>
      <c r="S282" s="411"/>
      <c r="T282" s="411"/>
      <c r="U282" s="411"/>
      <c r="V282" s="411"/>
      <c r="W282" s="411"/>
      <c r="X282" s="411"/>
      <c r="Y282" s="411"/>
      <c r="Z282" s="411"/>
      <c r="AA282" s="411"/>
      <c r="AB282" s="411"/>
      <c r="AC282" s="411"/>
      <c r="AD282" s="411"/>
      <c r="AF282" s="411"/>
      <c r="AG282" s="411"/>
    </row>
    <row r="283" spans="2:33" x14ac:dyDescent="0.35">
      <c r="B283" s="151"/>
      <c r="C283" s="143"/>
      <c r="D283" s="143"/>
      <c r="E283" s="411"/>
      <c r="F283" s="411"/>
      <c r="G283" s="411"/>
      <c r="H283" s="411"/>
      <c r="I283" s="411"/>
      <c r="J283" s="411"/>
      <c r="K283" s="411"/>
      <c r="L283" s="411"/>
      <c r="M283" s="411"/>
      <c r="N283" s="411"/>
      <c r="O283" s="411"/>
      <c r="P283" s="411"/>
      <c r="Q283" s="411"/>
      <c r="R283" s="411"/>
      <c r="S283" s="411"/>
      <c r="T283" s="411"/>
      <c r="U283" s="411"/>
      <c r="V283" s="411"/>
      <c r="W283" s="411"/>
      <c r="X283" s="411"/>
      <c r="Y283" s="411"/>
      <c r="Z283" s="411"/>
      <c r="AA283" s="411"/>
      <c r="AB283" s="411"/>
      <c r="AC283" s="411"/>
      <c r="AD283" s="411"/>
      <c r="AF283" s="411"/>
      <c r="AG283" s="411"/>
    </row>
    <row r="284" spans="2:33" x14ac:dyDescent="0.35">
      <c r="B284" s="151"/>
      <c r="C284" s="143"/>
      <c r="D284" s="143"/>
      <c r="E284" s="411"/>
      <c r="F284" s="411"/>
      <c r="G284" s="411"/>
      <c r="H284" s="411"/>
      <c r="I284" s="411"/>
      <c r="J284" s="411"/>
      <c r="K284" s="411"/>
      <c r="L284" s="411"/>
      <c r="M284" s="411"/>
      <c r="N284" s="411"/>
      <c r="O284" s="411"/>
      <c r="P284" s="411"/>
      <c r="Q284" s="411"/>
      <c r="R284" s="411"/>
      <c r="S284" s="411"/>
      <c r="T284" s="411"/>
      <c r="U284" s="411"/>
      <c r="V284" s="411"/>
      <c r="W284" s="411"/>
      <c r="X284" s="411"/>
      <c r="Y284" s="411"/>
      <c r="Z284" s="411"/>
      <c r="AA284" s="411"/>
      <c r="AB284" s="411"/>
      <c r="AC284" s="411"/>
      <c r="AD284" s="411"/>
      <c r="AF284" s="411"/>
      <c r="AG284" s="411"/>
    </row>
    <row r="285" spans="2:33" x14ac:dyDescent="0.35">
      <c r="B285" s="151"/>
      <c r="C285" s="143"/>
      <c r="D285" s="143"/>
      <c r="E285" s="411"/>
      <c r="F285" s="411"/>
      <c r="G285" s="411"/>
      <c r="H285" s="411"/>
      <c r="I285" s="411"/>
      <c r="J285" s="411"/>
      <c r="K285" s="411"/>
      <c r="L285" s="411"/>
      <c r="M285" s="411"/>
      <c r="N285" s="411"/>
      <c r="O285" s="411"/>
      <c r="P285" s="411"/>
      <c r="Q285" s="411"/>
      <c r="R285" s="411"/>
      <c r="S285" s="411"/>
      <c r="T285" s="411"/>
      <c r="U285" s="411"/>
      <c r="V285" s="411"/>
      <c r="W285" s="411"/>
      <c r="X285" s="411"/>
      <c r="Y285" s="411"/>
      <c r="Z285" s="411"/>
      <c r="AA285" s="411"/>
      <c r="AB285" s="411"/>
      <c r="AC285" s="411"/>
      <c r="AD285" s="411"/>
      <c r="AF285" s="411"/>
      <c r="AG285" s="411"/>
    </row>
    <row r="286" spans="2:33" x14ac:dyDescent="0.35">
      <c r="B286" s="151"/>
      <c r="C286" s="143"/>
      <c r="D286" s="143"/>
      <c r="E286" s="411"/>
      <c r="F286" s="411"/>
      <c r="G286" s="411"/>
      <c r="H286" s="411"/>
      <c r="I286" s="411"/>
      <c r="J286" s="411"/>
      <c r="K286" s="411"/>
      <c r="L286" s="411"/>
      <c r="M286" s="411"/>
      <c r="N286" s="411"/>
      <c r="O286" s="411"/>
      <c r="P286" s="411"/>
      <c r="Q286" s="411"/>
      <c r="R286" s="411"/>
      <c r="S286" s="411"/>
      <c r="T286" s="411"/>
      <c r="U286" s="411"/>
      <c r="V286" s="411"/>
      <c r="W286" s="411"/>
      <c r="X286" s="411"/>
      <c r="Y286" s="411"/>
      <c r="Z286" s="411"/>
      <c r="AA286" s="411"/>
      <c r="AB286" s="411"/>
      <c r="AC286" s="411"/>
      <c r="AD286" s="411"/>
      <c r="AF286" s="411"/>
      <c r="AG286" s="411"/>
    </row>
    <row r="287" spans="2:33" x14ac:dyDescent="0.35">
      <c r="B287" s="151"/>
      <c r="C287" s="143"/>
      <c r="D287" s="143"/>
      <c r="E287" s="411"/>
      <c r="F287" s="411"/>
      <c r="G287" s="411"/>
      <c r="H287" s="411"/>
      <c r="I287" s="411"/>
      <c r="J287" s="411"/>
      <c r="K287" s="411"/>
      <c r="L287" s="411"/>
      <c r="M287" s="411"/>
      <c r="N287" s="411"/>
      <c r="O287" s="411"/>
      <c r="P287" s="411"/>
      <c r="Q287" s="411"/>
      <c r="R287" s="411"/>
      <c r="S287" s="411"/>
      <c r="T287" s="411"/>
      <c r="U287" s="411"/>
      <c r="V287" s="411"/>
      <c r="W287" s="411"/>
      <c r="X287" s="411"/>
      <c r="Y287" s="411"/>
      <c r="Z287" s="411"/>
      <c r="AA287" s="411"/>
      <c r="AB287" s="411"/>
      <c r="AC287" s="411"/>
      <c r="AD287" s="411"/>
      <c r="AF287" s="411"/>
      <c r="AG287" s="411"/>
    </row>
    <row r="288" spans="2:33" x14ac:dyDescent="0.35">
      <c r="B288" s="151"/>
      <c r="C288" s="143"/>
      <c r="D288" s="143"/>
      <c r="E288" s="411"/>
      <c r="F288" s="411"/>
      <c r="G288" s="411"/>
      <c r="H288" s="411"/>
      <c r="I288" s="411"/>
      <c r="J288" s="411"/>
      <c r="K288" s="411"/>
      <c r="L288" s="411"/>
      <c r="M288" s="411"/>
      <c r="N288" s="411"/>
      <c r="O288" s="411"/>
      <c r="P288" s="411"/>
      <c r="Q288" s="411"/>
      <c r="R288" s="411"/>
      <c r="S288" s="411"/>
      <c r="T288" s="411"/>
      <c r="U288" s="411"/>
      <c r="V288" s="411"/>
      <c r="W288" s="411"/>
      <c r="X288" s="411"/>
      <c r="Y288" s="411"/>
      <c r="Z288" s="411"/>
      <c r="AA288" s="411"/>
      <c r="AB288" s="411"/>
      <c r="AC288" s="411"/>
      <c r="AD288" s="411"/>
      <c r="AF288" s="411"/>
      <c r="AG288" s="411"/>
    </row>
    <row r="289" spans="2:33" x14ac:dyDescent="0.35">
      <c r="B289" s="151"/>
      <c r="C289" s="143"/>
      <c r="D289" s="143"/>
      <c r="E289" s="411"/>
      <c r="F289" s="411"/>
      <c r="G289" s="411"/>
      <c r="H289" s="411"/>
      <c r="I289" s="411"/>
      <c r="J289" s="411"/>
      <c r="K289" s="411"/>
      <c r="L289" s="411"/>
      <c r="M289" s="411"/>
      <c r="N289" s="411"/>
      <c r="O289" s="411"/>
      <c r="P289" s="411"/>
      <c r="Q289" s="411"/>
      <c r="R289" s="411"/>
      <c r="S289" s="411"/>
      <c r="T289" s="411"/>
      <c r="U289" s="411"/>
      <c r="V289" s="411"/>
      <c r="W289" s="411"/>
      <c r="X289" s="411"/>
      <c r="Y289" s="411"/>
      <c r="Z289" s="411"/>
      <c r="AA289" s="411"/>
      <c r="AB289" s="411"/>
      <c r="AC289" s="411"/>
      <c r="AD289" s="411"/>
      <c r="AF289" s="411"/>
      <c r="AG289" s="411"/>
    </row>
    <row r="290" spans="2:33" x14ac:dyDescent="0.35">
      <c r="B290" s="151"/>
      <c r="C290" s="143"/>
      <c r="D290" s="143"/>
      <c r="E290" s="411"/>
      <c r="F290" s="411"/>
      <c r="G290" s="411"/>
      <c r="H290" s="411"/>
      <c r="I290" s="411"/>
      <c r="J290" s="411"/>
      <c r="K290" s="411"/>
      <c r="L290" s="411"/>
      <c r="M290" s="411"/>
      <c r="N290" s="411"/>
      <c r="O290" s="411"/>
      <c r="P290" s="411"/>
      <c r="Q290" s="411"/>
      <c r="R290" s="411"/>
      <c r="S290" s="411"/>
      <c r="T290" s="411"/>
      <c r="U290" s="411"/>
      <c r="V290" s="411"/>
      <c r="W290" s="411"/>
      <c r="X290" s="411"/>
      <c r="Y290" s="411"/>
      <c r="Z290" s="411"/>
      <c r="AA290" s="411"/>
      <c r="AB290" s="411"/>
      <c r="AC290" s="411"/>
      <c r="AD290" s="411"/>
      <c r="AF290" s="411"/>
      <c r="AG290" s="411"/>
    </row>
    <row r="291" spans="2:33" x14ac:dyDescent="0.35">
      <c r="B291" s="151"/>
      <c r="C291" s="143"/>
      <c r="D291" s="143"/>
      <c r="E291" s="411"/>
      <c r="F291" s="411"/>
      <c r="G291" s="411"/>
      <c r="H291" s="411"/>
      <c r="I291" s="411"/>
      <c r="J291" s="411"/>
      <c r="K291" s="411"/>
      <c r="L291" s="411"/>
      <c r="M291" s="411"/>
      <c r="N291" s="411"/>
      <c r="O291" s="411"/>
      <c r="P291" s="411"/>
      <c r="Q291" s="411"/>
      <c r="R291" s="411"/>
      <c r="S291" s="411"/>
      <c r="T291" s="411"/>
      <c r="U291" s="411"/>
      <c r="V291" s="411"/>
      <c r="W291" s="411"/>
      <c r="X291" s="411"/>
      <c r="Y291" s="411"/>
      <c r="Z291" s="411"/>
      <c r="AA291" s="411"/>
      <c r="AB291" s="411"/>
      <c r="AC291" s="411"/>
      <c r="AD291" s="411"/>
      <c r="AF291" s="411"/>
      <c r="AG291" s="411"/>
    </row>
    <row r="292" spans="2:33" x14ac:dyDescent="0.35">
      <c r="B292" s="151"/>
      <c r="C292" s="143"/>
      <c r="D292" s="143"/>
      <c r="E292" s="411"/>
      <c r="F292" s="411"/>
      <c r="G292" s="411"/>
      <c r="H292" s="411"/>
      <c r="I292" s="411"/>
      <c r="J292" s="411"/>
      <c r="K292" s="411"/>
      <c r="L292" s="411"/>
      <c r="M292" s="411"/>
      <c r="N292" s="411"/>
      <c r="O292" s="411"/>
      <c r="P292" s="411"/>
      <c r="Q292" s="411"/>
      <c r="R292" s="411"/>
      <c r="S292" s="411"/>
      <c r="T292" s="411"/>
      <c r="U292" s="411"/>
      <c r="V292" s="411"/>
      <c r="W292" s="411"/>
      <c r="X292" s="411"/>
      <c r="Y292" s="411"/>
      <c r="Z292" s="411"/>
      <c r="AA292" s="411"/>
      <c r="AB292" s="411"/>
      <c r="AC292" s="411"/>
      <c r="AD292" s="411"/>
      <c r="AF292" s="411"/>
      <c r="AG292" s="411"/>
    </row>
    <row r="293" spans="2:33" x14ac:dyDescent="0.35">
      <c r="B293" s="151"/>
      <c r="C293" s="143"/>
      <c r="D293" s="143"/>
      <c r="E293" s="411"/>
      <c r="F293" s="411"/>
      <c r="G293" s="411"/>
      <c r="H293" s="411"/>
      <c r="I293" s="411"/>
      <c r="J293" s="411"/>
      <c r="K293" s="411"/>
      <c r="L293" s="411"/>
      <c r="M293" s="411"/>
      <c r="N293" s="411"/>
      <c r="O293" s="411"/>
      <c r="P293" s="411"/>
      <c r="Q293" s="411"/>
      <c r="R293" s="411"/>
      <c r="S293" s="411"/>
      <c r="T293" s="411"/>
      <c r="U293" s="411"/>
      <c r="V293" s="411"/>
      <c r="W293" s="411"/>
      <c r="X293" s="411"/>
      <c r="Y293" s="411"/>
      <c r="Z293" s="411"/>
      <c r="AA293" s="411"/>
      <c r="AB293" s="411"/>
      <c r="AC293" s="411"/>
      <c r="AD293" s="411"/>
      <c r="AF293" s="411"/>
      <c r="AG293" s="411"/>
    </row>
    <row r="294" spans="2:33" x14ac:dyDescent="0.35">
      <c r="B294" s="151"/>
      <c r="C294" s="143"/>
      <c r="D294" s="143"/>
      <c r="E294" s="411"/>
      <c r="F294" s="411"/>
      <c r="G294" s="411"/>
      <c r="H294" s="411"/>
      <c r="I294" s="411"/>
      <c r="J294" s="411"/>
      <c r="K294" s="411"/>
      <c r="L294" s="411"/>
      <c r="M294" s="411"/>
      <c r="N294" s="411"/>
      <c r="O294" s="411"/>
      <c r="P294" s="411"/>
      <c r="Q294" s="411"/>
      <c r="R294" s="411"/>
      <c r="S294" s="411"/>
      <c r="T294" s="411"/>
      <c r="U294" s="411"/>
      <c r="V294" s="411"/>
      <c r="W294" s="411"/>
      <c r="X294" s="411"/>
      <c r="Y294" s="411"/>
      <c r="Z294" s="411"/>
      <c r="AA294" s="411"/>
      <c r="AB294" s="411"/>
      <c r="AC294" s="411"/>
      <c r="AD294" s="411"/>
      <c r="AF294" s="411"/>
      <c r="AG294" s="411"/>
    </row>
    <row r="295" spans="2:33" x14ac:dyDescent="0.35">
      <c r="B295" s="151"/>
      <c r="C295" s="143"/>
      <c r="D295" s="143"/>
      <c r="E295" s="411"/>
      <c r="F295" s="411"/>
      <c r="G295" s="411"/>
      <c r="H295" s="411"/>
      <c r="I295" s="411"/>
      <c r="J295" s="411"/>
      <c r="K295" s="411"/>
      <c r="L295" s="411"/>
      <c r="M295" s="411"/>
      <c r="N295" s="411"/>
      <c r="O295" s="411"/>
      <c r="P295" s="411"/>
      <c r="Q295" s="411"/>
      <c r="R295" s="411"/>
      <c r="S295" s="411"/>
      <c r="T295" s="411"/>
      <c r="U295" s="411"/>
      <c r="V295" s="411"/>
      <c r="W295" s="411"/>
      <c r="X295" s="411"/>
      <c r="Y295" s="411"/>
      <c r="Z295" s="411"/>
      <c r="AA295" s="411"/>
      <c r="AB295" s="411"/>
      <c r="AC295" s="411"/>
      <c r="AD295" s="411"/>
      <c r="AF295" s="411"/>
      <c r="AG295" s="411"/>
    </row>
    <row r="296" spans="2:33" x14ac:dyDescent="0.35">
      <c r="B296" s="151"/>
      <c r="C296" s="143"/>
      <c r="D296" s="143"/>
      <c r="E296" s="411"/>
      <c r="F296" s="411"/>
      <c r="G296" s="411"/>
      <c r="H296" s="411"/>
      <c r="I296" s="411"/>
      <c r="J296" s="411"/>
      <c r="K296" s="411"/>
      <c r="L296" s="411"/>
      <c r="M296" s="411"/>
      <c r="N296" s="411"/>
      <c r="O296" s="411"/>
      <c r="P296" s="411"/>
      <c r="Q296" s="411"/>
      <c r="R296" s="411"/>
      <c r="S296" s="411"/>
      <c r="T296" s="411"/>
      <c r="U296" s="411"/>
      <c r="V296" s="411"/>
      <c r="W296" s="411"/>
      <c r="X296" s="411"/>
      <c r="Y296" s="411"/>
      <c r="Z296" s="411"/>
      <c r="AA296" s="411"/>
      <c r="AB296" s="411"/>
      <c r="AC296" s="411"/>
      <c r="AD296" s="411"/>
      <c r="AF296" s="411"/>
      <c r="AG296" s="411"/>
    </row>
    <row r="297" spans="2:33" x14ac:dyDescent="0.35">
      <c r="B297" s="151"/>
      <c r="C297" s="143"/>
      <c r="D297" s="143"/>
      <c r="E297" s="411"/>
      <c r="F297" s="411"/>
      <c r="G297" s="411"/>
      <c r="H297" s="411"/>
      <c r="I297" s="411"/>
      <c r="J297" s="411"/>
      <c r="K297" s="411"/>
      <c r="L297" s="411"/>
      <c r="M297" s="411"/>
      <c r="N297" s="411"/>
      <c r="O297" s="411"/>
      <c r="P297" s="411"/>
      <c r="Q297" s="411"/>
      <c r="R297" s="411"/>
      <c r="S297" s="411"/>
      <c r="T297" s="411"/>
      <c r="U297" s="411"/>
      <c r="V297" s="411"/>
      <c r="W297" s="411"/>
      <c r="X297" s="411"/>
      <c r="Y297" s="411"/>
      <c r="Z297" s="411"/>
      <c r="AA297" s="411"/>
      <c r="AB297" s="411"/>
      <c r="AC297" s="411"/>
      <c r="AD297" s="411"/>
      <c r="AF297" s="411"/>
      <c r="AG297" s="411"/>
    </row>
    <row r="298" spans="2:33" x14ac:dyDescent="0.35">
      <c r="B298" s="151"/>
      <c r="C298" s="143"/>
      <c r="D298" s="143"/>
      <c r="E298" s="411"/>
      <c r="F298" s="411"/>
      <c r="G298" s="411"/>
      <c r="H298" s="411"/>
      <c r="I298" s="411"/>
      <c r="J298" s="411"/>
      <c r="K298" s="411"/>
      <c r="L298" s="411"/>
      <c r="M298" s="411"/>
      <c r="N298" s="411"/>
      <c r="O298" s="411"/>
      <c r="P298" s="411"/>
      <c r="Q298" s="411"/>
      <c r="R298" s="411"/>
      <c r="S298" s="411"/>
      <c r="T298" s="411"/>
      <c r="U298" s="411"/>
      <c r="V298" s="411"/>
      <c r="W298" s="411"/>
      <c r="X298" s="411"/>
      <c r="Y298" s="411"/>
      <c r="Z298" s="411"/>
      <c r="AA298" s="411"/>
      <c r="AB298" s="411"/>
      <c r="AC298" s="411"/>
      <c r="AD298" s="411"/>
      <c r="AF298" s="411"/>
      <c r="AG298" s="411"/>
    </row>
    <row r="299" spans="2:33" x14ac:dyDescent="0.35">
      <c r="B299" s="151"/>
      <c r="C299" s="143"/>
      <c r="D299" s="143"/>
      <c r="E299" s="411"/>
      <c r="F299" s="411"/>
      <c r="G299" s="411"/>
      <c r="H299" s="411"/>
      <c r="I299" s="411"/>
      <c r="J299" s="411"/>
      <c r="K299" s="411"/>
      <c r="L299" s="411"/>
      <c r="M299" s="411"/>
      <c r="N299" s="411"/>
      <c r="O299" s="411"/>
      <c r="P299" s="411"/>
      <c r="Q299" s="411"/>
      <c r="R299" s="411"/>
      <c r="S299" s="411"/>
      <c r="T299" s="411"/>
      <c r="U299" s="411"/>
      <c r="V299" s="411"/>
      <c r="W299" s="411"/>
      <c r="X299" s="411"/>
      <c r="Y299" s="411"/>
      <c r="Z299" s="411"/>
      <c r="AA299" s="411"/>
      <c r="AB299" s="411"/>
      <c r="AC299" s="411"/>
      <c r="AD299" s="411"/>
      <c r="AF299" s="411"/>
      <c r="AG299" s="411"/>
    </row>
    <row r="300" spans="2:33" x14ac:dyDescent="0.35">
      <c r="B300" s="151"/>
      <c r="C300" s="143"/>
      <c r="D300" s="143"/>
      <c r="E300" s="411"/>
      <c r="F300" s="411"/>
      <c r="G300" s="411"/>
      <c r="H300" s="411"/>
      <c r="I300" s="411"/>
      <c r="J300" s="411"/>
      <c r="K300" s="411"/>
      <c r="L300" s="411"/>
      <c r="M300" s="411"/>
      <c r="N300" s="411"/>
      <c r="O300" s="411"/>
      <c r="P300" s="411"/>
      <c r="Q300" s="411"/>
      <c r="R300" s="411"/>
      <c r="S300" s="411"/>
      <c r="T300" s="411"/>
      <c r="U300" s="411"/>
      <c r="V300" s="411"/>
      <c r="W300" s="411"/>
      <c r="X300" s="411"/>
      <c r="Y300" s="411"/>
      <c r="Z300" s="411"/>
      <c r="AA300" s="411"/>
      <c r="AB300" s="411"/>
      <c r="AC300" s="411"/>
      <c r="AD300" s="411"/>
      <c r="AF300" s="411"/>
      <c r="AG300" s="411"/>
    </row>
    <row r="301" spans="2:33" x14ac:dyDescent="0.35">
      <c r="B301" s="151"/>
      <c r="C301" s="143"/>
      <c r="D301" s="143"/>
      <c r="E301" s="411"/>
      <c r="F301" s="411"/>
      <c r="G301" s="411"/>
      <c r="H301" s="411"/>
      <c r="I301" s="411"/>
      <c r="J301" s="411"/>
      <c r="K301" s="411"/>
      <c r="L301" s="411"/>
      <c r="M301" s="411"/>
      <c r="N301" s="411"/>
      <c r="O301" s="411"/>
      <c r="P301" s="411"/>
      <c r="Q301" s="411"/>
      <c r="R301" s="411"/>
      <c r="S301" s="411"/>
      <c r="T301" s="411"/>
      <c r="U301" s="411"/>
      <c r="V301" s="411"/>
      <c r="W301" s="411"/>
      <c r="X301" s="411"/>
      <c r="Y301" s="411"/>
      <c r="Z301" s="411"/>
      <c r="AA301" s="411"/>
      <c r="AB301" s="411"/>
      <c r="AC301" s="411"/>
      <c r="AD301" s="411"/>
      <c r="AF301" s="411"/>
      <c r="AG301" s="411"/>
    </row>
    <row r="302" spans="2:33" x14ac:dyDescent="0.35">
      <c r="B302" s="151"/>
      <c r="C302" s="143"/>
      <c r="D302" s="143"/>
      <c r="E302" s="411"/>
      <c r="F302" s="411"/>
      <c r="G302" s="411"/>
      <c r="H302" s="411"/>
      <c r="I302" s="411"/>
      <c r="J302" s="411"/>
      <c r="K302" s="411"/>
      <c r="L302" s="411"/>
      <c r="M302" s="411"/>
      <c r="N302" s="411"/>
      <c r="O302" s="411"/>
      <c r="P302" s="411"/>
      <c r="Q302" s="411"/>
      <c r="R302" s="411"/>
      <c r="S302" s="411"/>
      <c r="T302" s="411"/>
      <c r="U302" s="411"/>
      <c r="V302" s="411"/>
      <c r="W302" s="411"/>
      <c r="X302" s="411"/>
      <c r="Y302" s="411"/>
      <c r="Z302" s="411"/>
      <c r="AA302" s="411"/>
      <c r="AB302" s="411"/>
      <c r="AC302" s="411"/>
      <c r="AD302" s="411"/>
      <c r="AF302" s="411"/>
      <c r="AG302" s="411"/>
    </row>
    <row r="303" spans="2:33" x14ac:dyDescent="0.35">
      <c r="B303" s="151"/>
      <c r="C303" s="143"/>
      <c r="D303" s="143"/>
      <c r="E303" s="411"/>
      <c r="F303" s="411"/>
      <c r="G303" s="411"/>
      <c r="H303" s="411"/>
      <c r="I303" s="411"/>
      <c r="J303" s="411"/>
      <c r="K303" s="411"/>
      <c r="L303" s="411"/>
      <c r="M303" s="411"/>
      <c r="N303" s="411"/>
      <c r="O303" s="411"/>
      <c r="P303" s="411"/>
      <c r="Q303" s="411"/>
      <c r="R303" s="411"/>
      <c r="S303" s="411"/>
      <c r="T303" s="411"/>
      <c r="U303" s="411"/>
      <c r="V303" s="411"/>
      <c r="W303" s="411"/>
      <c r="X303" s="411"/>
      <c r="Y303" s="411"/>
      <c r="Z303" s="411"/>
      <c r="AA303" s="411"/>
      <c r="AB303" s="411"/>
      <c r="AC303" s="411"/>
      <c r="AD303" s="411"/>
      <c r="AF303" s="411"/>
      <c r="AG303" s="411"/>
    </row>
    <row r="304" spans="2:33" x14ac:dyDescent="0.35">
      <c r="B304" s="151"/>
      <c r="C304" s="143"/>
      <c r="D304" s="143"/>
      <c r="E304" s="411"/>
      <c r="F304" s="411"/>
      <c r="G304" s="411"/>
      <c r="H304" s="411"/>
      <c r="I304" s="411"/>
      <c r="J304" s="411"/>
      <c r="K304" s="411"/>
      <c r="L304" s="411"/>
      <c r="M304" s="411"/>
      <c r="N304" s="411"/>
      <c r="O304" s="411"/>
      <c r="P304" s="411"/>
      <c r="Q304" s="411"/>
      <c r="R304" s="411"/>
      <c r="S304" s="411"/>
      <c r="T304" s="411"/>
      <c r="U304" s="411"/>
      <c r="V304" s="411"/>
      <c r="W304" s="411"/>
      <c r="X304" s="411"/>
      <c r="Y304" s="411"/>
      <c r="Z304" s="411"/>
      <c r="AA304" s="411"/>
      <c r="AB304" s="411"/>
      <c r="AC304" s="411"/>
      <c r="AD304" s="411"/>
      <c r="AF304" s="411"/>
      <c r="AG304" s="411"/>
    </row>
    <row r="305" spans="2:33" x14ac:dyDescent="0.35">
      <c r="B305" s="151"/>
      <c r="C305" s="143"/>
      <c r="D305" s="143"/>
      <c r="E305" s="411"/>
      <c r="F305" s="411"/>
      <c r="G305" s="411"/>
      <c r="H305" s="411"/>
      <c r="I305" s="411"/>
      <c r="J305" s="411"/>
      <c r="K305" s="411"/>
      <c r="L305" s="411"/>
      <c r="M305" s="411"/>
      <c r="N305" s="411"/>
      <c r="O305" s="411"/>
      <c r="P305" s="411"/>
      <c r="Q305" s="411"/>
      <c r="R305" s="411"/>
      <c r="S305" s="411"/>
      <c r="T305" s="411"/>
      <c r="U305" s="411"/>
      <c r="V305" s="411"/>
      <c r="W305" s="411"/>
      <c r="X305" s="411"/>
      <c r="Y305" s="411"/>
      <c r="Z305" s="411"/>
      <c r="AA305" s="411"/>
      <c r="AB305" s="411"/>
      <c r="AC305" s="411"/>
      <c r="AD305" s="411"/>
      <c r="AF305" s="411"/>
      <c r="AG305" s="411"/>
    </row>
    <row r="306" spans="2:33" x14ac:dyDescent="0.35">
      <c r="B306" s="151"/>
      <c r="C306" s="143"/>
      <c r="D306" s="143"/>
      <c r="E306" s="411"/>
      <c r="F306" s="411"/>
      <c r="G306" s="411"/>
      <c r="H306" s="411"/>
      <c r="I306" s="411"/>
      <c r="J306" s="411"/>
      <c r="K306" s="411"/>
      <c r="L306" s="411"/>
      <c r="M306" s="411"/>
      <c r="N306" s="411"/>
      <c r="O306" s="411"/>
      <c r="P306" s="411"/>
      <c r="Q306" s="411"/>
      <c r="R306" s="411"/>
      <c r="S306" s="411"/>
      <c r="T306" s="411"/>
      <c r="U306" s="411"/>
      <c r="V306" s="411"/>
      <c r="W306" s="411"/>
      <c r="X306" s="411"/>
      <c r="Y306" s="411"/>
      <c r="Z306" s="411"/>
      <c r="AA306" s="411"/>
      <c r="AB306" s="411"/>
      <c r="AC306" s="411"/>
      <c r="AD306" s="411"/>
      <c r="AF306" s="411"/>
      <c r="AG306" s="411"/>
    </row>
    <row r="307" spans="2:33" x14ac:dyDescent="0.35">
      <c r="B307" s="151"/>
      <c r="C307" s="143"/>
      <c r="D307" s="143"/>
      <c r="E307" s="411"/>
      <c r="F307" s="411"/>
      <c r="G307" s="411"/>
      <c r="H307" s="411"/>
      <c r="I307" s="411"/>
      <c r="J307" s="411"/>
      <c r="K307" s="411"/>
      <c r="L307" s="411"/>
      <c r="M307" s="411"/>
      <c r="N307" s="411"/>
      <c r="O307" s="411"/>
      <c r="P307" s="411"/>
      <c r="Q307" s="411"/>
      <c r="R307" s="411"/>
      <c r="S307" s="411"/>
      <c r="T307" s="411"/>
      <c r="U307" s="411"/>
      <c r="V307" s="411"/>
      <c r="W307" s="411"/>
      <c r="X307" s="411"/>
      <c r="Y307" s="411"/>
      <c r="Z307" s="411"/>
      <c r="AA307" s="411"/>
      <c r="AB307" s="411"/>
      <c r="AC307" s="411"/>
      <c r="AD307" s="411"/>
      <c r="AF307" s="411"/>
      <c r="AG307" s="411"/>
    </row>
    <row r="308" spans="2:33" x14ac:dyDescent="0.35">
      <c r="B308" s="151"/>
      <c r="C308" s="143"/>
      <c r="D308" s="143"/>
      <c r="E308" s="411"/>
      <c r="F308" s="411"/>
      <c r="G308" s="411"/>
      <c r="H308" s="411"/>
      <c r="I308" s="411"/>
      <c r="J308" s="411"/>
      <c r="K308" s="411"/>
      <c r="L308" s="411"/>
      <c r="M308" s="411"/>
      <c r="N308" s="411"/>
      <c r="O308" s="411"/>
      <c r="P308" s="411"/>
      <c r="Q308" s="411"/>
      <c r="R308" s="411"/>
      <c r="S308" s="411"/>
      <c r="T308" s="411"/>
      <c r="U308" s="411"/>
      <c r="V308" s="411"/>
      <c r="W308" s="411"/>
      <c r="X308" s="411"/>
      <c r="Y308" s="411"/>
      <c r="Z308" s="411"/>
      <c r="AA308" s="411"/>
      <c r="AB308" s="411"/>
      <c r="AC308" s="411"/>
      <c r="AD308" s="411"/>
      <c r="AF308" s="411"/>
      <c r="AG308" s="411"/>
    </row>
    <row r="309" spans="2:33" x14ac:dyDescent="0.35">
      <c r="B309" s="151"/>
      <c r="C309" s="143"/>
      <c r="D309" s="143"/>
      <c r="E309" s="411"/>
      <c r="F309" s="411"/>
      <c r="G309" s="411"/>
      <c r="H309" s="411"/>
      <c r="I309" s="411"/>
      <c r="J309" s="411"/>
      <c r="K309" s="411"/>
      <c r="L309" s="411"/>
      <c r="M309" s="411"/>
      <c r="N309" s="411"/>
      <c r="O309" s="411"/>
      <c r="P309" s="411"/>
      <c r="Q309" s="411"/>
      <c r="R309" s="411"/>
      <c r="S309" s="411"/>
      <c r="T309" s="411"/>
      <c r="U309" s="411"/>
      <c r="V309" s="411"/>
      <c r="W309" s="411"/>
      <c r="X309" s="411"/>
      <c r="Y309" s="411"/>
      <c r="Z309" s="411"/>
      <c r="AA309" s="411"/>
      <c r="AB309" s="411"/>
      <c r="AC309" s="411"/>
      <c r="AD309" s="411"/>
      <c r="AF309" s="411"/>
      <c r="AG309" s="411"/>
    </row>
    <row r="310" spans="2:33" x14ac:dyDescent="0.35">
      <c r="B310" s="151"/>
      <c r="C310" s="143"/>
      <c r="D310" s="143"/>
      <c r="E310" s="411"/>
      <c r="F310" s="411"/>
      <c r="G310" s="411"/>
      <c r="H310" s="411"/>
      <c r="I310" s="411"/>
      <c r="J310" s="411"/>
      <c r="K310" s="411"/>
      <c r="L310" s="411"/>
      <c r="M310" s="411"/>
      <c r="N310" s="411"/>
      <c r="O310" s="411"/>
      <c r="P310" s="411"/>
      <c r="Q310" s="411"/>
      <c r="R310" s="411"/>
      <c r="S310" s="411"/>
      <c r="T310" s="411"/>
      <c r="U310" s="411"/>
      <c r="V310" s="411"/>
      <c r="W310" s="411"/>
      <c r="X310" s="411"/>
      <c r="Y310" s="411"/>
      <c r="Z310" s="411"/>
      <c r="AA310" s="411"/>
      <c r="AB310" s="411"/>
      <c r="AC310" s="411"/>
      <c r="AD310" s="411"/>
      <c r="AF310" s="411"/>
      <c r="AG310" s="411"/>
    </row>
    <row r="311" spans="2:33" x14ac:dyDescent="0.35">
      <c r="B311" s="151"/>
      <c r="C311" s="143"/>
      <c r="D311" s="143"/>
      <c r="E311" s="411"/>
      <c r="F311" s="411"/>
      <c r="G311" s="411"/>
      <c r="H311" s="411"/>
      <c r="I311" s="411"/>
      <c r="J311" s="411"/>
      <c r="K311" s="411"/>
      <c r="L311" s="411"/>
      <c r="M311" s="411"/>
      <c r="N311" s="411"/>
      <c r="O311" s="411"/>
      <c r="P311" s="411"/>
      <c r="Q311" s="411"/>
      <c r="R311" s="411"/>
      <c r="S311" s="411"/>
      <c r="T311" s="411"/>
      <c r="U311" s="411"/>
      <c r="V311" s="411"/>
      <c r="W311" s="411"/>
      <c r="X311" s="411"/>
      <c r="Y311" s="411"/>
      <c r="Z311" s="411"/>
      <c r="AA311" s="411"/>
      <c r="AB311" s="411"/>
      <c r="AC311" s="411"/>
      <c r="AD311" s="411"/>
      <c r="AF311" s="411"/>
      <c r="AG311" s="411"/>
    </row>
    <row r="312" spans="2:33" x14ac:dyDescent="0.35">
      <c r="B312" s="151"/>
      <c r="C312" s="143"/>
      <c r="D312" s="143"/>
      <c r="E312" s="411"/>
      <c r="F312" s="411"/>
      <c r="G312" s="411"/>
      <c r="H312" s="411"/>
      <c r="I312" s="411"/>
      <c r="J312" s="411"/>
      <c r="K312" s="411"/>
      <c r="L312" s="411"/>
      <c r="M312" s="411"/>
      <c r="N312" s="411"/>
      <c r="O312" s="411"/>
      <c r="P312" s="411"/>
      <c r="Q312" s="411"/>
      <c r="R312" s="411"/>
      <c r="S312" s="411"/>
      <c r="T312" s="411"/>
      <c r="U312" s="411"/>
      <c r="V312" s="411"/>
      <c r="W312" s="411"/>
      <c r="X312" s="411"/>
      <c r="Y312" s="411"/>
      <c r="Z312" s="411"/>
      <c r="AA312" s="411"/>
      <c r="AB312" s="411"/>
      <c r="AC312" s="411"/>
      <c r="AD312" s="411"/>
      <c r="AF312" s="411"/>
      <c r="AG312" s="411"/>
    </row>
    <row r="313" spans="2:33" x14ac:dyDescent="0.35">
      <c r="B313" s="151"/>
      <c r="C313" s="143"/>
      <c r="D313" s="143"/>
      <c r="E313" s="411"/>
      <c r="F313" s="411"/>
      <c r="G313" s="411"/>
      <c r="H313" s="411"/>
      <c r="I313" s="411"/>
      <c r="J313" s="411"/>
      <c r="K313" s="411"/>
      <c r="L313" s="411"/>
      <c r="M313" s="411"/>
      <c r="N313" s="411"/>
      <c r="O313" s="411"/>
      <c r="P313" s="411"/>
      <c r="Q313" s="411"/>
      <c r="R313" s="411"/>
      <c r="S313" s="411"/>
      <c r="T313" s="411"/>
      <c r="U313" s="411"/>
      <c r="V313" s="411"/>
      <c r="W313" s="411"/>
      <c r="X313" s="411"/>
      <c r="Y313" s="411"/>
      <c r="Z313" s="411"/>
      <c r="AA313" s="411"/>
      <c r="AB313" s="411"/>
      <c r="AC313" s="411"/>
      <c r="AD313" s="411"/>
      <c r="AF313" s="411"/>
      <c r="AG313" s="411"/>
    </row>
    <row r="314" spans="2:33" x14ac:dyDescent="0.35">
      <c r="B314" s="151"/>
      <c r="C314" s="143"/>
      <c r="D314" s="143"/>
      <c r="E314" s="411"/>
      <c r="F314" s="411"/>
      <c r="G314" s="411"/>
      <c r="H314" s="411"/>
      <c r="I314" s="411"/>
      <c r="J314" s="411"/>
      <c r="K314" s="411"/>
      <c r="L314" s="411"/>
      <c r="M314" s="411"/>
      <c r="N314" s="411"/>
      <c r="O314" s="411"/>
      <c r="P314" s="411"/>
      <c r="Q314" s="411"/>
      <c r="R314" s="411"/>
      <c r="S314" s="411"/>
      <c r="T314" s="411"/>
      <c r="U314" s="411"/>
      <c r="V314" s="411"/>
      <c r="W314" s="411"/>
      <c r="X314" s="411"/>
      <c r="Y314" s="411"/>
      <c r="Z314" s="411"/>
      <c r="AA314" s="411"/>
      <c r="AB314" s="411"/>
      <c r="AC314" s="411"/>
      <c r="AD314" s="411"/>
      <c r="AF314" s="411"/>
      <c r="AG314" s="411"/>
    </row>
    <row r="315" spans="2:33" x14ac:dyDescent="0.35">
      <c r="B315" s="151"/>
      <c r="C315" s="143"/>
      <c r="D315" s="143"/>
      <c r="E315" s="411"/>
      <c r="F315" s="411"/>
      <c r="G315" s="411"/>
      <c r="H315" s="411"/>
      <c r="I315" s="411"/>
      <c r="J315" s="411"/>
      <c r="K315" s="411"/>
      <c r="L315" s="411"/>
      <c r="M315" s="411"/>
      <c r="N315" s="411"/>
      <c r="O315" s="411"/>
      <c r="P315" s="411"/>
      <c r="Q315" s="411"/>
      <c r="R315" s="411"/>
      <c r="S315" s="411"/>
      <c r="T315" s="411"/>
      <c r="U315" s="411"/>
      <c r="V315" s="411"/>
      <c r="W315" s="411"/>
      <c r="X315" s="411"/>
      <c r="Y315" s="411"/>
      <c r="Z315" s="411"/>
      <c r="AA315" s="411"/>
      <c r="AB315" s="411"/>
      <c r="AC315" s="411"/>
      <c r="AD315" s="411"/>
      <c r="AF315" s="411"/>
      <c r="AG315" s="411"/>
    </row>
    <row r="316" spans="2:33" x14ac:dyDescent="0.35">
      <c r="B316" s="151"/>
      <c r="C316" s="143"/>
      <c r="D316" s="143"/>
      <c r="E316" s="411"/>
      <c r="F316" s="411"/>
      <c r="G316" s="411"/>
      <c r="H316" s="411"/>
      <c r="I316" s="411"/>
      <c r="J316" s="411"/>
      <c r="K316" s="411"/>
      <c r="L316" s="411"/>
      <c r="M316" s="411"/>
      <c r="N316" s="411"/>
      <c r="O316" s="411"/>
      <c r="P316" s="411"/>
      <c r="Q316" s="411"/>
      <c r="R316" s="411"/>
      <c r="S316" s="411"/>
      <c r="T316" s="411"/>
      <c r="U316" s="411"/>
      <c r="V316" s="411"/>
      <c r="W316" s="411"/>
      <c r="X316" s="411"/>
      <c r="Y316" s="411"/>
      <c r="Z316" s="411"/>
      <c r="AA316" s="411"/>
      <c r="AB316" s="411"/>
      <c r="AC316" s="411"/>
      <c r="AD316" s="411"/>
      <c r="AF316" s="411"/>
      <c r="AG316" s="411"/>
    </row>
    <row r="317" spans="2:33" x14ac:dyDescent="0.35">
      <c r="B317" s="151"/>
      <c r="C317" s="143"/>
      <c r="D317" s="143"/>
      <c r="E317" s="411"/>
      <c r="F317" s="411"/>
      <c r="G317" s="411"/>
      <c r="H317" s="411"/>
      <c r="I317" s="411"/>
      <c r="J317" s="411"/>
      <c r="K317" s="411"/>
      <c r="L317" s="411"/>
      <c r="M317" s="411"/>
      <c r="N317" s="411"/>
      <c r="O317" s="411"/>
      <c r="P317" s="411"/>
      <c r="Q317" s="411"/>
      <c r="R317" s="411"/>
      <c r="S317" s="411"/>
      <c r="T317" s="411"/>
      <c r="U317" s="411"/>
      <c r="V317" s="411"/>
      <c r="W317" s="411"/>
      <c r="X317" s="411"/>
      <c r="Y317" s="411"/>
      <c r="Z317" s="411"/>
      <c r="AA317" s="411"/>
      <c r="AB317" s="411"/>
      <c r="AC317" s="411"/>
      <c r="AD317" s="411"/>
      <c r="AF317" s="411"/>
      <c r="AG317" s="411"/>
    </row>
    <row r="318" spans="2:33" x14ac:dyDescent="0.35">
      <c r="B318" s="151"/>
      <c r="C318" s="143"/>
      <c r="D318" s="143"/>
      <c r="E318" s="411"/>
      <c r="F318" s="411"/>
      <c r="G318" s="411"/>
      <c r="H318" s="411"/>
      <c r="I318" s="411"/>
      <c r="J318" s="411"/>
      <c r="K318" s="411"/>
      <c r="L318" s="411"/>
      <c r="M318" s="411"/>
      <c r="N318" s="411"/>
      <c r="O318" s="411"/>
      <c r="P318" s="411"/>
      <c r="Q318" s="411"/>
      <c r="R318" s="411"/>
      <c r="S318" s="411"/>
      <c r="T318" s="411"/>
      <c r="U318" s="411"/>
      <c r="V318" s="411"/>
      <c r="W318" s="411"/>
      <c r="X318" s="411"/>
      <c r="Y318" s="411"/>
      <c r="Z318" s="411"/>
      <c r="AA318" s="411"/>
      <c r="AB318" s="411"/>
      <c r="AC318" s="411"/>
      <c r="AD318" s="411"/>
      <c r="AF318" s="411"/>
      <c r="AG318" s="411"/>
    </row>
    <row r="319" spans="2:33" x14ac:dyDescent="0.35">
      <c r="B319" s="151"/>
      <c r="C319" s="143"/>
      <c r="D319" s="143"/>
      <c r="E319" s="411"/>
      <c r="F319" s="411"/>
      <c r="G319" s="411"/>
      <c r="H319" s="411"/>
      <c r="I319" s="411"/>
      <c r="J319" s="411"/>
      <c r="K319" s="411"/>
      <c r="L319" s="411"/>
      <c r="M319" s="411"/>
      <c r="N319" s="411"/>
      <c r="O319" s="411"/>
      <c r="P319" s="411"/>
      <c r="Q319" s="411"/>
      <c r="R319" s="411"/>
      <c r="S319" s="411"/>
      <c r="T319" s="411"/>
      <c r="U319" s="411"/>
      <c r="V319" s="411"/>
      <c r="W319" s="411"/>
      <c r="X319" s="411"/>
      <c r="Y319" s="411"/>
      <c r="Z319" s="411"/>
      <c r="AA319" s="411"/>
      <c r="AB319" s="411"/>
      <c r="AC319" s="411"/>
      <c r="AD319" s="411"/>
      <c r="AF319" s="411"/>
      <c r="AG319" s="411"/>
    </row>
    <row r="320" spans="2:33" x14ac:dyDescent="0.35">
      <c r="B320" s="151"/>
      <c r="C320" s="143"/>
      <c r="D320" s="143"/>
      <c r="E320" s="411"/>
      <c r="F320" s="411"/>
      <c r="G320" s="411"/>
      <c r="H320" s="411"/>
      <c r="I320" s="411"/>
      <c r="J320" s="411"/>
      <c r="K320" s="411"/>
      <c r="L320" s="411"/>
      <c r="M320" s="411"/>
      <c r="N320" s="411"/>
      <c r="O320" s="411"/>
      <c r="P320" s="411"/>
      <c r="Q320" s="411"/>
      <c r="R320" s="411"/>
      <c r="S320" s="411"/>
      <c r="T320" s="411"/>
      <c r="U320" s="411"/>
      <c r="V320" s="411"/>
      <c r="W320" s="411"/>
      <c r="X320" s="411"/>
      <c r="Y320" s="411"/>
      <c r="Z320" s="411"/>
      <c r="AA320" s="411"/>
      <c r="AB320" s="411"/>
      <c r="AC320" s="411"/>
      <c r="AD320" s="411"/>
      <c r="AF320" s="411"/>
      <c r="AG320" s="411"/>
    </row>
    <row r="321" spans="2:33" x14ac:dyDescent="0.35">
      <c r="B321" s="151"/>
      <c r="C321" s="143"/>
      <c r="D321" s="143"/>
      <c r="E321" s="411"/>
      <c r="F321" s="411"/>
      <c r="G321" s="411"/>
      <c r="H321" s="411"/>
      <c r="I321" s="411"/>
      <c r="J321" s="411"/>
      <c r="K321" s="411"/>
      <c r="L321" s="411"/>
      <c r="M321" s="411"/>
      <c r="N321" s="411"/>
      <c r="O321" s="411"/>
      <c r="P321" s="411"/>
      <c r="Q321" s="411"/>
      <c r="R321" s="411"/>
      <c r="S321" s="411"/>
      <c r="T321" s="411"/>
      <c r="U321" s="411"/>
      <c r="V321" s="411"/>
      <c r="W321" s="411"/>
      <c r="X321" s="411"/>
      <c r="Y321" s="411"/>
      <c r="Z321" s="411"/>
      <c r="AA321" s="411"/>
      <c r="AB321" s="411"/>
      <c r="AC321" s="411"/>
      <c r="AD321" s="411"/>
      <c r="AF321" s="411"/>
      <c r="AG321" s="411"/>
    </row>
    <row r="322" spans="2:33" x14ac:dyDescent="0.35">
      <c r="B322" s="151"/>
      <c r="C322" s="143"/>
      <c r="D322" s="143"/>
      <c r="E322" s="411"/>
      <c r="F322" s="411"/>
      <c r="G322" s="411"/>
      <c r="H322" s="411"/>
      <c r="I322" s="411"/>
      <c r="J322" s="411"/>
      <c r="K322" s="411"/>
      <c r="L322" s="411"/>
      <c r="M322" s="411"/>
      <c r="N322" s="411"/>
      <c r="O322" s="411"/>
      <c r="P322" s="411"/>
      <c r="Q322" s="411"/>
      <c r="R322" s="411"/>
      <c r="S322" s="411"/>
      <c r="T322" s="411"/>
      <c r="U322" s="411"/>
      <c r="V322" s="411"/>
      <c r="W322" s="411"/>
      <c r="X322" s="411"/>
      <c r="Y322" s="411"/>
      <c r="Z322" s="411"/>
      <c r="AA322" s="411"/>
      <c r="AB322" s="411"/>
      <c r="AC322" s="411"/>
      <c r="AD322" s="411"/>
      <c r="AF322" s="411"/>
      <c r="AG322" s="411"/>
    </row>
    <row r="323" spans="2:33" x14ac:dyDescent="0.35">
      <c r="B323" s="151"/>
      <c r="C323" s="143"/>
      <c r="D323" s="143"/>
      <c r="E323" s="411"/>
      <c r="F323" s="411"/>
      <c r="G323" s="411"/>
      <c r="H323" s="411"/>
      <c r="I323" s="411"/>
      <c r="J323" s="411"/>
      <c r="K323" s="411"/>
      <c r="L323" s="411"/>
      <c r="M323" s="411"/>
      <c r="N323" s="411"/>
      <c r="O323" s="411"/>
      <c r="P323" s="411"/>
      <c r="Q323" s="411"/>
      <c r="R323" s="411"/>
      <c r="S323" s="411"/>
      <c r="T323" s="411"/>
      <c r="U323" s="411"/>
      <c r="V323" s="411"/>
      <c r="W323" s="411"/>
      <c r="X323" s="411"/>
      <c r="Y323" s="411"/>
      <c r="Z323" s="411"/>
      <c r="AA323" s="411"/>
      <c r="AB323" s="411"/>
      <c r="AC323" s="411"/>
      <c r="AD323" s="411"/>
      <c r="AF323" s="411"/>
      <c r="AG323" s="411"/>
    </row>
    <row r="324" spans="2:33" x14ac:dyDescent="0.35">
      <c r="B324" s="151"/>
      <c r="C324" s="143"/>
      <c r="D324" s="143"/>
      <c r="E324" s="411"/>
      <c r="F324" s="411"/>
      <c r="G324" s="411"/>
      <c r="H324" s="411"/>
      <c r="I324" s="411"/>
      <c r="J324" s="411"/>
      <c r="K324" s="411"/>
      <c r="L324" s="411"/>
      <c r="M324" s="411"/>
      <c r="N324" s="411"/>
      <c r="O324" s="411"/>
      <c r="P324" s="411"/>
      <c r="Q324" s="411"/>
      <c r="R324" s="411"/>
      <c r="S324" s="411"/>
      <c r="T324" s="411"/>
      <c r="U324" s="411"/>
      <c r="V324" s="411"/>
      <c r="W324" s="411"/>
      <c r="X324" s="411"/>
      <c r="Y324" s="411"/>
      <c r="Z324" s="411"/>
      <c r="AA324" s="411"/>
      <c r="AB324" s="411"/>
      <c r="AC324" s="411"/>
      <c r="AD324" s="411"/>
      <c r="AF324" s="411"/>
      <c r="AG324" s="411"/>
    </row>
    <row r="325" spans="2:33" x14ac:dyDescent="0.35">
      <c r="B325" s="151"/>
      <c r="C325" s="143"/>
      <c r="D325" s="143"/>
      <c r="E325" s="411"/>
      <c r="F325" s="411"/>
      <c r="G325" s="411"/>
      <c r="H325" s="411"/>
      <c r="I325" s="411"/>
      <c r="J325" s="411"/>
      <c r="K325" s="411"/>
      <c r="L325" s="411"/>
      <c r="M325" s="411"/>
      <c r="N325" s="411"/>
      <c r="O325" s="411"/>
      <c r="P325" s="411"/>
      <c r="Q325" s="411"/>
      <c r="R325" s="411"/>
      <c r="S325" s="411"/>
      <c r="T325" s="411"/>
      <c r="U325" s="411"/>
      <c r="V325" s="411"/>
      <c r="W325" s="411"/>
      <c r="X325" s="411"/>
      <c r="Y325" s="411"/>
      <c r="Z325" s="411"/>
      <c r="AA325" s="411"/>
      <c r="AB325" s="411"/>
      <c r="AC325" s="411"/>
      <c r="AD325" s="411"/>
      <c r="AF325" s="411"/>
      <c r="AG325" s="411"/>
    </row>
    <row r="326" spans="2:33" x14ac:dyDescent="0.35">
      <c r="B326" s="151"/>
      <c r="C326" s="143"/>
      <c r="D326" s="143"/>
      <c r="E326" s="411"/>
      <c r="F326" s="411"/>
      <c r="G326" s="411"/>
      <c r="H326" s="411"/>
      <c r="I326" s="411"/>
      <c r="J326" s="411"/>
      <c r="K326" s="411"/>
      <c r="L326" s="411"/>
      <c r="M326" s="411"/>
      <c r="N326" s="411"/>
      <c r="O326" s="411"/>
      <c r="P326" s="411"/>
      <c r="Q326" s="411"/>
      <c r="R326" s="411"/>
      <c r="S326" s="411"/>
      <c r="T326" s="411"/>
      <c r="U326" s="411"/>
      <c r="V326" s="411"/>
      <c r="W326" s="411"/>
      <c r="X326" s="411"/>
      <c r="Y326" s="411"/>
      <c r="Z326" s="411"/>
      <c r="AA326" s="411"/>
      <c r="AB326" s="411"/>
      <c r="AC326" s="411"/>
      <c r="AD326" s="411"/>
      <c r="AF326" s="411"/>
      <c r="AG326" s="411"/>
    </row>
    <row r="327" spans="2:33" x14ac:dyDescent="0.35">
      <c r="B327" s="151"/>
      <c r="C327" s="143"/>
      <c r="D327" s="143"/>
      <c r="E327" s="411"/>
      <c r="F327" s="411"/>
      <c r="G327" s="411"/>
      <c r="H327" s="411"/>
      <c r="I327" s="411"/>
      <c r="J327" s="411"/>
      <c r="K327" s="411"/>
      <c r="L327" s="411"/>
      <c r="M327" s="411"/>
      <c r="N327" s="411"/>
      <c r="O327" s="411"/>
      <c r="P327" s="411"/>
      <c r="Q327" s="411"/>
      <c r="R327" s="411"/>
      <c r="S327" s="411"/>
      <c r="T327" s="411"/>
      <c r="U327" s="411"/>
      <c r="V327" s="411"/>
      <c r="W327" s="411"/>
      <c r="X327" s="411"/>
      <c r="Y327" s="411"/>
      <c r="Z327" s="411"/>
      <c r="AA327" s="411"/>
      <c r="AB327" s="411"/>
      <c r="AC327" s="411"/>
      <c r="AD327" s="411"/>
      <c r="AF327" s="411"/>
      <c r="AG327" s="411"/>
    </row>
    <row r="328" spans="2:33" x14ac:dyDescent="0.35">
      <c r="B328" s="151"/>
      <c r="C328" s="143"/>
      <c r="D328" s="143"/>
      <c r="E328" s="411"/>
      <c r="F328" s="411"/>
      <c r="G328" s="411"/>
      <c r="H328" s="411"/>
      <c r="I328" s="411"/>
      <c r="J328" s="411"/>
      <c r="K328" s="411"/>
      <c r="L328" s="411"/>
      <c r="M328" s="411"/>
      <c r="N328" s="411"/>
      <c r="O328" s="411"/>
      <c r="P328" s="411"/>
      <c r="Q328" s="411"/>
      <c r="R328" s="411"/>
      <c r="S328" s="411"/>
      <c r="T328" s="411"/>
      <c r="U328" s="411"/>
      <c r="V328" s="411"/>
      <c r="W328" s="411"/>
      <c r="X328" s="411"/>
      <c r="Y328" s="411"/>
      <c r="Z328" s="411"/>
      <c r="AA328" s="411"/>
      <c r="AB328" s="411"/>
      <c r="AC328" s="411"/>
      <c r="AD328" s="411"/>
      <c r="AF328" s="411"/>
      <c r="AG328" s="411"/>
    </row>
    <row r="329" spans="2:33" x14ac:dyDescent="0.35">
      <c r="B329" s="151"/>
      <c r="C329" s="143"/>
      <c r="D329" s="143"/>
      <c r="E329" s="411"/>
      <c r="F329" s="411"/>
      <c r="G329" s="411"/>
      <c r="H329" s="411"/>
      <c r="I329" s="411"/>
      <c r="J329" s="411"/>
      <c r="K329" s="411"/>
      <c r="L329" s="411"/>
      <c r="M329" s="411"/>
      <c r="N329" s="411"/>
      <c r="O329" s="411"/>
      <c r="P329" s="411"/>
      <c r="Q329" s="411"/>
      <c r="R329" s="411"/>
      <c r="S329" s="411"/>
      <c r="T329" s="411"/>
      <c r="U329" s="411"/>
      <c r="V329" s="411"/>
      <c r="W329" s="411"/>
      <c r="X329" s="411"/>
      <c r="Y329" s="411"/>
      <c r="Z329" s="411"/>
      <c r="AA329" s="411"/>
      <c r="AB329" s="411"/>
      <c r="AC329" s="411"/>
      <c r="AD329" s="411"/>
      <c r="AF329" s="411"/>
      <c r="AG329" s="411"/>
    </row>
    <row r="330" spans="2:33" x14ac:dyDescent="0.35">
      <c r="B330" s="151"/>
      <c r="C330" s="143"/>
      <c r="D330" s="143"/>
      <c r="E330" s="411"/>
      <c r="F330" s="411"/>
      <c r="G330" s="411"/>
      <c r="H330" s="411"/>
      <c r="I330" s="411"/>
      <c r="J330" s="411"/>
      <c r="K330" s="411"/>
      <c r="L330" s="411"/>
      <c r="M330" s="411"/>
      <c r="N330" s="411"/>
      <c r="O330" s="411"/>
      <c r="P330" s="411"/>
      <c r="Q330" s="411"/>
      <c r="R330" s="411"/>
      <c r="S330" s="411"/>
      <c r="T330" s="411"/>
      <c r="U330" s="411"/>
      <c r="V330" s="411"/>
      <c r="W330" s="411"/>
      <c r="X330" s="411"/>
      <c r="Y330" s="411"/>
      <c r="Z330" s="411"/>
      <c r="AA330" s="411"/>
      <c r="AB330" s="411"/>
      <c r="AC330" s="411"/>
      <c r="AD330" s="411"/>
      <c r="AF330" s="411"/>
      <c r="AG330" s="411"/>
    </row>
    <row r="331" spans="2:33" x14ac:dyDescent="0.35">
      <c r="B331" s="151"/>
      <c r="C331" s="143"/>
      <c r="D331" s="143"/>
      <c r="E331" s="411"/>
      <c r="F331" s="411"/>
      <c r="G331" s="411"/>
      <c r="H331" s="411"/>
      <c r="I331" s="411"/>
      <c r="J331" s="411"/>
      <c r="K331" s="411"/>
      <c r="L331" s="411"/>
      <c r="M331" s="411"/>
      <c r="N331" s="411"/>
      <c r="O331" s="411"/>
      <c r="P331" s="411"/>
      <c r="Q331" s="411"/>
      <c r="R331" s="411"/>
      <c r="S331" s="411"/>
      <c r="T331" s="411"/>
      <c r="U331" s="411"/>
      <c r="V331" s="411"/>
      <c r="W331" s="411"/>
      <c r="X331" s="411"/>
      <c r="Y331" s="411"/>
      <c r="Z331" s="411"/>
      <c r="AA331" s="411"/>
      <c r="AB331" s="411"/>
      <c r="AC331" s="411"/>
      <c r="AD331" s="411"/>
      <c r="AF331" s="411"/>
      <c r="AG331" s="411"/>
    </row>
    <row r="332" spans="2:33" x14ac:dyDescent="0.35">
      <c r="B332" s="151"/>
      <c r="C332" s="143"/>
      <c r="D332" s="143"/>
      <c r="E332" s="411"/>
      <c r="F332" s="411"/>
      <c r="G332" s="411"/>
      <c r="H332" s="411"/>
      <c r="I332" s="411"/>
      <c r="J332" s="411"/>
      <c r="K332" s="411"/>
      <c r="L332" s="411"/>
      <c r="M332" s="411"/>
      <c r="N332" s="411"/>
      <c r="O332" s="411"/>
      <c r="P332" s="411"/>
      <c r="Q332" s="411"/>
      <c r="R332" s="411"/>
      <c r="S332" s="411"/>
      <c r="T332" s="411"/>
      <c r="U332" s="411"/>
      <c r="V332" s="411"/>
      <c r="W332" s="411"/>
      <c r="X332" s="411"/>
      <c r="Y332" s="411"/>
      <c r="Z332" s="411"/>
      <c r="AA332" s="411"/>
      <c r="AB332" s="411"/>
      <c r="AC332" s="411"/>
      <c r="AD332" s="411"/>
      <c r="AF332" s="411"/>
      <c r="AG332" s="411"/>
    </row>
    <row r="333" spans="2:33" x14ac:dyDescent="0.35">
      <c r="B333" s="151"/>
      <c r="C333" s="143"/>
      <c r="D333" s="143"/>
      <c r="E333" s="411"/>
      <c r="F333" s="411"/>
      <c r="G333" s="411"/>
      <c r="H333" s="411"/>
      <c r="I333" s="411"/>
      <c r="J333" s="411"/>
      <c r="K333" s="411"/>
      <c r="L333" s="411"/>
      <c r="M333" s="411"/>
      <c r="N333" s="411"/>
      <c r="O333" s="411"/>
      <c r="P333" s="411"/>
      <c r="Q333" s="411"/>
      <c r="R333" s="411"/>
      <c r="S333" s="411"/>
      <c r="T333" s="411"/>
      <c r="U333" s="411"/>
      <c r="V333" s="411"/>
      <c r="W333" s="411"/>
      <c r="X333" s="411"/>
      <c r="Y333" s="411"/>
      <c r="Z333" s="411"/>
      <c r="AA333" s="411"/>
      <c r="AB333" s="411"/>
      <c r="AC333" s="411"/>
      <c r="AD333" s="411"/>
      <c r="AF333" s="411"/>
      <c r="AG333" s="411"/>
    </row>
    <row r="334" spans="2:33" x14ac:dyDescent="0.35">
      <c r="B334" s="151"/>
      <c r="C334" s="143"/>
      <c r="D334" s="143"/>
      <c r="E334" s="411"/>
      <c r="F334" s="411"/>
      <c r="G334" s="411"/>
      <c r="H334" s="411"/>
      <c r="I334" s="411"/>
      <c r="J334" s="411"/>
      <c r="K334" s="411"/>
      <c r="L334" s="411"/>
      <c r="M334" s="411"/>
      <c r="N334" s="411"/>
      <c r="O334" s="411"/>
      <c r="P334" s="411"/>
      <c r="Q334" s="411"/>
      <c r="R334" s="411"/>
      <c r="S334" s="411"/>
      <c r="T334" s="411"/>
      <c r="U334" s="411"/>
      <c r="V334" s="411"/>
      <c r="W334" s="411"/>
      <c r="X334" s="411"/>
      <c r="Y334" s="411"/>
      <c r="Z334" s="411"/>
      <c r="AA334" s="411"/>
      <c r="AB334" s="411"/>
      <c r="AC334" s="411"/>
      <c r="AD334" s="411"/>
      <c r="AF334" s="411"/>
      <c r="AG334" s="411"/>
    </row>
    <row r="335" spans="2:33" x14ac:dyDescent="0.35">
      <c r="B335" s="151"/>
      <c r="C335" s="143"/>
      <c r="D335" s="143"/>
      <c r="E335" s="411"/>
      <c r="F335" s="411"/>
      <c r="G335" s="411"/>
      <c r="H335" s="411"/>
      <c r="I335" s="411"/>
      <c r="J335" s="411"/>
      <c r="K335" s="411"/>
      <c r="L335" s="411"/>
      <c r="M335" s="411"/>
      <c r="N335" s="411"/>
      <c r="O335" s="411"/>
      <c r="P335" s="411"/>
      <c r="Q335" s="411"/>
      <c r="R335" s="411"/>
      <c r="S335" s="411"/>
      <c r="T335" s="411"/>
      <c r="U335" s="411"/>
      <c r="V335" s="411"/>
      <c r="W335" s="411"/>
      <c r="X335" s="411"/>
      <c r="Y335" s="411"/>
      <c r="Z335" s="411"/>
      <c r="AA335" s="411"/>
      <c r="AB335" s="411"/>
      <c r="AC335" s="411"/>
      <c r="AD335" s="411"/>
      <c r="AF335" s="411"/>
      <c r="AG335" s="411"/>
    </row>
    <row r="336" spans="2:33" x14ac:dyDescent="0.35">
      <c r="B336" s="151"/>
      <c r="C336" s="143"/>
      <c r="D336" s="143"/>
      <c r="E336" s="411"/>
      <c r="F336" s="411"/>
      <c r="G336" s="411"/>
      <c r="H336" s="411"/>
      <c r="I336" s="411"/>
      <c r="J336" s="411"/>
      <c r="K336" s="411"/>
      <c r="L336" s="411"/>
      <c r="M336" s="411"/>
      <c r="N336" s="411"/>
      <c r="O336" s="411"/>
      <c r="P336" s="411"/>
      <c r="Q336" s="411"/>
      <c r="R336" s="411"/>
      <c r="S336" s="411"/>
      <c r="T336" s="411"/>
      <c r="U336" s="411"/>
      <c r="V336" s="411"/>
      <c r="W336" s="411"/>
      <c r="X336" s="411"/>
      <c r="Y336" s="411"/>
      <c r="Z336" s="411"/>
      <c r="AA336" s="411"/>
      <c r="AB336" s="411"/>
      <c r="AC336" s="411"/>
      <c r="AD336" s="411"/>
      <c r="AF336" s="411"/>
      <c r="AG336" s="411"/>
    </row>
    <row r="337" spans="2:33" x14ac:dyDescent="0.35">
      <c r="B337" s="151"/>
      <c r="C337" s="143"/>
      <c r="D337" s="143"/>
      <c r="E337" s="411"/>
      <c r="F337" s="411"/>
      <c r="G337" s="411"/>
      <c r="H337" s="411"/>
      <c r="I337" s="411"/>
      <c r="J337" s="411"/>
      <c r="K337" s="411"/>
      <c r="L337" s="411"/>
      <c r="M337" s="411"/>
      <c r="N337" s="411"/>
      <c r="O337" s="411"/>
      <c r="P337" s="411"/>
      <c r="Q337" s="411"/>
      <c r="R337" s="411"/>
      <c r="S337" s="411"/>
      <c r="T337" s="411"/>
      <c r="U337" s="411"/>
      <c r="V337" s="411"/>
      <c r="W337" s="411"/>
      <c r="X337" s="411"/>
      <c r="Y337" s="411"/>
      <c r="Z337" s="411"/>
      <c r="AA337" s="411"/>
      <c r="AB337" s="411"/>
      <c r="AC337" s="411"/>
      <c r="AD337" s="411"/>
      <c r="AF337" s="411"/>
      <c r="AG337" s="411"/>
    </row>
    <row r="338" spans="2:33" x14ac:dyDescent="0.35">
      <c r="B338" s="151"/>
      <c r="C338" s="143"/>
      <c r="D338" s="143"/>
      <c r="E338" s="411"/>
      <c r="F338" s="411"/>
      <c r="G338" s="411"/>
      <c r="H338" s="411"/>
      <c r="I338" s="411"/>
      <c r="J338" s="411"/>
      <c r="K338" s="411"/>
      <c r="L338" s="411"/>
      <c r="M338" s="411"/>
      <c r="N338" s="411"/>
      <c r="O338" s="411"/>
      <c r="P338" s="411"/>
      <c r="Q338" s="411"/>
      <c r="R338" s="411"/>
      <c r="S338" s="411"/>
      <c r="T338" s="411"/>
      <c r="U338" s="411"/>
      <c r="V338" s="411"/>
      <c r="W338" s="411"/>
      <c r="X338" s="411"/>
      <c r="Y338" s="411"/>
      <c r="Z338" s="411"/>
      <c r="AA338" s="411"/>
      <c r="AB338" s="411"/>
      <c r="AC338" s="411"/>
      <c r="AD338" s="411"/>
      <c r="AF338" s="411"/>
      <c r="AG338" s="411"/>
    </row>
    <row r="339" spans="2:33" x14ac:dyDescent="0.35">
      <c r="B339" s="151"/>
      <c r="C339" s="143"/>
      <c r="D339" s="143"/>
      <c r="E339" s="411"/>
      <c r="F339" s="411"/>
      <c r="G339" s="411"/>
      <c r="H339" s="411"/>
      <c r="I339" s="411"/>
      <c r="J339" s="411"/>
      <c r="K339" s="411"/>
      <c r="L339" s="411"/>
      <c r="M339" s="411"/>
      <c r="N339" s="411"/>
      <c r="O339" s="411"/>
      <c r="P339" s="411"/>
      <c r="Q339" s="411"/>
      <c r="R339" s="411"/>
      <c r="S339" s="411"/>
      <c r="T339" s="411"/>
      <c r="U339" s="411"/>
      <c r="V339" s="411"/>
      <c r="W339" s="411"/>
      <c r="X339" s="411"/>
      <c r="Y339" s="411"/>
      <c r="Z339" s="411"/>
      <c r="AA339" s="411"/>
      <c r="AB339" s="411"/>
      <c r="AC339" s="411"/>
      <c r="AD339" s="411"/>
      <c r="AF339" s="411"/>
      <c r="AG339" s="411"/>
    </row>
    <row r="340" spans="2:33" x14ac:dyDescent="0.35">
      <c r="B340" s="151"/>
      <c r="C340" s="143"/>
      <c r="D340" s="143"/>
      <c r="E340" s="411"/>
      <c r="F340" s="411"/>
      <c r="G340" s="411"/>
      <c r="H340" s="411"/>
      <c r="I340" s="411"/>
      <c r="J340" s="411"/>
      <c r="K340" s="411"/>
      <c r="L340" s="411"/>
      <c r="M340" s="411"/>
      <c r="N340" s="411"/>
      <c r="O340" s="411"/>
      <c r="P340" s="411"/>
      <c r="Q340" s="411"/>
      <c r="R340" s="411"/>
      <c r="S340" s="411"/>
      <c r="T340" s="411"/>
      <c r="U340" s="411"/>
      <c r="V340" s="411"/>
      <c r="W340" s="411"/>
      <c r="X340" s="411"/>
      <c r="Y340" s="411"/>
      <c r="Z340" s="411"/>
      <c r="AA340" s="411"/>
      <c r="AB340" s="411"/>
      <c r="AC340" s="411"/>
      <c r="AD340" s="411"/>
      <c r="AF340" s="411"/>
      <c r="AG340" s="411"/>
    </row>
    <row r="341" spans="2:33" x14ac:dyDescent="0.35">
      <c r="B341" s="151"/>
      <c r="C341" s="143"/>
      <c r="D341" s="143"/>
      <c r="E341" s="411"/>
      <c r="F341" s="411"/>
      <c r="G341" s="411"/>
      <c r="H341" s="411"/>
      <c r="I341" s="411"/>
      <c r="J341" s="411"/>
      <c r="K341" s="411"/>
      <c r="L341" s="411"/>
      <c r="M341" s="411"/>
      <c r="N341" s="411"/>
      <c r="O341" s="411"/>
      <c r="P341" s="411"/>
      <c r="Q341" s="411"/>
      <c r="R341" s="411"/>
      <c r="S341" s="411"/>
      <c r="T341" s="411"/>
      <c r="U341" s="411"/>
      <c r="V341" s="411"/>
      <c r="W341" s="411"/>
      <c r="X341" s="411"/>
      <c r="Y341" s="411"/>
      <c r="Z341" s="411"/>
      <c r="AA341" s="411"/>
      <c r="AB341" s="411"/>
      <c r="AC341" s="411"/>
      <c r="AD341" s="411"/>
      <c r="AF341" s="411"/>
      <c r="AG341" s="411"/>
    </row>
    <row r="342" spans="2:33" x14ac:dyDescent="0.35">
      <c r="B342" s="151"/>
      <c r="C342" s="143"/>
      <c r="D342" s="143"/>
      <c r="E342" s="411"/>
      <c r="F342" s="411"/>
      <c r="G342" s="411"/>
      <c r="H342" s="411"/>
      <c r="I342" s="411"/>
      <c r="J342" s="411"/>
      <c r="K342" s="411"/>
      <c r="L342" s="411"/>
      <c r="M342" s="411"/>
      <c r="N342" s="411"/>
      <c r="O342" s="411"/>
      <c r="P342" s="411"/>
      <c r="Q342" s="411"/>
      <c r="R342" s="411"/>
      <c r="S342" s="411"/>
      <c r="T342" s="411"/>
      <c r="U342" s="411"/>
      <c r="V342" s="411"/>
      <c r="W342" s="411"/>
      <c r="X342" s="411"/>
      <c r="Y342" s="411"/>
      <c r="Z342" s="411"/>
      <c r="AA342" s="411"/>
      <c r="AB342" s="411"/>
      <c r="AC342" s="411"/>
      <c r="AD342" s="411"/>
      <c r="AF342" s="411"/>
      <c r="AG342" s="411"/>
    </row>
    <row r="343" spans="2:33" x14ac:dyDescent="0.35">
      <c r="B343" s="151"/>
      <c r="C343" s="143"/>
      <c r="D343" s="143"/>
      <c r="E343" s="411"/>
      <c r="F343" s="411"/>
      <c r="G343" s="411"/>
      <c r="H343" s="411"/>
      <c r="I343" s="411"/>
      <c r="J343" s="411"/>
      <c r="K343" s="411"/>
      <c r="L343" s="411"/>
      <c r="M343" s="411"/>
      <c r="N343" s="411"/>
      <c r="O343" s="411"/>
      <c r="P343" s="411"/>
      <c r="Q343" s="411"/>
      <c r="R343" s="411"/>
      <c r="S343" s="411"/>
      <c r="T343" s="411"/>
      <c r="U343" s="411"/>
      <c r="V343" s="411"/>
      <c r="W343" s="411"/>
      <c r="X343" s="411"/>
      <c r="Y343" s="411"/>
      <c r="Z343" s="411"/>
      <c r="AA343" s="411"/>
      <c r="AB343" s="411"/>
      <c r="AC343" s="411"/>
      <c r="AD343" s="411"/>
      <c r="AF343" s="411"/>
      <c r="AG343" s="411"/>
    </row>
    <row r="344" spans="2:33" x14ac:dyDescent="0.35">
      <c r="B344" s="151"/>
      <c r="C344" s="143"/>
      <c r="D344" s="143"/>
      <c r="E344" s="411"/>
      <c r="F344" s="411"/>
      <c r="G344" s="411"/>
      <c r="H344" s="411"/>
      <c r="I344" s="411"/>
      <c r="J344" s="411"/>
      <c r="K344" s="411"/>
      <c r="L344" s="411"/>
      <c r="M344" s="411"/>
      <c r="N344" s="411"/>
      <c r="O344" s="411"/>
      <c r="P344" s="411"/>
      <c r="Q344" s="411"/>
      <c r="R344" s="411"/>
      <c r="S344" s="411"/>
      <c r="T344" s="411"/>
      <c r="U344" s="411"/>
      <c r="V344" s="411"/>
      <c r="W344" s="411"/>
      <c r="X344" s="411"/>
      <c r="Y344" s="411"/>
      <c r="Z344" s="411"/>
      <c r="AA344" s="411"/>
      <c r="AB344" s="411"/>
      <c r="AC344" s="411"/>
      <c r="AD344" s="411"/>
      <c r="AF344" s="411"/>
      <c r="AG344" s="411"/>
    </row>
    <row r="345" spans="2:33" x14ac:dyDescent="0.35">
      <c r="B345" s="151"/>
      <c r="C345" s="143"/>
      <c r="D345" s="143"/>
      <c r="E345" s="411"/>
      <c r="F345" s="411"/>
      <c r="G345" s="411"/>
      <c r="H345" s="411"/>
      <c r="I345" s="411"/>
      <c r="J345" s="411"/>
      <c r="K345" s="411"/>
      <c r="L345" s="411"/>
      <c r="M345" s="411"/>
      <c r="N345" s="411"/>
      <c r="O345" s="411"/>
      <c r="P345" s="411"/>
      <c r="Q345" s="411"/>
      <c r="R345" s="411"/>
      <c r="S345" s="411"/>
      <c r="T345" s="411"/>
      <c r="U345" s="411"/>
      <c r="V345" s="411"/>
      <c r="W345" s="411"/>
      <c r="X345" s="411"/>
      <c r="Y345" s="411"/>
      <c r="Z345" s="411"/>
      <c r="AA345" s="411"/>
      <c r="AB345" s="411"/>
      <c r="AC345" s="411"/>
      <c r="AD345" s="411"/>
      <c r="AF345" s="411"/>
      <c r="AG345" s="411"/>
    </row>
    <row r="346" spans="2:33" x14ac:dyDescent="0.35">
      <c r="B346" s="151"/>
      <c r="C346" s="143"/>
      <c r="D346" s="143"/>
      <c r="E346" s="411"/>
      <c r="F346" s="411"/>
      <c r="G346" s="411"/>
      <c r="H346" s="411"/>
      <c r="I346" s="411"/>
      <c r="J346" s="411"/>
      <c r="K346" s="411"/>
      <c r="L346" s="411"/>
      <c r="M346" s="411"/>
      <c r="N346" s="411"/>
      <c r="O346" s="411"/>
      <c r="P346" s="411"/>
      <c r="Q346" s="411"/>
      <c r="R346" s="411"/>
      <c r="S346" s="411"/>
      <c r="T346" s="411"/>
      <c r="U346" s="411"/>
      <c r="V346" s="411"/>
      <c r="W346" s="411"/>
      <c r="X346" s="411"/>
      <c r="Y346" s="411"/>
      <c r="Z346" s="411"/>
      <c r="AA346" s="411"/>
      <c r="AB346" s="411"/>
      <c r="AC346" s="411"/>
      <c r="AD346" s="411"/>
      <c r="AF346" s="411"/>
      <c r="AG346" s="411"/>
    </row>
    <row r="347" spans="2:33" x14ac:dyDescent="0.35">
      <c r="B347" s="151"/>
      <c r="C347" s="143"/>
      <c r="D347" s="143"/>
      <c r="E347" s="411"/>
      <c r="F347" s="411"/>
      <c r="G347" s="411"/>
      <c r="H347" s="411"/>
      <c r="I347" s="411"/>
      <c r="J347" s="411"/>
      <c r="K347" s="411"/>
      <c r="L347" s="411"/>
      <c r="M347" s="411"/>
      <c r="N347" s="411"/>
      <c r="O347" s="411"/>
      <c r="P347" s="411"/>
      <c r="Q347" s="411"/>
      <c r="R347" s="411"/>
      <c r="S347" s="411"/>
      <c r="T347" s="411"/>
      <c r="U347" s="411"/>
      <c r="V347" s="411"/>
      <c r="W347" s="411"/>
      <c r="X347" s="411"/>
      <c r="Y347" s="411"/>
      <c r="Z347" s="411"/>
      <c r="AA347" s="411"/>
      <c r="AB347" s="411"/>
      <c r="AC347" s="411"/>
      <c r="AD347" s="411"/>
      <c r="AF347" s="411"/>
      <c r="AG347" s="411"/>
    </row>
    <row r="348" spans="2:33" x14ac:dyDescent="0.35">
      <c r="B348" s="151"/>
      <c r="C348" s="143"/>
      <c r="D348" s="143"/>
      <c r="E348" s="411"/>
      <c r="F348" s="411"/>
      <c r="G348" s="411"/>
      <c r="H348" s="411"/>
      <c r="I348" s="411"/>
      <c r="J348" s="411"/>
      <c r="K348" s="411"/>
      <c r="L348" s="411"/>
      <c r="M348" s="411"/>
      <c r="N348" s="411"/>
      <c r="O348" s="411"/>
      <c r="P348" s="411"/>
      <c r="Q348" s="411"/>
      <c r="R348" s="411"/>
      <c r="S348" s="411"/>
      <c r="T348" s="411"/>
      <c r="U348" s="411"/>
      <c r="V348" s="411"/>
      <c r="W348" s="411"/>
      <c r="X348" s="411"/>
      <c r="Y348" s="411"/>
      <c r="Z348" s="411"/>
      <c r="AA348" s="411"/>
      <c r="AB348" s="411"/>
      <c r="AC348" s="411"/>
      <c r="AD348" s="411"/>
      <c r="AF348" s="411"/>
      <c r="AG348" s="411"/>
    </row>
    <row r="349" spans="2:33" x14ac:dyDescent="0.35">
      <c r="B349" s="151"/>
      <c r="C349" s="143"/>
      <c r="D349" s="143"/>
      <c r="E349" s="411"/>
      <c r="F349" s="411"/>
      <c r="G349" s="411"/>
      <c r="H349" s="411"/>
      <c r="I349" s="411"/>
      <c r="J349" s="411"/>
      <c r="K349" s="411"/>
      <c r="L349" s="411"/>
      <c r="M349" s="411"/>
      <c r="N349" s="411"/>
      <c r="O349" s="411"/>
      <c r="P349" s="411"/>
      <c r="Q349" s="411"/>
      <c r="R349" s="411"/>
      <c r="S349" s="411"/>
      <c r="T349" s="411"/>
      <c r="U349" s="411"/>
      <c r="V349" s="411"/>
      <c r="W349" s="411"/>
      <c r="X349" s="411"/>
      <c r="Y349" s="411"/>
      <c r="Z349" s="411"/>
      <c r="AA349" s="411"/>
      <c r="AB349" s="411"/>
      <c r="AC349" s="411"/>
      <c r="AD349" s="411"/>
      <c r="AF349" s="411"/>
      <c r="AG349" s="411"/>
    </row>
    <row r="350" spans="2:33" x14ac:dyDescent="0.35">
      <c r="B350" s="151"/>
      <c r="C350" s="143"/>
      <c r="D350" s="143"/>
      <c r="E350" s="411"/>
      <c r="F350" s="411"/>
      <c r="G350" s="411"/>
      <c r="H350" s="411"/>
      <c r="I350" s="411"/>
      <c r="J350" s="411"/>
      <c r="K350" s="411"/>
      <c r="L350" s="411"/>
      <c r="M350" s="411"/>
      <c r="N350" s="411"/>
      <c r="O350" s="411"/>
      <c r="P350" s="411"/>
      <c r="Q350" s="411"/>
      <c r="R350" s="411"/>
      <c r="S350" s="411"/>
      <c r="T350" s="411"/>
      <c r="U350" s="411"/>
      <c r="V350" s="411"/>
      <c r="W350" s="411"/>
      <c r="X350" s="411"/>
      <c r="Y350" s="411"/>
      <c r="Z350" s="411"/>
      <c r="AA350" s="411"/>
      <c r="AB350" s="411"/>
      <c r="AC350" s="411"/>
      <c r="AD350" s="411"/>
      <c r="AF350" s="411"/>
      <c r="AG350" s="411"/>
    </row>
    <row r="351" spans="2:33" x14ac:dyDescent="0.35">
      <c r="B351" s="151"/>
      <c r="C351" s="143"/>
      <c r="D351" s="143"/>
      <c r="E351" s="411"/>
      <c r="F351" s="411"/>
      <c r="G351" s="411"/>
      <c r="H351" s="411"/>
      <c r="I351" s="411"/>
      <c r="J351" s="411"/>
      <c r="K351" s="411"/>
      <c r="L351" s="411"/>
      <c r="M351" s="411"/>
      <c r="N351" s="411"/>
      <c r="O351" s="411"/>
      <c r="P351" s="411"/>
      <c r="Q351" s="411"/>
      <c r="R351" s="411"/>
      <c r="S351" s="411"/>
      <c r="T351" s="411"/>
      <c r="U351" s="411"/>
      <c r="V351" s="411"/>
      <c r="W351" s="411"/>
      <c r="X351" s="411"/>
      <c r="Y351" s="411"/>
      <c r="Z351" s="411"/>
      <c r="AA351" s="411"/>
      <c r="AB351" s="411"/>
      <c r="AC351" s="411"/>
      <c r="AD351" s="411"/>
      <c r="AF351" s="411"/>
      <c r="AG351" s="411"/>
    </row>
    <row r="352" spans="2:33" x14ac:dyDescent="0.35">
      <c r="B352" s="151"/>
      <c r="C352" s="143"/>
      <c r="D352" s="143"/>
      <c r="E352" s="411"/>
      <c r="F352" s="411"/>
      <c r="G352" s="411"/>
      <c r="H352" s="411"/>
      <c r="I352" s="411"/>
      <c r="J352" s="411"/>
      <c r="K352" s="411"/>
      <c r="L352" s="411"/>
      <c r="M352" s="411"/>
      <c r="N352" s="411"/>
      <c r="O352" s="411"/>
      <c r="P352" s="411"/>
      <c r="Q352" s="411"/>
      <c r="R352" s="411"/>
      <c r="S352" s="411"/>
      <c r="T352" s="411"/>
      <c r="U352" s="411"/>
      <c r="V352" s="411"/>
      <c r="W352" s="411"/>
      <c r="X352" s="411"/>
      <c r="Y352" s="411"/>
      <c r="Z352" s="411"/>
      <c r="AA352" s="411"/>
      <c r="AB352" s="411"/>
      <c r="AC352" s="411"/>
      <c r="AD352" s="411"/>
      <c r="AF352" s="411"/>
      <c r="AG352" s="411"/>
    </row>
    <row r="353" spans="2:33" x14ac:dyDescent="0.35">
      <c r="B353" s="151"/>
      <c r="C353" s="143"/>
      <c r="D353" s="143"/>
      <c r="E353" s="411"/>
      <c r="F353" s="411"/>
      <c r="G353" s="411"/>
      <c r="H353" s="411"/>
      <c r="I353" s="411"/>
      <c r="J353" s="411"/>
      <c r="K353" s="411"/>
      <c r="L353" s="411"/>
      <c r="M353" s="411"/>
      <c r="N353" s="411"/>
      <c r="O353" s="411"/>
      <c r="P353" s="411"/>
      <c r="Q353" s="411"/>
      <c r="R353" s="411"/>
      <c r="S353" s="411"/>
      <c r="T353" s="411"/>
      <c r="U353" s="411"/>
      <c r="V353" s="411"/>
      <c r="W353" s="411"/>
      <c r="X353" s="411"/>
      <c r="Y353" s="411"/>
      <c r="Z353" s="411"/>
      <c r="AA353" s="411"/>
      <c r="AB353" s="411"/>
      <c r="AC353" s="411"/>
      <c r="AD353" s="411"/>
      <c r="AF353" s="411"/>
      <c r="AG353" s="411"/>
    </row>
    <row r="354" spans="2:33" x14ac:dyDescent="0.35">
      <c r="B354" s="151"/>
      <c r="C354" s="143"/>
      <c r="D354" s="143"/>
      <c r="E354" s="411"/>
      <c r="F354" s="411"/>
      <c r="G354" s="411"/>
      <c r="H354" s="411"/>
      <c r="I354" s="411"/>
      <c r="J354" s="411"/>
      <c r="K354" s="411"/>
      <c r="L354" s="411"/>
      <c r="M354" s="411"/>
      <c r="N354" s="411"/>
      <c r="O354" s="411"/>
      <c r="P354" s="411"/>
      <c r="Q354" s="411"/>
      <c r="R354" s="411"/>
      <c r="S354" s="411"/>
      <c r="T354" s="411"/>
      <c r="U354" s="411"/>
      <c r="V354" s="411"/>
      <c r="W354" s="411"/>
      <c r="X354" s="411"/>
      <c r="Y354" s="411"/>
      <c r="Z354" s="411"/>
      <c r="AA354" s="411"/>
      <c r="AB354" s="411"/>
      <c r="AC354" s="411"/>
      <c r="AD354" s="411"/>
      <c r="AF354" s="411"/>
      <c r="AG354" s="411"/>
    </row>
    <row r="355" spans="2:33" x14ac:dyDescent="0.35">
      <c r="B355" s="151"/>
      <c r="C355" s="143"/>
      <c r="D355" s="143"/>
      <c r="E355" s="411"/>
      <c r="F355" s="411"/>
      <c r="G355" s="411"/>
      <c r="H355" s="411"/>
      <c r="I355" s="411"/>
      <c r="J355" s="411"/>
      <c r="K355" s="411"/>
      <c r="L355" s="411"/>
      <c r="M355" s="411"/>
      <c r="N355" s="411"/>
      <c r="O355" s="411"/>
      <c r="P355" s="411"/>
      <c r="Q355" s="411"/>
      <c r="R355" s="411"/>
      <c r="S355" s="411"/>
      <c r="T355" s="411"/>
      <c r="U355" s="411"/>
      <c r="V355" s="411"/>
      <c r="W355" s="411"/>
      <c r="X355" s="411"/>
      <c r="Y355" s="411"/>
      <c r="Z355" s="411"/>
      <c r="AA355" s="411"/>
      <c r="AB355" s="411"/>
      <c r="AC355" s="411"/>
      <c r="AD355" s="411"/>
      <c r="AF355" s="411"/>
      <c r="AG355" s="411"/>
    </row>
    <row r="356" spans="2:33" x14ac:dyDescent="0.35">
      <c r="B356" s="151"/>
      <c r="C356" s="143"/>
      <c r="D356" s="143"/>
      <c r="E356" s="411"/>
      <c r="F356" s="411"/>
      <c r="G356" s="411"/>
      <c r="H356" s="411"/>
      <c r="I356" s="411"/>
      <c r="J356" s="411"/>
      <c r="K356" s="411"/>
      <c r="L356" s="411"/>
      <c r="M356" s="411"/>
      <c r="N356" s="411"/>
      <c r="O356" s="411"/>
      <c r="P356" s="411"/>
      <c r="Q356" s="411"/>
      <c r="R356" s="411"/>
      <c r="S356" s="411"/>
      <c r="T356" s="411"/>
      <c r="U356" s="411"/>
      <c r="V356" s="411"/>
      <c r="W356" s="411"/>
      <c r="X356" s="411"/>
      <c r="Y356" s="411"/>
      <c r="Z356" s="411"/>
      <c r="AA356" s="411"/>
      <c r="AB356" s="411"/>
      <c r="AC356" s="411"/>
      <c r="AD356" s="411"/>
      <c r="AF356" s="411"/>
      <c r="AG356" s="411"/>
    </row>
    <row r="357" spans="2:33" x14ac:dyDescent="0.35">
      <c r="B357" s="151"/>
      <c r="C357" s="143"/>
      <c r="D357" s="143"/>
      <c r="E357" s="411"/>
      <c r="F357" s="411"/>
      <c r="G357" s="411"/>
      <c r="H357" s="411"/>
      <c r="I357" s="411"/>
      <c r="J357" s="411"/>
      <c r="K357" s="411"/>
      <c r="L357" s="411"/>
      <c r="M357" s="411"/>
      <c r="N357" s="411"/>
      <c r="O357" s="411"/>
      <c r="P357" s="411"/>
      <c r="Q357" s="411"/>
      <c r="R357" s="411"/>
      <c r="S357" s="411"/>
      <c r="T357" s="411"/>
      <c r="U357" s="411"/>
      <c r="V357" s="411"/>
      <c r="W357" s="411"/>
      <c r="X357" s="411"/>
      <c r="Y357" s="411"/>
      <c r="Z357" s="411"/>
      <c r="AA357" s="411"/>
      <c r="AB357" s="411"/>
      <c r="AC357" s="411"/>
      <c r="AD357" s="411"/>
      <c r="AF357" s="411"/>
      <c r="AG357" s="411"/>
    </row>
    <row r="358" spans="2:33" x14ac:dyDescent="0.35">
      <c r="B358" s="151"/>
      <c r="C358" s="143"/>
      <c r="D358" s="143"/>
      <c r="E358" s="411"/>
      <c r="F358" s="411"/>
      <c r="G358" s="411"/>
      <c r="H358" s="411"/>
      <c r="I358" s="411"/>
      <c r="J358" s="411"/>
      <c r="K358" s="411"/>
      <c r="L358" s="411"/>
      <c r="M358" s="411"/>
      <c r="N358" s="411"/>
      <c r="O358" s="411"/>
      <c r="P358" s="411"/>
      <c r="Q358" s="411"/>
      <c r="R358" s="411"/>
      <c r="S358" s="411"/>
      <c r="T358" s="411"/>
      <c r="U358" s="411"/>
      <c r="V358" s="411"/>
      <c r="W358" s="411"/>
      <c r="X358" s="411"/>
      <c r="Y358" s="411"/>
      <c r="Z358" s="411"/>
      <c r="AA358" s="411"/>
      <c r="AB358" s="411"/>
      <c r="AC358" s="411"/>
      <c r="AD358" s="411"/>
      <c r="AF358" s="411"/>
      <c r="AG358" s="411"/>
    </row>
    <row r="359" spans="2:33" x14ac:dyDescent="0.35">
      <c r="B359" s="151"/>
      <c r="C359" s="143"/>
      <c r="D359" s="143"/>
      <c r="E359" s="411"/>
      <c r="F359" s="411"/>
      <c r="G359" s="411"/>
      <c r="H359" s="411"/>
      <c r="I359" s="411"/>
      <c r="J359" s="411"/>
      <c r="K359" s="411"/>
      <c r="L359" s="411"/>
      <c r="M359" s="411"/>
      <c r="N359" s="411"/>
      <c r="O359" s="411"/>
      <c r="P359" s="411"/>
      <c r="Q359" s="411"/>
      <c r="R359" s="411"/>
      <c r="S359" s="411"/>
      <c r="T359" s="411"/>
      <c r="U359" s="411"/>
      <c r="V359" s="411"/>
      <c r="W359" s="411"/>
      <c r="X359" s="411"/>
      <c r="Y359" s="411"/>
      <c r="Z359" s="411"/>
      <c r="AA359" s="411"/>
      <c r="AB359" s="411"/>
      <c r="AC359" s="411"/>
      <c r="AD359" s="411"/>
      <c r="AF359" s="411"/>
      <c r="AG359" s="411"/>
    </row>
    <row r="360" spans="2:33" x14ac:dyDescent="0.35">
      <c r="B360" s="151"/>
      <c r="C360" s="143"/>
      <c r="D360" s="143"/>
      <c r="E360" s="411"/>
      <c r="F360" s="411"/>
      <c r="G360" s="411"/>
      <c r="H360" s="411"/>
      <c r="I360" s="411"/>
      <c r="J360" s="411"/>
      <c r="K360" s="411"/>
      <c r="L360" s="411"/>
      <c r="M360" s="411"/>
      <c r="N360" s="411"/>
      <c r="O360" s="411"/>
      <c r="P360" s="411"/>
      <c r="Q360" s="411"/>
      <c r="R360" s="411"/>
      <c r="S360" s="411"/>
      <c r="T360" s="411"/>
      <c r="U360" s="411"/>
      <c r="V360" s="411"/>
      <c r="W360" s="411"/>
      <c r="X360" s="411"/>
      <c r="Y360" s="411"/>
      <c r="Z360" s="411"/>
      <c r="AA360" s="411"/>
      <c r="AB360" s="411"/>
      <c r="AC360" s="411"/>
      <c r="AD360" s="411"/>
      <c r="AF360" s="411"/>
      <c r="AG360" s="411"/>
    </row>
    <row r="361" spans="2:33" x14ac:dyDescent="0.35">
      <c r="B361" s="151"/>
      <c r="C361" s="143"/>
      <c r="D361" s="143"/>
      <c r="E361" s="411"/>
      <c r="F361" s="411"/>
      <c r="G361" s="411"/>
      <c r="H361" s="411"/>
      <c r="I361" s="411"/>
      <c r="J361" s="411"/>
      <c r="K361" s="411"/>
      <c r="L361" s="411"/>
      <c r="M361" s="411"/>
      <c r="N361" s="411"/>
      <c r="O361" s="411"/>
      <c r="P361" s="411"/>
      <c r="Q361" s="411"/>
      <c r="R361" s="411"/>
      <c r="S361" s="411"/>
      <c r="T361" s="411"/>
      <c r="U361" s="411"/>
      <c r="V361" s="411"/>
      <c r="W361" s="411"/>
      <c r="X361" s="411"/>
      <c r="Y361" s="411"/>
      <c r="Z361" s="411"/>
      <c r="AA361" s="411"/>
      <c r="AB361" s="411"/>
      <c r="AC361" s="411"/>
      <c r="AD361" s="411"/>
      <c r="AF361" s="411"/>
      <c r="AG361" s="411"/>
    </row>
    <row r="362" spans="2:33" x14ac:dyDescent="0.35">
      <c r="B362" s="151"/>
      <c r="C362" s="143"/>
      <c r="D362" s="143"/>
      <c r="E362" s="411"/>
      <c r="F362" s="411"/>
      <c r="G362" s="411"/>
      <c r="H362" s="411"/>
      <c r="I362" s="411"/>
      <c r="J362" s="411"/>
      <c r="K362" s="411"/>
      <c r="L362" s="411"/>
      <c r="M362" s="411"/>
      <c r="N362" s="411"/>
      <c r="O362" s="411"/>
      <c r="P362" s="411"/>
      <c r="Q362" s="411"/>
      <c r="R362" s="411"/>
      <c r="S362" s="411"/>
      <c r="T362" s="411"/>
      <c r="U362" s="411"/>
      <c r="V362" s="411"/>
      <c r="W362" s="411"/>
      <c r="X362" s="411"/>
      <c r="Y362" s="411"/>
      <c r="Z362" s="411"/>
      <c r="AA362" s="411"/>
      <c r="AB362" s="411"/>
      <c r="AC362" s="411"/>
      <c r="AD362" s="411"/>
      <c r="AF362" s="411"/>
      <c r="AG362" s="411"/>
    </row>
    <row r="363" spans="2:33" x14ac:dyDescent="0.35">
      <c r="B363" s="151"/>
      <c r="C363" s="143"/>
      <c r="D363" s="143"/>
      <c r="E363" s="411"/>
      <c r="F363" s="411"/>
      <c r="G363" s="411"/>
      <c r="H363" s="411"/>
      <c r="I363" s="411"/>
      <c r="J363" s="411"/>
      <c r="K363" s="411"/>
      <c r="L363" s="411"/>
      <c r="M363" s="411"/>
      <c r="N363" s="411"/>
      <c r="O363" s="411"/>
      <c r="P363" s="411"/>
      <c r="Q363" s="411"/>
      <c r="R363" s="411"/>
      <c r="S363" s="411"/>
      <c r="T363" s="411"/>
      <c r="U363" s="411"/>
      <c r="V363" s="411"/>
      <c r="W363" s="411"/>
      <c r="X363" s="411"/>
      <c r="Y363" s="411"/>
      <c r="Z363" s="411"/>
      <c r="AA363" s="411"/>
      <c r="AB363" s="411"/>
      <c r="AC363" s="411"/>
      <c r="AD363" s="411"/>
      <c r="AF363" s="411"/>
      <c r="AG363" s="411"/>
    </row>
    <row r="364" spans="2:33" x14ac:dyDescent="0.35">
      <c r="B364" s="151"/>
      <c r="C364" s="143"/>
      <c r="D364" s="143"/>
      <c r="E364" s="411"/>
      <c r="F364" s="411"/>
      <c r="G364" s="411"/>
      <c r="H364" s="411"/>
      <c r="I364" s="411"/>
      <c r="J364" s="411"/>
      <c r="K364" s="411"/>
      <c r="L364" s="411"/>
      <c r="M364" s="411"/>
      <c r="N364" s="411"/>
      <c r="O364" s="411"/>
      <c r="P364" s="411"/>
      <c r="Q364" s="411"/>
      <c r="R364" s="411"/>
      <c r="S364" s="411"/>
      <c r="T364" s="411"/>
      <c r="U364" s="411"/>
      <c r="V364" s="411"/>
      <c r="W364" s="411"/>
      <c r="X364" s="411"/>
      <c r="Y364" s="411"/>
      <c r="Z364" s="411"/>
      <c r="AA364" s="411"/>
      <c r="AB364" s="411"/>
      <c r="AC364" s="411"/>
      <c r="AD364" s="411"/>
      <c r="AF364" s="411"/>
      <c r="AG364" s="411"/>
    </row>
    <row r="365" spans="2:33" x14ac:dyDescent="0.35">
      <c r="B365" s="151"/>
      <c r="C365" s="143"/>
      <c r="D365" s="143"/>
      <c r="E365" s="411"/>
      <c r="F365" s="411"/>
      <c r="G365" s="411"/>
      <c r="H365" s="411"/>
      <c r="I365" s="411"/>
      <c r="J365" s="411"/>
      <c r="K365" s="411"/>
      <c r="L365" s="411"/>
      <c r="M365" s="411"/>
      <c r="N365" s="411"/>
      <c r="O365" s="411"/>
      <c r="P365" s="411"/>
      <c r="Q365" s="411"/>
      <c r="R365" s="411"/>
      <c r="S365" s="411"/>
      <c r="T365" s="411"/>
      <c r="U365" s="411"/>
      <c r="V365" s="411"/>
      <c r="W365" s="411"/>
      <c r="X365" s="411"/>
      <c r="Y365" s="411"/>
      <c r="Z365" s="411"/>
      <c r="AA365" s="411"/>
      <c r="AB365" s="411"/>
      <c r="AC365" s="411"/>
      <c r="AD365" s="411"/>
      <c r="AF365" s="411"/>
      <c r="AG365" s="411"/>
    </row>
    <row r="366" spans="2:33" x14ac:dyDescent="0.35">
      <c r="B366" s="151"/>
      <c r="C366" s="143"/>
      <c r="D366" s="143"/>
      <c r="E366" s="411"/>
      <c r="F366" s="411"/>
      <c r="G366" s="411"/>
      <c r="H366" s="411"/>
      <c r="I366" s="411"/>
      <c r="J366" s="411"/>
      <c r="K366" s="411"/>
      <c r="L366" s="411"/>
      <c r="M366" s="411"/>
      <c r="N366" s="411"/>
      <c r="O366" s="411"/>
      <c r="P366" s="411"/>
      <c r="Q366" s="411"/>
      <c r="R366" s="411"/>
      <c r="S366" s="411"/>
      <c r="T366" s="411"/>
      <c r="U366" s="411"/>
      <c r="V366" s="411"/>
      <c r="W366" s="411"/>
      <c r="X366" s="411"/>
      <c r="Y366" s="411"/>
      <c r="Z366" s="411"/>
      <c r="AA366" s="411"/>
      <c r="AB366" s="411"/>
      <c r="AC366" s="411"/>
      <c r="AD366" s="411"/>
      <c r="AF366" s="411"/>
      <c r="AG366" s="411"/>
    </row>
    <row r="367" spans="2:33" x14ac:dyDescent="0.35">
      <c r="B367" s="151"/>
      <c r="C367" s="143"/>
      <c r="D367" s="143"/>
      <c r="E367" s="411"/>
      <c r="F367" s="411"/>
      <c r="G367" s="411"/>
      <c r="H367" s="411"/>
      <c r="I367" s="411"/>
      <c r="J367" s="411"/>
      <c r="K367" s="411"/>
      <c r="L367" s="411"/>
      <c r="M367" s="411"/>
      <c r="N367" s="411"/>
      <c r="O367" s="411"/>
      <c r="P367" s="411"/>
      <c r="Q367" s="411"/>
      <c r="R367" s="411"/>
      <c r="S367" s="411"/>
      <c r="T367" s="411"/>
      <c r="U367" s="411"/>
      <c r="V367" s="411"/>
      <c r="W367" s="411"/>
      <c r="X367" s="411"/>
      <c r="Y367" s="411"/>
      <c r="Z367" s="411"/>
      <c r="AA367" s="411"/>
      <c r="AB367" s="411"/>
      <c r="AC367" s="411"/>
      <c r="AD367" s="411"/>
      <c r="AF367" s="411"/>
      <c r="AG367" s="411"/>
    </row>
    <row r="368" spans="2:33" x14ac:dyDescent="0.35">
      <c r="B368" s="151"/>
      <c r="C368" s="143"/>
      <c r="D368" s="143"/>
      <c r="E368" s="411"/>
      <c r="F368" s="411"/>
      <c r="G368" s="411"/>
      <c r="H368" s="411"/>
      <c r="I368" s="411"/>
      <c r="J368" s="411"/>
      <c r="K368" s="411"/>
      <c r="L368" s="411"/>
      <c r="M368" s="411"/>
      <c r="N368" s="411"/>
      <c r="O368" s="411"/>
      <c r="P368" s="411"/>
      <c r="Q368" s="411"/>
      <c r="R368" s="411"/>
      <c r="S368" s="411"/>
      <c r="T368" s="411"/>
      <c r="U368" s="411"/>
      <c r="V368" s="411"/>
      <c r="W368" s="411"/>
      <c r="X368" s="411"/>
      <c r="Y368" s="411"/>
      <c r="Z368" s="411"/>
      <c r="AA368" s="411"/>
      <c r="AB368" s="411"/>
      <c r="AC368" s="411"/>
      <c r="AD368" s="411"/>
      <c r="AF368" s="411"/>
      <c r="AG368" s="411"/>
    </row>
    <row r="369" spans="2:33" x14ac:dyDescent="0.35">
      <c r="B369" s="151"/>
      <c r="C369" s="143"/>
      <c r="D369" s="143"/>
      <c r="E369" s="411"/>
      <c r="F369" s="411"/>
      <c r="G369" s="411"/>
      <c r="H369" s="411"/>
      <c r="I369" s="411"/>
      <c r="J369" s="411"/>
      <c r="K369" s="411"/>
      <c r="L369" s="411"/>
      <c r="M369" s="411"/>
      <c r="N369" s="411"/>
      <c r="O369" s="411"/>
      <c r="P369" s="411"/>
      <c r="Q369" s="411"/>
      <c r="R369" s="411"/>
      <c r="S369" s="411"/>
      <c r="T369" s="411"/>
      <c r="U369" s="411"/>
      <c r="V369" s="411"/>
      <c r="W369" s="411"/>
      <c r="X369" s="411"/>
      <c r="Y369" s="411"/>
      <c r="Z369" s="411"/>
      <c r="AA369" s="411"/>
      <c r="AB369" s="411"/>
      <c r="AC369" s="411"/>
      <c r="AD369" s="411"/>
      <c r="AF369" s="411"/>
      <c r="AG369" s="411"/>
    </row>
    <row r="370" spans="2:33" x14ac:dyDescent="0.35">
      <c r="B370" s="151"/>
      <c r="C370" s="143"/>
      <c r="D370" s="143"/>
      <c r="E370" s="411"/>
      <c r="F370" s="411"/>
      <c r="G370" s="411"/>
      <c r="H370" s="411"/>
      <c r="I370" s="411"/>
      <c r="J370" s="411"/>
      <c r="K370" s="411"/>
      <c r="L370" s="411"/>
      <c r="M370" s="411"/>
      <c r="N370" s="411"/>
      <c r="O370" s="411"/>
      <c r="P370" s="411"/>
      <c r="Q370" s="411"/>
      <c r="R370" s="411"/>
      <c r="S370" s="411"/>
      <c r="T370" s="411"/>
      <c r="U370" s="411"/>
      <c r="V370" s="411"/>
      <c r="W370" s="411"/>
      <c r="X370" s="411"/>
      <c r="Y370" s="411"/>
      <c r="Z370" s="411"/>
      <c r="AA370" s="411"/>
      <c r="AB370" s="411"/>
      <c r="AC370" s="411"/>
      <c r="AD370" s="411"/>
      <c r="AF370" s="411"/>
      <c r="AG370" s="411"/>
    </row>
    <row r="371" spans="2:33" x14ac:dyDescent="0.35">
      <c r="B371" s="151"/>
      <c r="C371" s="143"/>
      <c r="D371" s="143"/>
      <c r="E371" s="411"/>
      <c r="F371" s="411"/>
      <c r="G371" s="411"/>
      <c r="H371" s="411"/>
      <c r="I371" s="411"/>
      <c r="J371" s="411"/>
      <c r="K371" s="411"/>
      <c r="L371" s="411"/>
      <c r="M371" s="411"/>
      <c r="N371" s="411"/>
      <c r="O371" s="411"/>
      <c r="P371" s="411"/>
      <c r="Q371" s="411"/>
      <c r="R371" s="411"/>
      <c r="S371" s="411"/>
      <c r="T371" s="411"/>
      <c r="U371" s="411"/>
      <c r="V371" s="411"/>
      <c r="W371" s="411"/>
      <c r="X371" s="411"/>
      <c r="Y371" s="411"/>
      <c r="Z371" s="411"/>
      <c r="AA371" s="411"/>
      <c r="AB371" s="411"/>
      <c r="AC371" s="411"/>
      <c r="AD371" s="411"/>
      <c r="AF371" s="411"/>
      <c r="AG371" s="411"/>
    </row>
    <row r="372" spans="2:33" x14ac:dyDescent="0.35">
      <c r="B372" s="151"/>
      <c r="C372" s="143"/>
      <c r="D372" s="143"/>
      <c r="E372" s="411"/>
      <c r="F372" s="411"/>
      <c r="G372" s="411"/>
      <c r="H372" s="411"/>
      <c r="I372" s="411"/>
      <c r="J372" s="411"/>
      <c r="K372" s="411"/>
      <c r="L372" s="411"/>
      <c r="M372" s="411"/>
      <c r="N372" s="411"/>
      <c r="O372" s="411"/>
      <c r="P372" s="411"/>
      <c r="Q372" s="411"/>
      <c r="R372" s="411"/>
      <c r="S372" s="411"/>
      <c r="T372" s="411"/>
      <c r="U372" s="411"/>
      <c r="V372" s="411"/>
      <c r="W372" s="411"/>
      <c r="X372" s="411"/>
      <c r="Y372" s="411"/>
      <c r="Z372" s="411"/>
      <c r="AA372" s="411"/>
      <c r="AB372" s="411"/>
      <c r="AC372" s="411"/>
      <c r="AD372" s="411"/>
      <c r="AF372" s="411"/>
      <c r="AG372" s="411"/>
    </row>
    <row r="373" spans="2:33" x14ac:dyDescent="0.35">
      <c r="B373" s="151"/>
      <c r="C373" s="143"/>
      <c r="D373" s="143"/>
      <c r="E373" s="411"/>
      <c r="F373" s="411"/>
      <c r="G373" s="411"/>
      <c r="H373" s="411"/>
      <c r="I373" s="411"/>
      <c r="J373" s="411"/>
      <c r="K373" s="411"/>
      <c r="L373" s="411"/>
      <c r="M373" s="411"/>
      <c r="N373" s="411"/>
      <c r="O373" s="411"/>
      <c r="P373" s="411"/>
      <c r="Q373" s="411"/>
      <c r="R373" s="411"/>
      <c r="S373" s="411"/>
      <c r="T373" s="411"/>
      <c r="U373" s="411"/>
      <c r="V373" s="411"/>
      <c r="W373" s="411"/>
      <c r="X373" s="411"/>
      <c r="Y373" s="411"/>
      <c r="Z373" s="411"/>
      <c r="AA373" s="411"/>
      <c r="AB373" s="411"/>
      <c r="AC373" s="411"/>
      <c r="AD373" s="411"/>
      <c r="AF373" s="411"/>
      <c r="AG373" s="411"/>
    </row>
    <row r="374" spans="2:33" x14ac:dyDescent="0.35">
      <c r="B374" s="151"/>
      <c r="C374" s="143"/>
      <c r="D374" s="143"/>
      <c r="E374" s="411"/>
      <c r="F374" s="411"/>
      <c r="G374" s="411"/>
      <c r="H374" s="411"/>
      <c r="I374" s="411"/>
      <c r="J374" s="411"/>
      <c r="K374" s="411"/>
      <c r="L374" s="411"/>
      <c r="M374" s="411"/>
      <c r="N374" s="411"/>
      <c r="O374" s="411"/>
      <c r="P374" s="411"/>
      <c r="Q374" s="411"/>
      <c r="R374" s="411"/>
      <c r="S374" s="411"/>
      <c r="T374" s="411"/>
      <c r="U374" s="411"/>
      <c r="V374" s="411"/>
      <c r="W374" s="411"/>
      <c r="X374" s="411"/>
      <c r="Y374" s="411"/>
      <c r="Z374" s="411"/>
      <c r="AA374" s="411"/>
      <c r="AB374" s="411"/>
      <c r="AC374" s="411"/>
      <c r="AD374" s="411"/>
      <c r="AF374" s="411"/>
      <c r="AG374" s="411"/>
    </row>
    <row r="375" spans="2:33" x14ac:dyDescent="0.35">
      <c r="B375" s="151"/>
      <c r="C375" s="143"/>
      <c r="D375" s="143"/>
      <c r="E375" s="411"/>
      <c r="F375" s="411"/>
      <c r="G375" s="411"/>
      <c r="H375" s="411"/>
      <c r="I375" s="411"/>
      <c r="J375" s="411"/>
      <c r="K375" s="411"/>
      <c r="L375" s="411"/>
      <c r="M375" s="411"/>
      <c r="N375" s="411"/>
      <c r="O375" s="411"/>
      <c r="P375" s="411"/>
      <c r="Q375" s="411"/>
      <c r="R375" s="411"/>
      <c r="S375" s="411"/>
      <c r="T375" s="411"/>
      <c r="U375" s="411"/>
      <c r="V375" s="411"/>
      <c r="W375" s="411"/>
      <c r="X375" s="411"/>
      <c r="Y375" s="411"/>
      <c r="Z375" s="411"/>
      <c r="AA375" s="411"/>
      <c r="AB375" s="411"/>
      <c r="AC375" s="411"/>
      <c r="AD375" s="411"/>
      <c r="AF375" s="411"/>
      <c r="AG375" s="411"/>
    </row>
    <row r="376" spans="2:33" x14ac:dyDescent="0.35">
      <c r="B376" s="151"/>
      <c r="C376" s="143"/>
      <c r="D376" s="143"/>
      <c r="E376" s="411"/>
      <c r="F376" s="411"/>
      <c r="G376" s="411"/>
      <c r="H376" s="411"/>
      <c r="I376" s="411"/>
      <c r="J376" s="411"/>
      <c r="K376" s="411"/>
      <c r="L376" s="411"/>
      <c r="M376" s="411"/>
      <c r="N376" s="411"/>
      <c r="O376" s="411"/>
      <c r="P376" s="411"/>
      <c r="Q376" s="411"/>
      <c r="R376" s="411"/>
      <c r="S376" s="411"/>
      <c r="T376" s="411"/>
      <c r="U376" s="411"/>
      <c r="V376" s="411"/>
      <c r="W376" s="411"/>
      <c r="X376" s="411"/>
      <c r="Y376" s="411"/>
      <c r="Z376" s="411"/>
      <c r="AA376" s="411"/>
      <c r="AB376" s="411"/>
      <c r="AC376" s="411"/>
      <c r="AD376" s="411"/>
      <c r="AF376" s="411"/>
      <c r="AG376" s="411"/>
    </row>
    <row r="377" spans="2:33" x14ac:dyDescent="0.35">
      <c r="B377" s="151"/>
      <c r="C377" s="143"/>
      <c r="D377" s="143"/>
      <c r="E377" s="411"/>
      <c r="F377" s="411"/>
      <c r="G377" s="411"/>
      <c r="H377" s="411"/>
      <c r="I377" s="411"/>
      <c r="J377" s="411"/>
      <c r="K377" s="411"/>
      <c r="L377" s="411"/>
      <c r="M377" s="411"/>
      <c r="N377" s="411"/>
      <c r="O377" s="411"/>
      <c r="P377" s="411"/>
      <c r="Q377" s="411"/>
      <c r="R377" s="411"/>
      <c r="S377" s="411"/>
      <c r="T377" s="411"/>
      <c r="U377" s="411"/>
      <c r="V377" s="411"/>
      <c r="W377" s="411"/>
      <c r="X377" s="411"/>
      <c r="Y377" s="411"/>
      <c r="Z377" s="411"/>
      <c r="AA377" s="411"/>
      <c r="AB377" s="411"/>
      <c r="AC377" s="411"/>
      <c r="AD377" s="411"/>
      <c r="AF377" s="411"/>
      <c r="AG377" s="411"/>
    </row>
    <row r="378" spans="2:33" x14ac:dyDescent="0.35">
      <c r="B378" s="151"/>
      <c r="C378" s="143"/>
      <c r="D378" s="143"/>
      <c r="E378" s="411"/>
      <c r="F378" s="411"/>
      <c r="G378" s="411"/>
      <c r="H378" s="411"/>
      <c r="I378" s="411"/>
      <c r="J378" s="411"/>
      <c r="K378" s="411"/>
      <c r="L378" s="411"/>
      <c r="M378" s="411"/>
      <c r="N378" s="411"/>
      <c r="O378" s="411"/>
      <c r="P378" s="411"/>
      <c r="Q378" s="411"/>
      <c r="R378" s="411"/>
      <c r="S378" s="411"/>
      <c r="T378" s="411"/>
      <c r="U378" s="411"/>
      <c r="V378" s="411"/>
      <c r="W378" s="411"/>
      <c r="X378" s="411"/>
      <c r="Y378" s="411"/>
      <c r="Z378" s="411"/>
      <c r="AA378" s="411"/>
      <c r="AB378" s="411"/>
      <c r="AC378" s="411"/>
      <c r="AD378" s="411"/>
      <c r="AF378" s="411"/>
      <c r="AG378" s="411"/>
    </row>
    <row r="379" spans="2:33" x14ac:dyDescent="0.35">
      <c r="B379" s="151"/>
      <c r="C379" s="143"/>
      <c r="D379" s="143"/>
      <c r="E379" s="411"/>
      <c r="F379" s="411"/>
      <c r="G379" s="411"/>
      <c r="H379" s="411"/>
      <c r="I379" s="411"/>
      <c r="J379" s="411"/>
      <c r="K379" s="411"/>
      <c r="L379" s="411"/>
      <c r="M379" s="411"/>
      <c r="N379" s="411"/>
      <c r="O379" s="411"/>
      <c r="P379" s="411"/>
      <c r="Q379" s="411"/>
      <c r="R379" s="411"/>
      <c r="S379" s="411"/>
      <c r="T379" s="411"/>
      <c r="U379" s="411"/>
      <c r="V379" s="411"/>
      <c r="W379" s="411"/>
      <c r="X379" s="411"/>
      <c r="Y379" s="411"/>
      <c r="Z379" s="411"/>
      <c r="AA379" s="411"/>
      <c r="AB379" s="411"/>
      <c r="AC379" s="411"/>
      <c r="AD379" s="411"/>
      <c r="AF379" s="411"/>
      <c r="AG379" s="411"/>
    </row>
    <row r="380" spans="2:33" x14ac:dyDescent="0.35">
      <c r="B380" s="151"/>
      <c r="C380" s="143"/>
      <c r="D380" s="143"/>
      <c r="E380" s="411"/>
      <c r="F380" s="411"/>
      <c r="G380" s="411"/>
      <c r="H380" s="411"/>
      <c r="I380" s="411"/>
      <c r="J380" s="411"/>
      <c r="K380" s="411"/>
      <c r="L380" s="411"/>
      <c r="M380" s="411"/>
      <c r="N380" s="411"/>
      <c r="O380" s="411"/>
      <c r="P380" s="411"/>
      <c r="Q380" s="411"/>
      <c r="R380" s="411"/>
      <c r="S380" s="411"/>
      <c r="T380" s="411"/>
      <c r="U380" s="411"/>
      <c r="V380" s="411"/>
      <c r="W380" s="411"/>
      <c r="X380" s="411"/>
      <c r="Y380" s="411"/>
      <c r="Z380" s="411"/>
      <c r="AA380" s="411"/>
      <c r="AB380" s="411"/>
      <c r="AC380" s="411"/>
      <c r="AD380" s="411"/>
      <c r="AF380" s="411"/>
      <c r="AG380" s="411"/>
    </row>
    <row r="381" spans="2:33" x14ac:dyDescent="0.35">
      <c r="B381" s="151"/>
      <c r="C381" s="143"/>
      <c r="D381" s="143"/>
      <c r="E381" s="411"/>
      <c r="F381" s="411"/>
      <c r="G381" s="411"/>
      <c r="H381" s="411"/>
      <c r="I381" s="411"/>
      <c r="J381" s="411"/>
      <c r="K381" s="411"/>
      <c r="L381" s="411"/>
      <c r="M381" s="411"/>
      <c r="N381" s="411"/>
      <c r="O381" s="411"/>
      <c r="P381" s="411"/>
      <c r="Q381" s="411"/>
      <c r="R381" s="411"/>
      <c r="S381" s="411"/>
      <c r="T381" s="411"/>
      <c r="U381" s="411"/>
      <c r="V381" s="411"/>
      <c r="W381" s="411"/>
      <c r="X381" s="411"/>
      <c r="Y381" s="411"/>
      <c r="Z381" s="411"/>
      <c r="AA381" s="411"/>
      <c r="AB381" s="411"/>
      <c r="AC381" s="411"/>
      <c r="AD381" s="411"/>
      <c r="AF381" s="411"/>
      <c r="AG381" s="411"/>
    </row>
    <row r="382" spans="2:33" x14ac:dyDescent="0.35">
      <c r="B382" s="151"/>
      <c r="C382" s="143"/>
      <c r="D382" s="143"/>
      <c r="E382" s="411"/>
      <c r="F382" s="411"/>
      <c r="G382" s="411"/>
      <c r="H382" s="411"/>
      <c r="I382" s="411"/>
      <c r="J382" s="411"/>
      <c r="K382" s="411"/>
      <c r="L382" s="411"/>
      <c r="M382" s="411"/>
      <c r="N382" s="411"/>
      <c r="O382" s="411"/>
      <c r="P382" s="411"/>
      <c r="Q382" s="411"/>
      <c r="R382" s="411"/>
      <c r="S382" s="411"/>
      <c r="T382" s="411"/>
      <c r="U382" s="411"/>
      <c r="V382" s="411"/>
      <c r="W382" s="411"/>
      <c r="X382" s="411"/>
      <c r="Y382" s="411"/>
      <c r="Z382" s="411"/>
      <c r="AA382" s="411"/>
      <c r="AB382" s="411"/>
      <c r="AC382" s="411"/>
      <c r="AD382" s="411"/>
      <c r="AF382" s="411"/>
      <c r="AG382" s="411"/>
    </row>
    <row r="383" spans="2:33" x14ac:dyDescent="0.35">
      <c r="B383" s="151"/>
      <c r="C383" s="143"/>
      <c r="D383" s="143"/>
      <c r="E383" s="411"/>
      <c r="F383" s="411"/>
      <c r="G383" s="411"/>
      <c r="H383" s="411"/>
      <c r="I383" s="411"/>
      <c r="J383" s="411"/>
      <c r="K383" s="411"/>
      <c r="L383" s="411"/>
      <c r="M383" s="411"/>
      <c r="N383" s="411"/>
      <c r="O383" s="411"/>
      <c r="P383" s="411"/>
      <c r="Q383" s="411"/>
      <c r="R383" s="411"/>
      <c r="S383" s="411"/>
      <c r="T383" s="411"/>
      <c r="U383" s="411"/>
      <c r="V383" s="411"/>
      <c r="W383" s="411"/>
      <c r="X383" s="411"/>
      <c r="Y383" s="411"/>
      <c r="Z383" s="411"/>
      <c r="AA383" s="411"/>
      <c r="AB383" s="411"/>
      <c r="AC383" s="411"/>
      <c r="AD383" s="411"/>
      <c r="AF383" s="411"/>
      <c r="AG383" s="411"/>
    </row>
    <row r="384" spans="2:33" x14ac:dyDescent="0.35">
      <c r="B384" s="151"/>
      <c r="C384" s="143"/>
      <c r="D384" s="143"/>
      <c r="E384" s="411"/>
      <c r="F384" s="411"/>
      <c r="G384" s="411"/>
      <c r="H384" s="411"/>
      <c r="I384" s="411"/>
      <c r="J384" s="411"/>
      <c r="K384" s="411"/>
      <c r="L384" s="411"/>
      <c r="M384" s="411"/>
      <c r="N384" s="411"/>
      <c r="O384" s="411"/>
      <c r="P384" s="411"/>
      <c r="Q384" s="411"/>
      <c r="R384" s="411"/>
      <c r="S384" s="411"/>
      <c r="T384" s="411"/>
      <c r="U384" s="411"/>
      <c r="V384" s="411"/>
      <c r="W384" s="411"/>
      <c r="X384" s="411"/>
      <c r="Y384" s="411"/>
      <c r="Z384" s="411"/>
      <c r="AA384" s="411"/>
      <c r="AB384" s="411"/>
      <c r="AC384" s="411"/>
      <c r="AD384" s="411"/>
      <c r="AF384" s="411"/>
      <c r="AG384" s="411"/>
    </row>
    <row r="385" spans="2:33" x14ac:dyDescent="0.35">
      <c r="B385" s="151"/>
      <c r="C385" s="143"/>
      <c r="D385" s="143"/>
      <c r="E385" s="411"/>
      <c r="F385" s="411"/>
      <c r="G385" s="411"/>
      <c r="H385" s="411"/>
      <c r="I385" s="411"/>
      <c r="J385" s="411"/>
      <c r="K385" s="411"/>
      <c r="L385" s="411"/>
      <c r="M385" s="411"/>
      <c r="N385" s="411"/>
      <c r="O385" s="411"/>
      <c r="P385" s="411"/>
      <c r="Q385" s="411"/>
      <c r="R385" s="411"/>
      <c r="S385" s="411"/>
      <c r="T385" s="411"/>
      <c r="U385" s="411"/>
      <c r="V385" s="411"/>
      <c r="W385" s="411"/>
      <c r="X385" s="411"/>
      <c r="Y385" s="411"/>
      <c r="Z385" s="411"/>
      <c r="AA385" s="411"/>
      <c r="AB385" s="411"/>
      <c r="AC385" s="411"/>
      <c r="AD385" s="411"/>
      <c r="AF385" s="411"/>
      <c r="AG385" s="411"/>
    </row>
    <row r="386" spans="2:33" x14ac:dyDescent="0.35">
      <c r="B386" s="151"/>
      <c r="C386" s="143"/>
      <c r="D386" s="143"/>
      <c r="E386" s="411"/>
      <c r="F386" s="411"/>
      <c r="G386" s="411"/>
      <c r="H386" s="411"/>
      <c r="I386" s="411"/>
      <c r="J386" s="411"/>
      <c r="K386" s="411"/>
      <c r="L386" s="411"/>
      <c r="M386" s="411"/>
      <c r="N386" s="411"/>
      <c r="O386" s="411"/>
      <c r="P386" s="411"/>
      <c r="Q386" s="411"/>
      <c r="R386" s="411"/>
      <c r="S386" s="411"/>
      <c r="T386" s="411"/>
      <c r="U386" s="411"/>
      <c r="V386" s="411"/>
      <c r="W386" s="411"/>
      <c r="X386" s="411"/>
      <c r="Y386" s="411"/>
      <c r="Z386" s="411"/>
      <c r="AA386" s="411"/>
      <c r="AB386" s="411"/>
      <c r="AC386" s="411"/>
      <c r="AD386" s="411"/>
      <c r="AF386" s="411"/>
      <c r="AG386" s="411"/>
    </row>
    <row r="387" spans="2:33" x14ac:dyDescent="0.35">
      <c r="B387" s="151"/>
      <c r="C387" s="143"/>
      <c r="D387" s="143"/>
      <c r="E387" s="411"/>
      <c r="F387" s="411"/>
      <c r="G387" s="411"/>
      <c r="H387" s="411"/>
      <c r="I387" s="411"/>
      <c r="J387" s="411"/>
      <c r="K387" s="411"/>
      <c r="L387" s="411"/>
      <c r="M387" s="411"/>
      <c r="N387" s="411"/>
      <c r="O387" s="411"/>
      <c r="P387" s="411"/>
      <c r="Q387" s="411"/>
      <c r="R387" s="411"/>
      <c r="S387" s="411"/>
      <c r="T387" s="411"/>
      <c r="U387" s="411"/>
      <c r="V387" s="411"/>
      <c r="W387" s="411"/>
      <c r="X387" s="411"/>
      <c r="Y387" s="411"/>
      <c r="Z387" s="411"/>
      <c r="AA387" s="411"/>
      <c r="AB387" s="411"/>
      <c r="AC387" s="411"/>
      <c r="AD387" s="411"/>
      <c r="AF387" s="411"/>
      <c r="AG387" s="411"/>
    </row>
    <row r="388" spans="2:33" x14ac:dyDescent="0.35">
      <c r="B388" s="151"/>
      <c r="C388" s="143"/>
      <c r="D388" s="143"/>
      <c r="E388" s="411"/>
      <c r="F388" s="411"/>
      <c r="G388" s="411"/>
      <c r="H388" s="411"/>
      <c r="I388" s="411"/>
      <c r="J388" s="411"/>
      <c r="K388" s="411"/>
      <c r="L388" s="411"/>
      <c r="M388" s="411"/>
      <c r="N388" s="411"/>
      <c r="O388" s="411"/>
      <c r="P388" s="411"/>
      <c r="Q388" s="411"/>
      <c r="R388" s="411"/>
      <c r="S388" s="411"/>
      <c r="T388" s="411"/>
      <c r="U388" s="411"/>
      <c r="V388" s="411"/>
      <c r="W388" s="411"/>
      <c r="X388" s="411"/>
      <c r="Y388" s="411"/>
      <c r="Z388" s="411"/>
      <c r="AA388" s="411"/>
      <c r="AB388" s="411"/>
      <c r="AC388" s="411"/>
      <c r="AD388" s="411"/>
      <c r="AF388" s="411"/>
      <c r="AG388" s="411"/>
    </row>
    <row r="389" spans="2:33" x14ac:dyDescent="0.35">
      <c r="B389" s="151"/>
      <c r="C389" s="143"/>
      <c r="D389" s="143"/>
      <c r="E389" s="411"/>
      <c r="F389" s="411"/>
      <c r="G389" s="411"/>
      <c r="H389" s="411"/>
      <c r="I389" s="411"/>
      <c r="J389" s="411"/>
      <c r="K389" s="411"/>
      <c r="L389" s="411"/>
      <c r="M389" s="411"/>
      <c r="N389" s="411"/>
      <c r="O389" s="411"/>
      <c r="P389" s="411"/>
      <c r="Q389" s="411"/>
      <c r="R389" s="411"/>
      <c r="S389" s="411"/>
      <c r="T389" s="411"/>
      <c r="U389" s="411"/>
      <c r="V389" s="411"/>
      <c r="W389" s="411"/>
      <c r="X389" s="411"/>
      <c r="Y389" s="411"/>
      <c r="Z389" s="411"/>
      <c r="AA389" s="411"/>
      <c r="AB389" s="411"/>
      <c r="AC389" s="411"/>
      <c r="AD389" s="411"/>
      <c r="AF389" s="411"/>
      <c r="AG389" s="411"/>
    </row>
    <row r="390" spans="2:33" x14ac:dyDescent="0.35">
      <c r="B390" s="151"/>
      <c r="C390" s="143"/>
      <c r="D390" s="143"/>
      <c r="E390" s="411"/>
      <c r="F390" s="411"/>
      <c r="G390" s="411"/>
      <c r="H390" s="411"/>
      <c r="I390" s="411"/>
      <c r="J390" s="411"/>
      <c r="K390" s="411"/>
      <c r="L390" s="411"/>
      <c r="M390" s="411"/>
      <c r="N390" s="411"/>
      <c r="O390" s="411"/>
      <c r="P390" s="411"/>
      <c r="Q390" s="411"/>
      <c r="R390" s="411"/>
      <c r="S390" s="411"/>
      <c r="T390" s="411"/>
      <c r="U390" s="411"/>
      <c r="V390" s="411"/>
      <c r="W390" s="411"/>
      <c r="X390" s="411"/>
      <c r="Y390" s="411"/>
      <c r="Z390" s="411"/>
      <c r="AA390" s="411"/>
      <c r="AB390" s="411"/>
      <c r="AC390" s="411"/>
      <c r="AD390" s="411"/>
      <c r="AF390" s="411"/>
      <c r="AG390" s="411"/>
    </row>
    <row r="391" spans="2:33" x14ac:dyDescent="0.35">
      <c r="B391" s="151"/>
      <c r="C391" s="143"/>
      <c r="D391" s="143"/>
      <c r="E391" s="411"/>
      <c r="F391" s="411"/>
      <c r="G391" s="411"/>
      <c r="H391" s="411"/>
      <c r="I391" s="411"/>
      <c r="J391" s="411"/>
      <c r="K391" s="411"/>
      <c r="L391" s="411"/>
      <c r="M391" s="411"/>
      <c r="N391" s="411"/>
      <c r="O391" s="411"/>
      <c r="P391" s="411"/>
      <c r="Q391" s="411"/>
      <c r="R391" s="411"/>
      <c r="S391" s="411"/>
      <c r="T391" s="411"/>
      <c r="U391" s="411"/>
      <c r="V391" s="411"/>
      <c r="W391" s="411"/>
      <c r="X391" s="411"/>
      <c r="Y391" s="411"/>
      <c r="Z391" s="411"/>
      <c r="AA391" s="411"/>
      <c r="AB391" s="411"/>
      <c r="AC391" s="411"/>
      <c r="AD391" s="411"/>
      <c r="AF391" s="411"/>
      <c r="AG391" s="411"/>
    </row>
    <row r="392" spans="2:33" x14ac:dyDescent="0.35">
      <c r="B392" s="151"/>
      <c r="C392" s="143"/>
      <c r="D392" s="143"/>
      <c r="E392" s="411"/>
      <c r="F392" s="411"/>
      <c r="G392" s="411"/>
      <c r="H392" s="411"/>
      <c r="I392" s="411"/>
      <c r="J392" s="411"/>
      <c r="K392" s="411"/>
      <c r="L392" s="411"/>
      <c r="M392" s="411"/>
      <c r="N392" s="411"/>
      <c r="O392" s="411"/>
      <c r="P392" s="411"/>
      <c r="Q392" s="411"/>
      <c r="R392" s="411"/>
      <c r="S392" s="411"/>
      <c r="T392" s="411"/>
      <c r="U392" s="411"/>
      <c r="V392" s="411"/>
      <c r="W392" s="411"/>
      <c r="X392" s="411"/>
      <c r="Y392" s="411"/>
      <c r="Z392" s="411"/>
      <c r="AA392" s="411"/>
      <c r="AB392" s="411"/>
      <c r="AC392" s="411"/>
      <c r="AD392" s="411"/>
      <c r="AF392" s="411"/>
      <c r="AG392" s="411"/>
    </row>
    <row r="393" spans="2:33" x14ac:dyDescent="0.35">
      <c r="B393" s="151"/>
      <c r="C393" s="143"/>
      <c r="D393" s="143"/>
      <c r="E393" s="411"/>
      <c r="F393" s="411"/>
      <c r="G393" s="411"/>
      <c r="H393" s="411"/>
      <c r="I393" s="411"/>
      <c r="J393" s="411"/>
      <c r="K393" s="411"/>
      <c r="L393" s="411"/>
      <c r="M393" s="411"/>
      <c r="N393" s="411"/>
      <c r="O393" s="411"/>
      <c r="P393" s="411"/>
      <c r="Q393" s="411"/>
      <c r="R393" s="411"/>
      <c r="S393" s="411"/>
      <c r="T393" s="411"/>
      <c r="U393" s="411"/>
      <c r="V393" s="411"/>
      <c r="W393" s="411"/>
      <c r="X393" s="411"/>
      <c r="Y393" s="411"/>
      <c r="Z393" s="411"/>
      <c r="AA393" s="411"/>
      <c r="AB393" s="411"/>
      <c r="AC393" s="411"/>
      <c r="AD393" s="411"/>
      <c r="AF393" s="411"/>
      <c r="AG393" s="411"/>
    </row>
  </sheetData>
  <pageMargins left="0.7" right="0.7" top="0.75" bottom="0.75" header="0.3" footer="0.3"/>
  <pageSetup scale="43" orientation="portrait" r:id="rId1"/>
  <headerFooter alignWithMargins="0">
    <oddHeader>&amp;R&amp;"Arial,Regular"UG-250717 - NWN WUTC Advice 25-08A
Exhibit A - Supporting Materials
Page &amp;P of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B33FA-B32D-48F5-B9AE-87CB9EDB2F31}">
  <sheetPr>
    <tabColor theme="0" tint="-0.14999847407452621"/>
    <pageSetUpPr fitToPage="1"/>
  </sheetPr>
  <dimension ref="A1:H49"/>
  <sheetViews>
    <sheetView tabSelected="1" zoomScale="90" zoomScaleNormal="90" workbookViewId="0">
      <pane xSplit="3" ySplit="11" topLeftCell="D12" activePane="bottomRight" state="frozen"/>
      <selection activeCell="I13" sqref="I13:I80"/>
      <selection pane="topRight" activeCell="I13" sqref="I13:I80"/>
      <selection pane="bottomLeft" activeCell="I13" sqref="I13:I80"/>
      <selection pane="bottomRight" activeCell="I13" sqref="I13:I80"/>
    </sheetView>
  </sheetViews>
  <sheetFormatPr defaultColWidth="10.19921875" defaultRowHeight="14.5" x14ac:dyDescent="0.35"/>
  <cols>
    <col min="1" max="1" width="10.19921875" style="439"/>
    <col min="2" max="2" width="24.296875" style="439" customWidth="1"/>
    <col min="3" max="3" width="33.296875" style="439" customWidth="1"/>
    <col min="4" max="4" width="18.19921875" style="439" customWidth="1"/>
    <col min="5" max="5" width="5" style="439" customWidth="1"/>
    <col min="6" max="6" width="18.19921875" style="439" customWidth="1"/>
    <col min="7" max="22" width="14.796875" style="439" customWidth="1"/>
    <col min="23" max="16384" width="10.19921875" style="439"/>
  </cols>
  <sheetData>
    <row r="1" spans="1:8" x14ac:dyDescent="0.35">
      <c r="A1" s="439" t="str">
        <f>+'[15]Supply Contracts'!A1</f>
        <v>NW Natural</v>
      </c>
    </row>
    <row r="2" spans="1:8" x14ac:dyDescent="0.35">
      <c r="A2" s="439" t="str">
        <f>+'Total Commodity Summary'!A2</f>
        <v>2025-2026 PGA - SYSTEM: September Filing</v>
      </c>
    </row>
    <row r="3" spans="1:8" x14ac:dyDescent="0.35">
      <c r="A3" s="439" t="s">
        <v>446</v>
      </c>
    </row>
    <row r="4" spans="1:8" x14ac:dyDescent="0.35">
      <c r="A4" s="485" t="s">
        <v>374</v>
      </c>
    </row>
    <row r="6" spans="1:8" x14ac:dyDescent="0.35">
      <c r="A6" s="440" t="s">
        <v>447</v>
      </c>
    </row>
    <row r="8" spans="1:8" x14ac:dyDescent="0.35">
      <c r="A8" s="440"/>
    </row>
    <row r="9" spans="1:8" x14ac:dyDescent="0.35">
      <c r="A9" s="438">
        <v>1</v>
      </c>
      <c r="D9" s="438" t="s">
        <v>448</v>
      </c>
      <c r="E9" s="438"/>
      <c r="F9" s="438" t="s">
        <v>449</v>
      </c>
    </row>
    <row r="10" spans="1:8" x14ac:dyDescent="0.35">
      <c r="A10" s="438">
        <v>2</v>
      </c>
      <c r="D10" s="438" t="s">
        <v>450</v>
      </c>
      <c r="E10" s="438"/>
      <c r="F10" s="438" t="s">
        <v>450</v>
      </c>
    </row>
    <row r="11" spans="1:8" x14ac:dyDescent="0.35">
      <c r="A11" s="438">
        <v>3</v>
      </c>
      <c r="B11" s="484" t="s">
        <v>331</v>
      </c>
      <c r="C11" s="484" t="s">
        <v>330</v>
      </c>
      <c r="D11" s="484" t="s">
        <v>329</v>
      </c>
      <c r="E11" s="484"/>
      <c r="F11" s="484" t="s">
        <v>328</v>
      </c>
      <c r="G11" s="484"/>
      <c r="H11" s="484"/>
    </row>
    <row r="12" spans="1:8" x14ac:dyDescent="0.35">
      <c r="A12" s="438">
        <v>4</v>
      </c>
      <c r="B12" s="439" t="s">
        <v>451</v>
      </c>
      <c r="D12" s="476">
        <f>'Demand Charges'!P30</f>
        <v>79158822.046191379</v>
      </c>
    </row>
    <row r="13" spans="1:8" x14ac:dyDescent="0.35">
      <c r="A13" s="438">
        <v>5</v>
      </c>
      <c r="B13" s="439" t="s">
        <v>452</v>
      </c>
      <c r="D13" s="480">
        <f>C34</f>
        <v>0.11119999999999999</v>
      </c>
    </row>
    <row r="14" spans="1:8" x14ac:dyDescent="0.35">
      <c r="A14" s="438">
        <v>6</v>
      </c>
      <c r="B14" s="439" t="s">
        <v>453</v>
      </c>
      <c r="D14" s="476">
        <f>ROUND(D12*D13,0)</f>
        <v>8802461</v>
      </c>
    </row>
    <row r="15" spans="1:8" x14ac:dyDescent="0.35">
      <c r="A15" s="438">
        <v>7</v>
      </c>
    </row>
    <row r="16" spans="1:8" x14ac:dyDescent="0.35">
      <c r="A16" s="438">
        <v>8</v>
      </c>
      <c r="B16" s="439" t="s">
        <v>454</v>
      </c>
      <c r="D16" s="481">
        <f>+'[15]General Inputs'!E68</f>
        <v>90908754.469081819</v>
      </c>
    </row>
    <row r="17" spans="1:8" x14ac:dyDescent="0.35">
      <c r="A17" s="438">
        <v>9</v>
      </c>
      <c r="B17" s="439" t="s">
        <v>455</v>
      </c>
      <c r="D17" s="481">
        <f>+'[15]General Inputs'!E69</f>
        <v>1147774.976154</v>
      </c>
    </row>
    <row r="18" spans="1:8" x14ac:dyDescent="0.35">
      <c r="A18" s="438">
        <v>10</v>
      </c>
    </row>
    <row r="19" spans="1:8" x14ac:dyDescent="0.35">
      <c r="A19" s="438">
        <v>11</v>
      </c>
    </row>
    <row r="20" spans="1:8" x14ac:dyDescent="0.35">
      <c r="A20" s="438">
        <v>12</v>
      </c>
      <c r="B20" s="439" t="s">
        <v>456</v>
      </c>
      <c r="D20" s="478">
        <f>ROUND(F40/D16,5)</f>
        <v>9.5949999999999994E-2</v>
      </c>
      <c r="F20" s="478">
        <f>ROUND(D20/(1-wa_revsens),5)</f>
        <v>0.10032000000000001</v>
      </c>
      <c r="G20" s="478"/>
    </row>
    <row r="21" spans="1:8" x14ac:dyDescent="0.35">
      <c r="A21" s="438">
        <v>13</v>
      </c>
      <c r="B21" s="439" t="s">
        <v>457</v>
      </c>
      <c r="D21" s="478">
        <f>ROUND(F41/D17,5)</f>
        <v>3.3529999999999997E-2</v>
      </c>
      <c r="F21" s="478">
        <f>ROUND(D21/(1-wa_revsens),5)</f>
        <v>3.5060000000000001E-2</v>
      </c>
      <c r="G21" s="478"/>
    </row>
    <row r="22" spans="1:8" x14ac:dyDescent="0.35">
      <c r="A22" s="438">
        <v>14</v>
      </c>
      <c r="B22" s="439" t="s">
        <v>458</v>
      </c>
      <c r="D22" s="483">
        <f>ROUND(D26*(1+D28),2)</f>
        <v>1.43</v>
      </c>
      <c r="F22" s="483">
        <f>ROUND(D22/(1-wa_revsens),2)</f>
        <v>1.5</v>
      </c>
    </row>
    <row r="23" spans="1:8" x14ac:dyDescent="0.35">
      <c r="A23" s="438">
        <v>15</v>
      </c>
    </row>
    <row r="24" spans="1:8" x14ac:dyDescent="0.35">
      <c r="A24" s="438">
        <v>16</v>
      </c>
      <c r="B24" s="439" t="s">
        <v>459</v>
      </c>
      <c r="D24" s="478">
        <f>+'[15]General Inputs'!D77</f>
        <v>9.887E-2</v>
      </c>
      <c r="F24" s="478">
        <f>+'[15]General Inputs'!E77</f>
        <v>0.10337</v>
      </c>
      <c r="H24" s="478"/>
    </row>
    <row r="25" spans="1:8" x14ac:dyDescent="0.35">
      <c r="A25" s="438">
        <v>17</v>
      </c>
      <c r="B25" s="439" t="s">
        <v>460</v>
      </c>
      <c r="D25" s="478">
        <f>+'[15]General Inputs'!D78</f>
        <v>3.4549999999999997E-2</v>
      </c>
      <c r="F25" s="478">
        <f>+'[15]General Inputs'!E78</f>
        <v>3.6119999999999999E-2</v>
      </c>
      <c r="G25" s="478"/>
    </row>
    <row r="26" spans="1:8" x14ac:dyDescent="0.35">
      <c r="A26" s="438">
        <v>18</v>
      </c>
      <c r="B26" s="439" t="s">
        <v>461</v>
      </c>
      <c r="D26" s="483">
        <f>+'[15]General Inputs'!D79</f>
        <v>1.47</v>
      </c>
      <c r="E26" s="483"/>
      <c r="F26" s="483">
        <f>+'[15]General Inputs'!E79</f>
        <v>1.54</v>
      </c>
    </row>
    <row r="27" spans="1:8" x14ac:dyDescent="0.35">
      <c r="A27" s="438">
        <v>19</v>
      </c>
    </row>
    <row r="28" spans="1:8" x14ac:dyDescent="0.35">
      <c r="A28" s="438">
        <v>20</v>
      </c>
      <c r="B28" s="439" t="s">
        <v>462</v>
      </c>
      <c r="D28" s="203">
        <f>ROUND((D20-D24)/D24,4)</f>
        <v>-2.9499999999999998E-2</v>
      </c>
      <c r="F28" s="203"/>
    </row>
    <row r="29" spans="1:8" x14ac:dyDescent="0.35">
      <c r="A29" s="438">
        <v>21</v>
      </c>
    </row>
    <row r="30" spans="1:8" x14ac:dyDescent="0.35">
      <c r="A30" s="438">
        <v>22</v>
      </c>
    </row>
    <row r="31" spans="1:8" x14ac:dyDescent="0.35">
      <c r="A31" s="438">
        <v>23</v>
      </c>
      <c r="B31" s="439" t="s">
        <v>463</v>
      </c>
    </row>
    <row r="32" spans="1:8" x14ac:dyDescent="0.35">
      <c r="A32" s="438">
        <v>24</v>
      </c>
      <c r="C32" s="482" t="s">
        <v>2</v>
      </c>
      <c r="D32" s="482" t="s">
        <v>464</v>
      </c>
      <c r="E32" s="482"/>
      <c r="F32" s="482" t="s">
        <v>465</v>
      </c>
    </row>
    <row r="33" spans="1:6" x14ac:dyDescent="0.35">
      <c r="A33" s="438">
        <v>25</v>
      </c>
      <c r="B33" s="439" t="s">
        <v>466</v>
      </c>
      <c r="C33" s="481">
        <f>'[15]General Inputs'!E68</f>
        <v>90908754.469081819</v>
      </c>
      <c r="D33" s="481">
        <f>'[15]General Inputs'!D68</f>
        <v>726491658.36307311</v>
      </c>
      <c r="F33" s="481">
        <f>+C33+D33</f>
        <v>817400412.83215499</v>
      </c>
    </row>
    <row r="34" spans="1:6" x14ac:dyDescent="0.35">
      <c r="A34" s="438">
        <v>26</v>
      </c>
      <c r="C34" s="480">
        <f>ROUND(C33/F33,4)</f>
        <v>0.11119999999999999</v>
      </c>
      <c r="D34" s="480">
        <f>1-C34</f>
        <v>0.88880000000000003</v>
      </c>
      <c r="F34" s="480">
        <f>+C34+D34</f>
        <v>1</v>
      </c>
    </row>
    <row r="35" spans="1:6" x14ac:dyDescent="0.35">
      <c r="A35" s="438">
        <v>27</v>
      </c>
      <c r="C35" s="480"/>
      <c r="D35" s="480"/>
      <c r="F35" s="480"/>
    </row>
    <row r="36" spans="1:6" x14ac:dyDescent="0.35">
      <c r="A36" s="438">
        <v>28</v>
      </c>
      <c r="B36" s="439" t="s">
        <v>467</v>
      </c>
      <c r="C36" s="480"/>
      <c r="D36" s="480"/>
      <c r="F36" s="480"/>
    </row>
    <row r="37" spans="1:6" x14ac:dyDescent="0.35">
      <c r="A37" s="438">
        <v>29</v>
      </c>
    </row>
    <row r="38" spans="1:6" x14ac:dyDescent="0.35">
      <c r="A38" s="438">
        <v>30</v>
      </c>
      <c r="B38" s="439" t="s">
        <v>468</v>
      </c>
      <c r="D38" s="479">
        <v>0.97051014351712728</v>
      </c>
    </row>
    <row r="39" spans="1:6" x14ac:dyDescent="0.35">
      <c r="A39" s="438">
        <v>31</v>
      </c>
    </row>
    <row r="40" spans="1:6" x14ac:dyDescent="0.35">
      <c r="A40" s="438">
        <v>32</v>
      </c>
      <c r="B40" s="439" t="s">
        <v>469</v>
      </c>
      <c r="D40" s="478">
        <f>+D38*D24</f>
        <v>9.5954337889538374E-2</v>
      </c>
      <c r="F40" s="476">
        <f>ROUND(+D40*D16,0)</f>
        <v>8723089</v>
      </c>
    </row>
    <row r="41" spans="1:6" x14ac:dyDescent="0.35">
      <c r="A41" s="438">
        <v>33</v>
      </c>
      <c r="B41" s="439" t="s">
        <v>470</v>
      </c>
      <c r="D41" s="478">
        <f>ROUND(D38*D25,6)</f>
        <v>3.3530999999999998E-2</v>
      </c>
      <c r="F41" s="477">
        <f>ROUND(+D41*D17,0)</f>
        <v>38486</v>
      </c>
    </row>
    <row r="42" spans="1:6" x14ac:dyDescent="0.35">
      <c r="A42" s="438">
        <v>34</v>
      </c>
      <c r="F42" s="476">
        <f>SUM(F40:F41)</f>
        <v>8761575</v>
      </c>
    </row>
    <row r="43" spans="1:6" x14ac:dyDescent="0.35">
      <c r="A43" s="438">
        <v>35</v>
      </c>
      <c r="F43" s="476">
        <f>D14-F42</f>
        <v>40886</v>
      </c>
    </row>
    <row r="49" spans="6:6" x14ac:dyDescent="0.35">
      <c r="F49" s="475"/>
    </row>
  </sheetData>
  <pageMargins left="0.7" right="0.7" top="0.75" bottom="0.75" header="0.3" footer="0.3"/>
  <pageSetup scale="91" orientation="portrait" r:id="rId1"/>
  <headerFooter alignWithMargins="0">
    <oddHeader>&amp;R&amp;"Arial,Regular"UG-250717 - NWN WUTC Advice 25-08A
Exhibit A - Supporting Materials
Page &amp;P of &amp;N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ACB36-72B2-475A-A146-C245BAA5CEBC}">
  <sheetPr>
    <tabColor theme="0" tint="-0.14999847407452621"/>
    <pageSetUpPr fitToPage="1"/>
  </sheetPr>
  <dimension ref="A1:H44"/>
  <sheetViews>
    <sheetView tabSelected="1" topLeftCell="A16" workbookViewId="0">
      <selection activeCell="I13" sqref="I13:I80"/>
    </sheetView>
  </sheetViews>
  <sheetFormatPr defaultColWidth="10.19921875" defaultRowHeight="14.5" x14ac:dyDescent="0.35"/>
  <cols>
    <col min="1" max="1" width="6.19921875" style="439" customWidth="1"/>
    <col min="2" max="3" width="20.296875" style="439" customWidth="1"/>
    <col min="4" max="4" width="16" style="439" customWidth="1"/>
    <col min="5" max="5" width="22.69921875" style="439" customWidth="1"/>
    <col min="6" max="22" width="14.796875" style="439" customWidth="1"/>
    <col min="23" max="16384" width="10.19921875" style="439"/>
  </cols>
  <sheetData>
    <row r="1" spans="1:4" x14ac:dyDescent="0.35">
      <c r="A1" s="440" t="str">
        <f>+'[15]Supply Contracts'!A1</f>
        <v>NW Natural</v>
      </c>
    </row>
    <row r="2" spans="1:4" x14ac:dyDescent="0.35">
      <c r="A2" s="440" t="str">
        <f>+'[15]Supply Contracts'!A2</f>
        <v>2025-2026 PGA - SYSTEM: September Filing</v>
      </c>
    </row>
    <row r="3" spans="1:4" x14ac:dyDescent="0.35">
      <c r="A3" s="439" t="s">
        <v>471</v>
      </c>
    </row>
    <row r="4" spans="1:4" x14ac:dyDescent="0.35">
      <c r="A4" s="439" t="s">
        <v>472</v>
      </c>
    </row>
    <row r="9" spans="1:4" x14ac:dyDescent="0.35">
      <c r="A9" s="438">
        <v>1</v>
      </c>
      <c r="B9" s="439" t="s">
        <v>473</v>
      </c>
    </row>
    <row r="10" spans="1:4" x14ac:dyDescent="0.35">
      <c r="A10" s="438">
        <f t="shared" ref="A10:A34" si="0">+A9+1</f>
        <v>2</v>
      </c>
      <c r="D10" s="492"/>
    </row>
    <row r="11" spans="1:4" x14ac:dyDescent="0.35">
      <c r="A11" s="438">
        <f t="shared" si="0"/>
        <v>3</v>
      </c>
      <c r="C11" s="491" t="s">
        <v>474</v>
      </c>
    </row>
    <row r="12" spans="1:4" x14ac:dyDescent="0.35">
      <c r="A12" s="438">
        <f t="shared" si="0"/>
        <v>4</v>
      </c>
      <c r="C12" s="490"/>
    </row>
    <row r="13" spans="1:4" x14ac:dyDescent="0.35">
      <c r="A13" s="438">
        <f t="shared" si="0"/>
        <v>5</v>
      </c>
      <c r="B13" s="439" t="s">
        <v>383</v>
      </c>
      <c r="C13" s="487">
        <f>+'[15]Index Prices'!E13</f>
        <v>0.19319999999999998</v>
      </c>
    </row>
    <row r="14" spans="1:4" x14ac:dyDescent="0.35">
      <c r="A14" s="438">
        <f t="shared" si="0"/>
        <v>6</v>
      </c>
      <c r="B14" s="439" t="s">
        <v>384</v>
      </c>
      <c r="C14" s="487">
        <f>+'[15]Index Prices'!E14</f>
        <v>0.23380113636363645</v>
      </c>
    </row>
    <row r="15" spans="1:4" x14ac:dyDescent="0.35">
      <c r="A15" s="438">
        <f t="shared" si="0"/>
        <v>7</v>
      </c>
      <c r="B15" s="439" t="s">
        <v>385</v>
      </c>
      <c r="C15" s="487">
        <f>+'[15]Index Prices'!E15</f>
        <v>0.24265340909090907</v>
      </c>
    </row>
    <row r="16" spans="1:4" x14ac:dyDescent="0.35">
      <c r="A16" s="438">
        <f t="shared" si="0"/>
        <v>8</v>
      </c>
      <c r="B16" s="439" t="s">
        <v>386</v>
      </c>
      <c r="C16" s="487">
        <f>+'[15]Index Prices'!E16</f>
        <v>0.24413749999999995</v>
      </c>
    </row>
    <row r="17" spans="1:5" x14ac:dyDescent="0.35">
      <c r="A17" s="438">
        <f t="shared" si="0"/>
        <v>9</v>
      </c>
      <c r="B17" s="439" t="s">
        <v>387</v>
      </c>
      <c r="C17" s="487">
        <f>+'[15]Index Prices'!E17</f>
        <v>0.2163352272727273</v>
      </c>
    </row>
    <row r="18" spans="1:5" x14ac:dyDescent="0.35">
      <c r="A18" s="438">
        <f t="shared" si="0"/>
        <v>10</v>
      </c>
      <c r="B18" s="439" t="s">
        <v>388</v>
      </c>
      <c r="C18" s="487">
        <f>+'[15]Index Prices'!E18</f>
        <v>0.19808977272727271</v>
      </c>
    </row>
    <row r="19" spans="1:5" x14ac:dyDescent="0.35">
      <c r="A19" s="438">
        <f t="shared" si="0"/>
        <v>11</v>
      </c>
      <c r="B19" s="439" t="s">
        <v>389</v>
      </c>
      <c r="C19" s="487">
        <f>+'[15]Index Prices'!E19</f>
        <v>0.1898806818181818</v>
      </c>
    </row>
    <row r="20" spans="1:5" x14ac:dyDescent="0.35">
      <c r="A20" s="438">
        <f t="shared" si="0"/>
        <v>12</v>
      </c>
      <c r="B20" s="439" t="s">
        <v>390</v>
      </c>
      <c r="C20" s="487">
        <f>+'[15]Index Prices'!E20</f>
        <v>0.19474090909090908</v>
      </c>
    </row>
    <row r="21" spans="1:5" x14ac:dyDescent="0.35">
      <c r="A21" s="438">
        <f t="shared" si="0"/>
        <v>13</v>
      </c>
      <c r="B21" s="439" t="s">
        <v>391</v>
      </c>
      <c r="C21" s="487">
        <f>+'[15]Index Prices'!E21</f>
        <v>0.19820113636363637</v>
      </c>
    </row>
    <row r="22" spans="1:5" x14ac:dyDescent="0.35">
      <c r="A22" s="438">
        <f t="shared" si="0"/>
        <v>14</v>
      </c>
      <c r="B22" s="439" t="s">
        <v>392</v>
      </c>
      <c r="C22" s="487">
        <f>+'[15]Index Prices'!E22</f>
        <v>0.19978522727272732</v>
      </c>
    </row>
    <row r="23" spans="1:5" x14ac:dyDescent="0.35">
      <c r="A23" s="438">
        <f t="shared" si="0"/>
        <v>15</v>
      </c>
      <c r="B23" s="439" t="s">
        <v>393</v>
      </c>
      <c r="C23" s="487">
        <f>+'[15]Index Prices'!E23</f>
        <v>0.2000079545454545</v>
      </c>
    </row>
    <row r="24" spans="1:5" x14ac:dyDescent="0.35">
      <c r="A24" s="438">
        <f t="shared" si="0"/>
        <v>16</v>
      </c>
      <c r="B24" s="439" t="s">
        <v>394</v>
      </c>
      <c r="C24" s="487">
        <f>+'[15]Index Prices'!E24</f>
        <v>0.2192465909090909</v>
      </c>
    </row>
    <row r="25" spans="1:5" x14ac:dyDescent="0.35">
      <c r="A25" s="438">
        <f t="shared" si="0"/>
        <v>17</v>
      </c>
    </row>
    <row r="26" spans="1:5" x14ac:dyDescent="0.35">
      <c r="A26" s="438">
        <f t="shared" si="0"/>
        <v>18</v>
      </c>
    </row>
    <row r="27" spans="1:5" x14ac:dyDescent="0.35">
      <c r="A27" s="438">
        <f t="shared" si="0"/>
        <v>19</v>
      </c>
      <c r="B27" s="439" t="s">
        <v>475</v>
      </c>
      <c r="D27" s="487">
        <f>ROUND(AVERAGE(C13:C17),5)</f>
        <v>0.22603000000000001</v>
      </c>
      <c r="E27" s="439" t="s">
        <v>476</v>
      </c>
    </row>
    <row r="28" spans="1:5" x14ac:dyDescent="0.35">
      <c r="A28" s="438">
        <f t="shared" si="0"/>
        <v>20</v>
      </c>
      <c r="D28" s="438"/>
    </row>
    <row r="29" spans="1:5" x14ac:dyDescent="0.35">
      <c r="A29" s="438">
        <f t="shared" si="0"/>
        <v>21</v>
      </c>
      <c r="B29" s="439" t="s">
        <v>477</v>
      </c>
      <c r="D29" s="487">
        <f>ROUND(AVERAGE(C13:C24),5)</f>
        <v>0.21084</v>
      </c>
      <c r="E29" s="439" t="s">
        <v>478</v>
      </c>
    </row>
    <row r="30" spans="1:5" x14ac:dyDescent="0.35">
      <c r="A30" s="438">
        <f t="shared" si="0"/>
        <v>22</v>
      </c>
      <c r="D30" s="438"/>
    </row>
    <row r="31" spans="1:5" x14ac:dyDescent="0.35">
      <c r="A31" s="438">
        <f t="shared" si="0"/>
        <v>23</v>
      </c>
      <c r="B31" s="439" t="s">
        <v>479</v>
      </c>
      <c r="D31" s="438">
        <f>ROUND(D27/D29,5)</f>
        <v>1.0720499999999999</v>
      </c>
      <c r="E31" s="439" t="s">
        <v>480</v>
      </c>
    </row>
    <row r="32" spans="1:5" x14ac:dyDescent="0.35">
      <c r="A32" s="438">
        <f t="shared" si="0"/>
        <v>24</v>
      </c>
    </row>
    <row r="33" spans="1:8" x14ac:dyDescent="0.35">
      <c r="A33" s="438">
        <f t="shared" si="0"/>
        <v>25</v>
      </c>
      <c r="D33" s="438" t="s">
        <v>481</v>
      </c>
      <c r="E33" s="438" t="s">
        <v>482</v>
      </c>
    </row>
    <row r="34" spans="1:8" x14ac:dyDescent="0.35">
      <c r="A34" s="438">
        <f t="shared" si="0"/>
        <v>26</v>
      </c>
      <c r="D34" s="482" t="s">
        <v>483</v>
      </c>
      <c r="E34" s="482" t="s">
        <v>483</v>
      </c>
    </row>
    <row r="35" spans="1:8" x14ac:dyDescent="0.35">
      <c r="A35" s="438" t="s">
        <v>484</v>
      </c>
      <c r="B35" s="439" t="s">
        <v>485</v>
      </c>
      <c r="D35" s="487">
        <f>+'Total Commodity Summary'!P57</f>
        <v>0.38869999999999999</v>
      </c>
      <c r="E35" s="487">
        <f>+'Total Commodity Summary'!P59</f>
        <v>0.40640999999999999</v>
      </c>
      <c r="G35" s="489"/>
    </row>
    <row r="36" spans="1:8" x14ac:dyDescent="0.35">
      <c r="A36" s="438" t="s">
        <v>484</v>
      </c>
      <c r="B36" s="439" t="s">
        <v>486</v>
      </c>
      <c r="D36" s="487">
        <f>ROUND(D31*D35,5)</f>
        <v>0.41671000000000002</v>
      </c>
      <c r="E36" s="487">
        <f>ROUND(D36/(1-wa_revsens),5)</f>
        <v>0.43569000000000002</v>
      </c>
    </row>
    <row r="37" spans="1:8" x14ac:dyDescent="0.35">
      <c r="A37" s="438"/>
      <c r="D37" s="438" t="str">
        <f>CONCATENATE("line 23 * $"&amp;D35)</f>
        <v>line 23 * $0.3887</v>
      </c>
    </row>
    <row r="38" spans="1:8" x14ac:dyDescent="0.35">
      <c r="A38" s="438"/>
      <c r="D38" s="487"/>
      <c r="E38" s="487"/>
      <c r="F38" s="489"/>
      <c r="G38" s="488"/>
      <c r="H38" s="488"/>
    </row>
    <row r="39" spans="1:8" x14ac:dyDescent="0.35">
      <c r="A39" s="438"/>
      <c r="D39" s="487"/>
      <c r="E39" s="486"/>
    </row>
    <row r="40" spans="1:8" x14ac:dyDescent="0.35">
      <c r="A40" s="438"/>
      <c r="D40" s="438"/>
    </row>
    <row r="41" spans="1:8" x14ac:dyDescent="0.35">
      <c r="A41" s="438"/>
    </row>
    <row r="42" spans="1:8" x14ac:dyDescent="0.35">
      <c r="A42" s="438"/>
    </row>
    <row r="43" spans="1:8" x14ac:dyDescent="0.35">
      <c r="A43" s="438"/>
    </row>
    <row r="44" spans="1:8" x14ac:dyDescent="0.35">
      <c r="A44" s="438"/>
    </row>
  </sheetData>
  <pageMargins left="0.7" right="0.7" top="0.75" bottom="0.75" header="0.3" footer="0.3"/>
  <pageSetup orientation="portrait" r:id="rId1"/>
  <headerFooter alignWithMargins="0">
    <oddHeader>&amp;R&amp;"Arial,Regular"UG-250717 - NWN WUTC Advice 25-08A
Exhibit A - Supporting Materials
Page &amp;P of &amp;N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B2DC-B38C-4FE2-9987-D22D55B511D3}">
  <sheetPr>
    <tabColor theme="0" tint="-0.14999847407452621"/>
    <pageSetUpPr fitToPage="1"/>
  </sheetPr>
  <dimension ref="A1:J78"/>
  <sheetViews>
    <sheetView tabSelected="1" workbookViewId="0">
      <selection activeCell="I13" sqref="I13:I80"/>
    </sheetView>
  </sheetViews>
  <sheetFormatPr defaultColWidth="9.296875" defaultRowHeight="12.5" x14ac:dyDescent="0.25"/>
  <cols>
    <col min="1" max="1" width="7.796875" style="205" customWidth="1"/>
    <col min="2" max="5" width="14.796875" style="205" customWidth="1"/>
    <col min="6" max="6" width="18.19921875" style="205" customWidth="1"/>
    <col min="7" max="7" width="5.796875" style="205" customWidth="1"/>
    <col min="8" max="8" width="43.19921875" style="205" bestFit="1" customWidth="1"/>
    <col min="9" max="10" width="16.796875" style="205" hidden="1" customWidth="1"/>
    <col min="11" max="15" width="16.796875" style="205" customWidth="1"/>
    <col min="16" max="23" width="14.796875" style="205" customWidth="1"/>
    <col min="24" max="16384" width="9.296875" style="205"/>
  </cols>
  <sheetData>
    <row r="1" spans="1:10" ht="14" x14ac:dyDescent="0.3">
      <c r="A1" s="204" t="s">
        <v>255</v>
      </c>
    </row>
    <row r="2" spans="1:10" ht="14" x14ac:dyDescent="0.3">
      <c r="A2" s="204" t="s">
        <v>256</v>
      </c>
    </row>
    <row r="3" spans="1:10" ht="14" x14ac:dyDescent="0.3">
      <c r="A3" s="204" t="str">
        <f>'[40]25-02 ECRM'!A3</f>
        <v xml:space="preserve">2025-26 Washington: September Filing </v>
      </c>
    </row>
    <row r="4" spans="1:10" ht="14" x14ac:dyDescent="0.3">
      <c r="A4" s="206" t="s">
        <v>487</v>
      </c>
      <c r="B4" s="207"/>
    </row>
    <row r="7" spans="1:10" x14ac:dyDescent="0.25">
      <c r="A7" s="208">
        <v>1</v>
      </c>
      <c r="F7" s="209" t="s">
        <v>488</v>
      </c>
      <c r="H7" s="209" t="s">
        <v>489</v>
      </c>
      <c r="I7" s="209" t="s">
        <v>490</v>
      </c>
      <c r="J7" s="209" t="s">
        <v>427</v>
      </c>
    </row>
    <row r="8" spans="1:10" x14ac:dyDescent="0.25">
      <c r="A8" s="208">
        <f>+A7+1</f>
        <v>2</v>
      </c>
      <c r="B8" s="210" t="s">
        <v>491</v>
      </c>
    </row>
    <row r="9" spans="1:10" x14ac:dyDescent="0.25">
      <c r="A9" s="208">
        <f>+A8+1</f>
        <v>3</v>
      </c>
      <c r="H9" s="211"/>
    </row>
    <row r="10" spans="1:10" x14ac:dyDescent="0.25">
      <c r="A10" s="208">
        <f t="shared" ref="A10:A29" si="0">+A9+1</f>
        <v>4</v>
      </c>
      <c r="B10" s="205" t="s">
        <v>492</v>
      </c>
      <c r="F10" s="212">
        <f>'[40]25-08 Combined'!F10</f>
        <v>-2424539</v>
      </c>
      <c r="H10" s="211" t="str">
        <f>'[40]25-08 Combined'!H10</f>
        <v>NWN 2025-26 PGA gas cost development file September filing_WA.xls</v>
      </c>
      <c r="I10" s="212"/>
      <c r="J10" s="212">
        <f>+F10-I10</f>
        <v>-2424539</v>
      </c>
    </row>
    <row r="11" spans="1:10" x14ac:dyDescent="0.25">
      <c r="A11" s="208">
        <f t="shared" si="0"/>
        <v>5</v>
      </c>
      <c r="F11" s="213"/>
      <c r="H11" s="211"/>
      <c r="I11" s="213"/>
      <c r="J11" s="213"/>
    </row>
    <row r="12" spans="1:10" x14ac:dyDescent="0.25">
      <c r="A12" s="208">
        <f t="shared" si="0"/>
        <v>6</v>
      </c>
      <c r="B12" s="205" t="s">
        <v>493</v>
      </c>
      <c r="F12" s="214">
        <f>'[40]25-08 Combined'!F12</f>
        <v>-243514</v>
      </c>
      <c r="H12" s="211" t="str">
        <f>+H10</f>
        <v>NWN 2025-26 PGA gas cost development file September filing_WA.xls</v>
      </c>
      <c r="I12" s="214"/>
      <c r="J12" s="214">
        <f>+F12-I12</f>
        <v>-243514</v>
      </c>
    </row>
    <row r="13" spans="1:10" x14ac:dyDescent="0.25">
      <c r="A13" s="208">
        <f t="shared" si="0"/>
        <v>7</v>
      </c>
      <c r="F13" s="213"/>
      <c r="H13" s="211"/>
      <c r="I13" s="213"/>
      <c r="J13" s="213"/>
    </row>
    <row r="14" spans="1:10" x14ac:dyDescent="0.25">
      <c r="A14" s="208">
        <f t="shared" si="0"/>
        <v>8</v>
      </c>
      <c r="B14" s="215" t="s">
        <v>494</v>
      </c>
      <c r="F14" s="214">
        <f>SUM(F10:F12)</f>
        <v>-2668053</v>
      </c>
      <c r="H14" s="211"/>
      <c r="I14" s="214">
        <v>-88914</v>
      </c>
      <c r="J14" s="214">
        <f>+F14-I14</f>
        <v>-2579139</v>
      </c>
    </row>
    <row r="15" spans="1:10" x14ac:dyDescent="0.25">
      <c r="A15" s="208">
        <f t="shared" si="0"/>
        <v>9</v>
      </c>
      <c r="F15" s="213"/>
      <c r="H15" s="211"/>
      <c r="I15" s="213"/>
      <c r="J15" s="213"/>
    </row>
    <row r="16" spans="1:10" x14ac:dyDescent="0.25">
      <c r="A16" s="208">
        <f t="shared" si="0"/>
        <v>10</v>
      </c>
      <c r="B16" s="210" t="s">
        <v>495</v>
      </c>
      <c r="F16" s="213"/>
      <c r="H16" s="211"/>
      <c r="I16" s="213"/>
      <c r="J16" s="213"/>
    </row>
    <row r="17" spans="1:10" x14ac:dyDescent="0.25">
      <c r="A17" s="208">
        <f t="shared" si="0"/>
        <v>11</v>
      </c>
      <c r="F17" s="213"/>
      <c r="H17" s="211"/>
      <c r="I17" s="213"/>
      <c r="J17" s="213"/>
    </row>
    <row r="18" spans="1:10" x14ac:dyDescent="0.25">
      <c r="A18" s="208">
        <f t="shared" si="0"/>
        <v>12</v>
      </c>
      <c r="B18" s="205" t="s">
        <v>496</v>
      </c>
      <c r="F18" s="213">
        <f>'[40]Revenue Senstive'!D10</f>
        <v>-15655266</v>
      </c>
      <c r="H18" s="211" t="str">
        <f>'[40]25-08 Combined'!H18</f>
        <v>NWN 2025-26 PGA WA Rate Development September Filing.xlsx</v>
      </c>
      <c r="I18" s="213"/>
      <c r="J18" s="213">
        <f>+F18-I18</f>
        <v>-15655266</v>
      </c>
    </row>
    <row r="19" spans="1:10" x14ac:dyDescent="0.25">
      <c r="A19" s="208">
        <f t="shared" si="0"/>
        <v>13</v>
      </c>
      <c r="F19" s="213"/>
      <c r="H19" s="211"/>
      <c r="I19" s="213"/>
      <c r="J19" s="213"/>
    </row>
    <row r="20" spans="1:10" x14ac:dyDescent="0.25">
      <c r="A20" s="208">
        <f t="shared" si="0"/>
        <v>14</v>
      </c>
      <c r="B20" s="205" t="s">
        <v>497</v>
      </c>
      <c r="F20" s="216">
        <f>-'[41]24-14 PGA'!$F$18</f>
        <v>11563573</v>
      </c>
      <c r="H20" s="211" t="str">
        <f>'[40]25-08 Combined'!H20</f>
        <v>NWN 2024-25 PGA WA Rate Development_September Filing.xlsx</v>
      </c>
      <c r="I20" s="214"/>
      <c r="J20" s="214">
        <f>+F20-I20</f>
        <v>11563573</v>
      </c>
    </row>
    <row r="21" spans="1:10" x14ac:dyDescent="0.25">
      <c r="A21" s="208">
        <f t="shared" si="0"/>
        <v>15</v>
      </c>
      <c r="F21" s="213"/>
      <c r="I21" s="213"/>
      <c r="J21" s="213"/>
    </row>
    <row r="22" spans="1:10" x14ac:dyDescent="0.25">
      <c r="A22" s="208">
        <f t="shared" si="0"/>
        <v>16</v>
      </c>
      <c r="B22" s="215" t="s">
        <v>498</v>
      </c>
      <c r="F22" s="214">
        <f>+F18+F20</f>
        <v>-4091693</v>
      </c>
      <c r="I22" s="214">
        <v>-6564812</v>
      </c>
      <c r="J22" s="214">
        <f>+F22-I22</f>
        <v>2473119</v>
      </c>
    </row>
    <row r="23" spans="1:10" x14ac:dyDescent="0.25">
      <c r="A23" s="208">
        <f t="shared" si="0"/>
        <v>17</v>
      </c>
      <c r="F23" s="213"/>
      <c r="I23" s="213"/>
      <c r="J23" s="213"/>
    </row>
    <row r="24" spans="1:10" ht="13" thickBot="1" x14ac:dyDescent="0.3">
      <c r="A24" s="208">
        <f t="shared" si="0"/>
        <v>18</v>
      </c>
      <c r="B24" s="217" t="s">
        <v>499</v>
      </c>
      <c r="F24" s="218">
        <f>+F22+F14</f>
        <v>-6759746</v>
      </c>
      <c r="I24" s="219"/>
      <c r="J24" s="219"/>
    </row>
    <row r="25" spans="1:10" ht="13" thickTop="1" x14ac:dyDescent="0.25">
      <c r="A25" s="208">
        <f t="shared" si="0"/>
        <v>19</v>
      </c>
      <c r="F25" s="213"/>
    </row>
    <row r="26" spans="1:10" x14ac:dyDescent="0.25">
      <c r="A26" s="208">
        <f t="shared" si="0"/>
        <v>20</v>
      </c>
    </row>
    <row r="27" spans="1:10" x14ac:dyDescent="0.25">
      <c r="A27" s="208">
        <f t="shared" si="0"/>
        <v>21</v>
      </c>
      <c r="B27" s="220" t="str">
        <f>'[40]25-08 Combined'!B36</f>
        <v>2024 Washington CBR Normalized Total Revenues</v>
      </c>
      <c r="C27" s="221"/>
      <c r="D27" s="221"/>
      <c r="F27" s="222">
        <f>'[40]25-08 Combined'!F36</f>
        <v>109949934.64991099</v>
      </c>
    </row>
    <row r="28" spans="1:10" x14ac:dyDescent="0.25">
      <c r="A28" s="208">
        <f t="shared" si="0"/>
        <v>22</v>
      </c>
      <c r="B28" s="217"/>
      <c r="F28" s="219"/>
    </row>
    <row r="29" spans="1:10" x14ac:dyDescent="0.25">
      <c r="A29" s="208">
        <f t="shared" si="0"/>
        <v>23</v>
      </c>
      <c r="B29" s="217" t="s">
        <v>500</v>
      </c>
      <c r="F29" s="223">
        <f>ROUND(F24/F27,4)</f>
        <v>-6.1499999999999999E-2</v>
      </c>
    </row>
    <row r="30" spans="1:10" x14ac:dyDescent="0.25">
      <c r="A30" s="208"/>
    </row>
    <row r="31" spans="1:10" x14ac:dyDescent="0.25">
      <c r="A31" s="208"/>
    </row>
    <row r="32" spans="1:10" x14ac:dyDescent="0.25">
      <c r="A32" s="208"/>
    </row>
    <row r="33" spans="1:5" x14ac:dyDescent="0.25">
      <c r="A33" s="208"/>
    </row>
    <row r="34" spans="1:5" x14ac:dyDescent="0.25">
      <c r="A34" s="208"/>
    </row>
    <row r="35" spans="1:5" x14ac:dyDescent="0.25">
      <c r="A35" s="208"/>
    </row>
    <row r="36" spans="1:5" x14ac:dyDescent="0.25">
      <c r="A36" s="208"/>
    </row>
    <row r="37" spans="1:5" x14ac:dyDescent="0.25">
      <c r="A37" s="208"/>
    </row>
    <row r="38" spans="1:5" x14ac:dyDescent="0.25">
      <c r="A38" s="208"/>
    </row>
    <row r="39" spans="1:5" x14ac:dyDescent="0.25">
      <c r="A39" s="208"/>
      <c r="E39" s="213"/>
    </row>
    <row r="40" spans="1:5" x14ac:dyDescent="0.25">
      <c r="A40" s="208"/>
      <c r="E40" s="213"/>
    </row>
    <row r="41" spans="1:5" x14ac:dyDescent="0.25">
      <c r="A41" s="208"/>
      <c r="E41" s="213"/>
    </row>
    <row r="42" spans="1:5" x14ac:dyDescent="0.25">
      <c r="A42" s="208"/>
    </row>
    <row r="43" spans="1:5" x14ac:dyDescent="0.25">
      <c r="A43" s="208"/>
    </row>
    <row r="44" spans="1:5" x14ac:dyDescent="0.25">
      <c r="A44" s="208"/>
    </row>
    <row r="45" spans="1:5" x14ac:dyDescent="0.25">
      <c r="A45" s="208"/>
    </row>
    <row r="46" spans="1:5" x14ac:dyDescent="0.25">
      <c r="A46" s="208"/>
    </row>
    <row r="47" spans="1:5" x14ac:dyDescent="0.25">
      <c r="A47" s="208"/>
    </row>
    <row r="48" spans="1:5" x14ac:dyDescent="0.25">
      <c r="A48" s="208"/>
    </row>
    <row r="49" spans="1:1" x14ac:dyDescent="0.25">
      <c r="A49" s="208"/>
    </row>
    <row r="50" spans="1:1" x14ac:dyDescent="0.25">
      <c r="A50" s="208"/>
    </row>
    <row r="51" spans="1:1" x14ac:dyDescent="0.25">
      <c r="A51" s="208"/>
    </row>
    <row r="52" spans="1:1" x14ac:dyDescent="0.25">
      <c r="A52" s="208"/>
    </row>
    <row r="53" spans="1:1" x14ac:dyDescent="0.25">
      <c r="A53" s="208"/>
    </row>
    <row r="54" spans="1:1" x14ac:dyDescent="0.25">
      <c r="A54" s="208"/>
    </row>
    <row r="55" spans="1:1" x14ac:dyDescent="0.25">
      <c r="A55" s="208"/>
    </row>
    <row r="56" spans="1:1" x14ac:dyDescent="0.25">
      <c r="A56" s="208"/>
    </row>
    <row r="57" spans="1:1" x14ac:dyDescent="0.25">
      <c r="A57" s="208"/>
    </row>
    <row r="58" spans="1:1" x14ac:dyDescent="0.25">
      <c r="A58" s="208"/>
    </row>
    <row r="59" spans="1:1" x14ac:dyDescent="0.25">
      <c r="A59" s="208"/>
    </row>
    <row r="60" spans="1:1" x14ac:dyDescent="0.25">
      <c r="A60" s="208"/>
    </row>
    <row r="61" spans="1:1" x14ac:dyDescent="0.25">
      <c r="A61" s="208"/>
    </row>
    <row r="62" spans="1:1" x14ac:dyDescent="0.25">
      <c r="A62" s="208"/>
    </row>
    <row r="63" spans="1:1" x14ac:dyDescent="0.25">
      <c r="A63" s="208"/>
    </row>
    <row r="64" spans="1:1" x14ac:dyDescent="0.25">
      <c r="A64" s="208"/>
    </row>
    <row r="65" spans="1:1" x14ac:dyDescent="0.25">
      <c r="A65" s="208"/>
    </row>
    <row r="66" spans="1:1" x14ac:dyDescent="0.25">
      <c r="A66" s="208"/>
    </row>
    <row r="67" spans="1:1" x14ac:dyDescent="0.25">
      <c r="A67" s="208"/>
    </row>
    <row r="68" spans="1:1" x14ac:dyDescent="0.25">
      <c r="A68" s="208"/>
    </row>
    <row r="69" spans="1:1" x14ac:dyDescent="0.25">
      <c r="A69" s="208"/>
    </row>
    <row r="70" spans="1:1" x14ac:dyDescent="0.25">
      <c r="A70" s="208"/>
    </row>
    <row r="71" spans="1:1" x14ac:dyDescent="0.25">
      <c r="A71" s="208"/>
    </row>
    <row r="72" spans="1:1" x14ac:dyDescent="0.25">
      <c r="A72" s="208"/>
    </row>
    <row r="73" spans="1:1" x14ac:dyDescent="0.25">
      <c r="A73" s="208"/>
    </row>
    <row r="74" spans="1:1" x14ac:dyDescent="0.25">
      <c r="A74" s="208"/>
    </row>
    <row r="75" spans="1:1" x14ac:dyDescent="0.25">
      <c r="A75" s="208"/>
    </row>
    <row r="76" spans="1:1" x14ac:dyDescent="0.25">
      <c r="A76" s="208"/>
    </row>
    <row r="77" spans="1:1" x14ac:dyDescent="0.25">
      <c r="A77" s="208"/>
    </row>
    <row r="78" spans="1:1" x14ac:dyDescent="0.25">
      <c r="A78" s="208"/>
    </row>
  </sheetData>
  <pageMargins left="0.7" right="0.7" top="0.75" bottom="0.75" header="0.3" footer="0.3"/>
  <pageSetup orientation="portrait" r:id="rId1"/>
  <headerFooter alignWithMargins="0">
    <oddHeader>&amp;R&amp;"Arial,Regular"UG-250717 - NWN WUTC Advice 25-08A
Exhibit A - Supporting Materials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74A38-81DC-4F78-817D-2390B63A6716}">
  <sheetPr>
    <tabColor theme="0" tint="-0.14999847407452621"/>
    <pageSetUpPr fitToPage="1"/>
  </sheetPr>
  <dimension ref="A1:AM90"/>
  <sheetViews>
    <sheetView tabSelected="1" view="pageLayout" topLeftCell="B1" zoomScaleNormal="100" workbookViewId="0">
      <selection activeCell="I13" sqref="I13:I80"/>
    </sheetView>
  </sheetViews>
  <sheetFormatPr defaultColWidth="9.296875" defaultRowHeight="14.5" outlineLevelCol="1" x14ac:dyDescent="0.35"/>
  <cols>
    <col min="1" max="1" width="3.796875" style="224" customWidth="1"/>
    <col min="2" max="2" width="15.69921875" style="224" bestFit="1" customWidth="1"/>
    <col min="3" max="3" width="9.5" style="224" customWidth="1"/>
    <col min="4" max="4" width="15.796875" style="224" customWidth="1"/>
    <col min="5" max="5" width="34.69921875" style="224" customWidth="1"/>
    <col min="6" max="6" width="13.796875" style="234" customWidth="1"/>
    <col min="7" max="11" width="13.796875" style="224" customWidth="1"/>
    <col min="12" max="14" width="13.796875" style="224" hidden="1" customWidth="1"/>
    <col min="15" max="19" width="13.796875" style="224" hidden="1" customWidth="1" outlineLevel="1"/>
    <col min="20" max="23" width="22" style="224" hidden="1" customWidth="1" outlineLevel="1"/>
    <col min="24" max="24" width="0" style="224" hidden="1" customWidth="1" collapsed="1"/>
    <col min="25" max="25" width="29.69921875" style="224" hidden="1" customWidth="1"/>
    <col min="26" max="26" width="0" style="224" hidden="1" customWidth="1"/>
    <col min="27" max="27" width="16.796875" style="224" hidden="1" customWidth="1"/>
    <col min="28" max="28" width="17.296875" style="224" hidden="1" customWidth="1"/>
    <col min="29" max="33" width="17" style="224" hidden="1" customWidth="1"/>
    <col min="34" max="34" width="0" style="224" hidden="1" customWidth="1"/>
    <col min="35" max="35" width="14" style="224" hidden="1" customWidth="1"/>
    <col min="36" max="37" width="13.796875" style="224" hidden="1" customWidth="1"/>
    <col min="38" max="38" width="12.296875" style="224" hidden="1" customWidth="1"/>
    <col min="39" max="39" width="9.296875" style="316"/>
    <col min="40" max="16384" width="9.296875" style="224"/>
  </cols>
  <sheetData>
    <row r="1" spans="1:38" x14ac:dyDescent="0.35">
      <c r="A1" s="377" t="str">
        <f>+'[9]Washington volumes'!A1</f>
        <v>NW Natural</v>
      </c>
      <c r="F1" s="224"/>
    </row>
    <row r="2" spans="1:38" x14ac:dyDescent="0.35">
      <c r="A2" s="377" t="str">
        <f>+'[9]Washington volumes'!A2</f>
        <v>Rates &amp; Regulatory Affairs</v>
      </c>
      <c r="F2" s="224"/>
    </row>
    <row r="3" spans="1:38" x14ac:dyDescent="0.35">
      <c r="A3" s="377" t="s">
        <v>501</v>
      </c>
      <c r="F3" s="224"/>
    </row>
    <row r="4" spans="1:38" x14ac:dyDescent="0.35">
      <c r="A4" s="377" t="s">
        <v>0</v>
      </c>
      <c r="F4" s="224"/>
    </row>
    <row r="5" spans="1:38" x14ac:dyDescent="0.35">
      <c r="A5" s="377"/>
      <c r="B5" s="377"/>
      <c r="C5" s="377"/>
      <c r="D5" s="377"/>
      <c r="F5" s="323"/>
      <c r="K5" s="323"/>
    </row>
    <row r="6" spans="1:38" ht="15" thickBot="1" x14ac:dyDescent="0.4">
      <c r="U6" s="378" t="s">
        <v>1</v>
      </c>
    </row>
    <row r="7" spans="1:38" ht="15" customHeight="1" thickBot="1" x14ac:dyDescent="0.4">
      <c r="A7" s="234">
        <v>1</v>
      </c>
      <c r="D7" s="234" t="s">
        <v>2</v>
      </c>
      <c r="E7" s="377"/>
      <c r="F7" s="376" t="str">
        <f>+[9]Inputs!C36</f>
        <v>WACOG Deferral</v>
      </c>
      <c r="G7" s="375"/>
      <c r="H7" s="374"/>
      <c r="I7" s="376" t="str">
        <f>+[9]Inputs!C38</f>
        <v>Demand Deferral - FIRM</v>
      </c>
      <c r="J7" s="375"/>
      <c r="K7" s="374"/>
      <c r="L7" s="376" t="str">
        <f>+[9]Inputs!C40</f>
        <v>Demand Deferral - INTERRUPTIBLE</v>
      </c>
      <c r="M7" s="375"/>
      <c r="N7" s="374"/>
      <c r="O7" s="643" t="str">
        <f>[9]Inputs!C48</f>
        <v xml:space="preserve">Residential Rate Mitigation </v>
      </c>
      <c r="P7" s="644"/>
      <c r="Q7" s="645"/>
      <c r="R7" s="643" t="s">
        <v>3</v>
      </c>
      <c r="S7" s="644"/>
      <c r="T7" s="645"/>
      <c r="U7" s="643" t="s">
        <v>4</v>
      </c>
      <c r="V7" s="644"/>
      <c r="W7" s="645"/>
      <c r="Y7" s="1" t="s">
        <v>5</v>
      </c>
    </row>
    <row r="8" spans="1:38" ht="15" customHeight="1" thickBot="1" x14ac:dyDescent="0.4">
      <c r="A8" s="234">
        <f t="shared" ref="A8:A39" si="0">+A7+1</f>
        <v>2</v>
      </c>
      <c r="D8" s="234" t="s">
        <v>6</v>
      </c>
      <c r="E8" s="371" t="s">
        <v>7</v>
      </c>
      <c r="F8" s="365">
        <f>+[9]Inputs!B36</f>
        <v>-12589508</v>
      </c>
      <c r="G8" s="241" t="s">
        <v>8</v>
      </c>
      <c r="H8" s="369"/>
      <c r="I8" s="365">
        <f>+[9]Inputs!B38</f>
        <v>-2349123</v>
      </c>
      <c r="J8" s="241" t="s">
        <v>8</v>
      </c>
      <c r="K8" s="369"/>
      <c r="L8" s="365">
        <f>[9]Inputs!B40</f>
        <v>-34550</v>
      </c>
      <c r="M8" s="241" t="s">
        <v>8</v>
      </c>
      <c r="N8" s="369"/>
      <c r="O8" s="373">
        <f>[9]Inputs!B48</f>
        <v>18554</v>
      </c>
      <c r="P8" s="241" t="s">
        <v>8</v>
      </c>
      <c r="Q8" s="369"/>
      <c r="R8" s="365">
        <f>[9]Inputs!B54</f>
        <v>7272</v>
      </c>
      <c r="S8" s="241" t="s">
        <v>8</v>
      </c>
      <c r="T8" s="369"/>
      <c r="U8" s="365">
        <v>33907088.383769512</v>
      </c>
      <c r="V8" s="241" t="s">
        <v>8</v>
      </c>
      <c r="W8" s="369"/>
      <c r="Y8" s="372">
        <f>F8+I8+L8+O8+R8+U8</f>
        <v>18959733.383769512</v>
      </c>
    </row>
    <row r="9" spans="1:38" ht="15" customHeight="1" thickBot="1" x14ac:dyDescent="0.4">
      <c r="A9" s="234">
        <f t="shared" si="0"/>
        <v>3</v>
      </c>
      <c r="D9" s="234" t="s">
        <v>9</v>
      </c>
      <c r="E9" s="371" t="s">
        <v>10</v>
      </c>
      <c r="F9" s="370">
        <f>IF([9]Inputs!$G36="yes",[9]Inputs!$B$30,"N/A")</f>
        <v>4.3568999999999997E-2</v>
      </c>
      <c r="G9" s="241" t="s">
        <v>11</v>
      </c>
      <c r="H9" s="369"/>
      <c r="I9" s="370">
        <f>IF([9]Inputs!$G38="yes",[9]Inputs!$B$30,"N/A")</f>
        <v>4.3568999999999997E-2</v>
      </c>
      <c r="J9" s="241" t="s">
        <v>11</v>
      </c>
      <c r="K9" s="369"/>
      <c r="L9" s="370">
        <f>IF([9]Inputs!$G40="yes",[9]Inputs!$B$30,"N/A")</f>
        <v>4.3568999999999997E-2</v>
      </c>
      <c r="M9" s="241" t="s">
        <v>11</v>
      </c>
      <c r="N9" s="369"/>
      <c r="O9" s="370">
        <f>IF([9]Inputs!$G48="yes",[9]Inputs!$B$30,"N/A")</f>
        <v>4.3568999999999997E-2</v>
      </c>
      <c r="P9" s="241" t="s">
        <v>11</v>
      </c>
      <c r="Q9" s="369"/>
      <c r="R9" s="370">
        <f>IF([9]Inputs!$G54="yes",[9]Inputs!$B$30,"N/A")</f>
        <v>4.3568999999999997E-2</v>
      </c>
      <c r="S9" s="241" t="s">
        <v>11</v>
      </c>
      <c r="T9" s="369"/>
      <c r="U9" s="370"/>
      <c r="V9" s="241" t="s">
        <v>11</v>
      </c>
      <c r="W9" s="369"/>
      <c r="Y9" s="368">
        <f>COUNTIF(F9:U9,revsens)</f>
        <v>5</v>
      </c>
    </row>
    <row r="10" spans="1:38" s="265" customFormat="1" ht="15" customHeight="1" thickBot="1" x14ac:dyDescent="0.4">
      <c r="A10" s="234">
        <f t="shared" si="0"/>
        <v>4</v>
      </c>
      <c r="B10" s="224"/>
      <c r="C10" s="224"/>
      <c r="D10" s="367" t="s">
        <v>12</v>
      </c>
      <c r="E10" s="366" t="s">
        <v>13</v>
      </c>
      <c r="F10" s="365">
        <f>ROUND(+F8/(1-F9),0)</f>
        <v>-13163007</v>
      </c>
      <c r="G10" s="364" t="str">
        <f>[9]Inputs!F36</f>
        <v>All sales</v>
      </c>
      <c r="H10" s="363"/>
      <c r="I10" s="365">
        <f>ROUND(+I8/(1-I9),0)</f>
        <v>-2456134</v>
      </c>
      <c r="J10" s="364" t="str">
        <f>[9]Inputs!F38</f>
        <v>All firm sales</v>
      </c>
      <c r="K10" s="363"/>
      <c r="L10" s="365">
        <f>ROUND(+L8/(1-L9),0)</f>
        <v>-36124</v>
      </c>
      <c r="M10" s="364" t="str">
        <f>[9]Inputs!F40</f>
        <v>All interruptible sales</v>
      </c>
      <c r="N10" s="363"/>
      <c r="O10" s="362">
        <f>IF(O9="N/A",O8,ROUND(+O8/(1-O9),0))</f>
        <v>19399</v>
      </c>
      <c r="P10" s="361" t="str">
        <f>[9]Inputs!F48</f>
        <v xml:space="preserve">Residential Only </v>
      </c>
      <c r="Q10" s="360"/>
      <c r="R10" s="362">
        <f>IF(R9="N/A",R8,ROUND(+R8/(1-R9),0))</f>
        <v>7603</v>
      </c>
      <c r="S10" s="361" t="str">
        <f>[9]Inputs!F54</f>
        <v>All Industrial and Transport Customers</v>
      </c>
      <c r="T10" s="360"/>
      <c r="U10" s="362">
        <f>IF(U9="N/A",U8,ROUND(+U8/(1-U9),0))</f>
        <v>33907088</v>
      </c>
      <c r="V10" s="361" t="str">
        <f>[9]Inputs!F64</f>
        <v>All Customers</v>
      </c>
      <c r="W10" s="360"/>
      <c r="Y10" s="359">
        <f>SUM(F10:U10)</f>
        <v>18278825</v>
      </c>
      <c r="AB10" s="265" t="s">
        <v>14</v>
      </c>
      <c r="AC10" s="265" t="s">
        <v>15</v>
      </c>
      <c r="AD10" s="265" t="s">
        <v>16</v>
      </c>
      <c r="AE10" s="265" t="s">
        <v>17</v>
      </c>
      <c r="AI10" s="358"/>
      <c r="AJ10" s="357"/>
      <c r="AK10" s="357"/>
    </row>
    <row r="11" spans="1:38" s="265" customFormat="1" x14ac:dyDescent="0.35">
      <c r="A11" s="234">
        <f t="shared" si="0"/>
        <v>5</v>
      </c>
      <c r="B11" s="224"/>
      <c r="C11" s="224"/>
      <c r="E11" s="356"/>
      <c r="F11" s="355" t="s">
        <v>18</v>
      </c>
      <c r="G11" s="269" t="s">
        <v>19</v>
      </c>
      <c r="H11" s="354" t="s">
        <v>20</v>
      </c>
      <c r="I11" s="355" t="s">
        <v>18</v>
      </c>
      <c r="J11" s="269" t="s">
        <v>19</v>
      </c>
      <c r="K11" s="354" t="s">
        <v>20</v>
      </c>
      <c r="L11" s="355" t="s">
        <v>18</v>
      </c>
      <c r="M11" s="269" t="s">
        <v>19</v>
      </c>
      <c r="N11" s="354" t="s">
        <v>20</v>
      </c>
      <c r="O11" s="355" t="s">
        <v>18</v>
      </c>
      <c r="P11" s="269" t="s">
        <v>19</v>
      </c>
      <c r="Q11" s="354" t="s">
        <v>20</v>
      </c>
      <c r="R11" s="355" t="s">
        <v>18</v>
      </c>
      <c r="S11" s="269" t="s">
        <v>19</v>
      </c>
      <c r="T11" s="354" t="s">
        <v>20</v>
      </c>
      <c r="U11" s="355" t="s">
        <v>18</v>
      </c>
      <c r="V11" s="269" t="s">
        <v>19</v>
      </c>
      <c r="W11" s="354" t="s">
        <v>20</v>
      </c>
      <c r="AA11" s="265" t="s">
        <v>21</v>
      </c>
      <c r="AB11" s="265" t="s">
        <v>22</v>
      </c>
      <c r="AC11" s="265" t="s">
        <v>23</v>
      </c>
      <c r="AD11" s="265" t="s">
        <v>24</v>
      </c>
      <c r="AE11" s="265" t="s">
        <v>25</v>
      </c>
      <c r="AF11" s="265" t="s">
        <v>26</v>
      </c>
      <c r="AG11" s="265" t="s">
        <v>27</v>
      </c>
      <c r="AI11" s="646" t="s">
        <v>28</v>
      </c>
      <c r="AJ11" s="646"/>
      <c r="AK11" s="646"/>
      <c r="AL11" s="646"/>
    </row>
    <row r="12" spans="1:38" s="265" customFormat="1" x14ac:dyDescent="0.35">
      <c r="A12" s="234">
        <f t="shared" si="0"/>
        <v>6</v>
      </c>
      <c r="B12" s="353" t="s">
        <v>29</v>
      </c>
      <c r="C12" s="353" t="s">
        <v>30</v>
      </c>
      <c r="D12" s="271" t="s">
        <v>31</v>
      </c>
      <c r="E12" s="352"/>
      <c r="F12" s="351" t="s">
        <v>32</v>
      </c>
      <c r="G12" s="271" t="s">
        <v>33</v>
      </c>
      <c r="H12" s="350" t="s">
        <v>34</v>
      </c>
      <c r="I12" s="351" t="s">
        <v>35</v>
      </c>
      <c r="J12" s="271" t="s">
        <v>36</v>
      </c>
      <c r="K12" s="350" t="s">
        <v>37</v>
      </c>
      <c r="L12" s="351" t="s">
        <v>38</v>
      </c>
      <c r="M12" s="271" t="s">
        <v>39</v>
      </c>
      <c r="N12" s="350" t="s">
        <v>40</v>
      </c>
      <c r="O12" s="351" t="s">
        <v>41</v>
      </c>
      <c r="P12" s="271" t="s">
        <v>42</v>
      </c>
      <c r="Q12" s="350" t="s">
        <v>43</v>
      </c>
      <c r="R12" s="351" t="s">
        <v>44</v>
      </c>
      <c r="S12" s="271" t="s">
        <v>45</v>
      </c>
      <c r="T12" s="350" t="s">
        <v>46</v>
      </c>
      <c r="U12" s="351" t="s">
        <v>47</v>
      </c>
      <c r="V12" s="271" t="s">
        <v>48</v>
      </c>
      <c r="W12" s="350" t="s">
        <v>49</v>
      </c>
      <c r="AA12" s="265" t="s">
        <v>50</v>
      </c>
      <c r="AB12" s="265" t="s">
        <v>50</v>
      </c>
      <c r="AC12" s="265" t="s">
        <v>50</v>
      </c>
      <c r="AD12" s="265" t="s">
        <v>50</v>
      </c>
      <c r="AE12" s="265" t="s">
        <v>50</v>
      </c>
      <c r="AF12" s="265" t="s">
        <v>50</v>
      </c>
      <c r="AG12" s="265" t="s">
        <v>50</v>
      </c>
      <c r="AI12" s="269" t="s">
        <v>51</v>
      </c>
      <c r="AJ12" s="269" t="s">
        <v>52</v>
      </c>
      <c r="AK12" s="269" t="s">
        <v>53</v>
      </c>
      <c r="AL12" s="269" t="s">
        <v>54</v>
      </c>
    </row>
    <row r="13" spans="1:38" x14ac:dyDescent="0.35">
      <c r="A13" s="234">
        <f t="shared" si="0"/>
        <v>7</v>
      </c>
      <c r="B13" s="337" t="s">
        <v>55</v>
      </c>
      <c r="C13" s="337"/>
      <c r="D13" s="333">
        <f>'[9]Washington volumes'!J13</f>
        <v>179824.1</v>
      </c>
      <c r="E13" s="336"/>
      <c r="F13" s="334">
        <v>1</v>
      </c>
      <c r="G13" s="333">
        <f t="shared" ref="G13:G44" si="1">+$D13*F13</f>
        <v>179824.1</v>
      </c>
      <c r="H13" s="335">
        <f t="shared" ref="H13:H44" si="2">+F13*$H$83</f>
        <v>-0.14299000000000001</v>
      </c>
      <c r="I13" s="334">
        <v>1</v>
      </c>
      <c r="J13" s="333">
        <f t="shared" ref="J13:J44" si="3">+$D13*I13</f>
        <v>179824.1</v>
      </c>
      <c r="K13" s="335">
        <f t="shared" ref="K13:K44" si="4">+I13*$K$83</f>
        <v>-2.7019999999999999E-2</v>
      </c>
      <c r="L13" s="334">
        <v>0</v>
      </c>
      <c r="M13" s="333">
        <f t="shared" ref="M13:M44" si="5">+$D13*L13</f>
        <v>0</v>
      </c>
      <c r="N13" s="335">
        <f t="shared" ref="N13:N44" si="6">+L13*$N$83</f>
        <v>0</v>
      </c>
      <c r="O13" s="334">
        <v>0</v>
      </c>
      <c r="P13" s="333">
        <f t="shared" ref="P13:P44" si="7">+$D13*O13</f>
        <v>0</v>
      </c>
      <c r="Q13" s="335">
        <f t="shared" ref="Q13:Q44" si="8">+O13*$Q$83</f>
        <v>0</v>
      </c>
      <c r="R13" s="334">
        <v>0</v>
      </c>
      <c r="S13" s="333">
        <f t="shared" ref="S13:S44" si="9">+$D13*R13</f>
        <v>0</v>
      </c>
      <c r="T13" s="335">
        <f t="shared" ref="T13:T44" si="10">+R13*$T$83</f>
        <v>0</v>
      </c>
      <c r="U13" s="334">
        <v>1</v>
      </c>
      <c r="V13" s="333">
        <v>291644</v>
      </c>
      <c r="W13" s="332">
        <v>0.24073</v>
      </c>
      <c r="AA13" s="322">
        <f t="shared" ref="AA13:AA44" si="11">H13*D13</f>
        <v>-25713.048059000001</v>
      </c>
      <c r="AB13" s="322">
        <f t="shared" ref="AB13:AB44" si="12">K13*D13</f>
        <v>-4858.8471819999995</v>
      </c>
      <c r="AC13" s="322">
        <f t="shared" ref="AC13:AC44" si="13">N13*D13</f>
        <v>0</v>
      </c>
      <c r="AD13" s="322">
        <f t="shared" ref="AD13:AD44" si="14">Q13*D13</f>
        <v>0</v>
      </c>
      <c r="AE13" s="322">
        <f t="shared" ref="AE13:AE44" si="15">T13*D13</f>
        <v>0</v>
      </c>
      <c r="AF13" s="322">
        <f t="shared" ref="AF13:AF44" si="16">W13*D13</f>
        <v>43289.055593000005</v>
      </c>
      <c r="AG13" s="322">
        <f t="shared" ref="AG13:AG44" si="17">SUM(AA13:AE13)</f>
        <v>-30571.895240999998</v>
      </c>
      <c r="AI13" s="325">
        <f>'[9]Allocation = % of margin'!P13+'[9]Allocation = % of margin'!S13+'[9]Allocation = % of margin'!V13+'[9]Allocation = % of margin'!Y13+'[9]Allocation = % of margin'!AB13+'[9]Allocation = % of margin'!AE13+'[9]Allocation = % of margin'!AH13+'[9]Allocation = % of margin'!AK13+'[9]Allocation = % of margin'!AN13+' Increments  equal ¢ per therm'!H13+' Increments  equal ¢ per therm'!K13+' Increments  equal ¢ per therm'!N13+' Increments  equal ¢ per therm'!Q13+' Increments  equal ¢ per therm'!T13+' Increments  equal ¢ per therm'!W13+'[9]Allocation = % of revenue'!M13</f>
        <v>0.29267999999999988</v>
      </c>
      <c r="AJ13" s="224">
        <f>'Summary of Temporaries '!W13</f>
        <v>0.29243999999999998</v>
      </c>
      <c r="AK13" s="244">
        <f>[9]Permanents!F13</f>
        <v>2.4000000000000001E-4</v>
      </c>
      <c r="AL13" s="325">
        <f t="shared" ref="AL13:AL44" si="18">AI13-AJ13-AK13</f>
        <v>-9.3051651453568418E-17</v>
      </c>
    </row>
    <row r="14" spans="1:38" x14ac:dyDescent="0.35">
      <c r="A14" s="234">
        <f t="shared" si="0"/>
        <v>8</v>
      </c>
      <c r="B14" s="337" t="s">
        <v>56</v>
      </c>
      <c r="C14" s="337"/>
      <c r="D14" s="333">
        <f>'[9]Washington volumes'!J14</f>
        <v>18807.400000000001</v>
      </c>
      <c r="E14" s="336"/>
      <c r="F14" s="334">
        <v>1</v>
      </c>
      <c r="G14" s="333">
        <f t="shared" si="1"/>
        <v>18807.400000000001</v>
      </c>
      <c r="H14" s="335">
        <f t="shared" si="2"/>
        <v>-0.14299000000000001</v>
      </c>
      <c r="I14" s="334">
        <v>1</v>
      </c>
      <c r="J14" s="333">
        <f t="shared" si="3"/>
        <v>18807.400000000001</v>
      </c>
      <c r="K14" s="335">
        <f t="shared" si="4"/>
        <v>-2.7019999999999999E-2</v>
      </c>
      <c r="L14" s="334">
        <v>0</v>
      </c>
      <c r="M14" s="333">
        <f t="shared" si="5"/>
        <v>0</v>
      </c>
      <c r="N14" s="335">
        <f t="shared" si="6"/>
        <v>0</v>
      </c>
      <c r="O14" s="334">
        <v>0</v>
      </c>
      <c r="P14" s="333">
        <f t="shared" si="7"/>
        <v>0</v>
      </c>
      <c r="Q14" s="335">
        <f t="shared" si="8"/>
        <v>0</v>
      </c>
      <c r="R14" s="334">
        <v>0</v>
      </c>
      <c r="S14" s="333">
        <f t="shared" si="9"/>
        <v>0</v>
      </c>
      <c r="T14" s="335">
        <f t="shared" si="10"/>
        <v>0</v>
      </c>
      <c r="U14" s="334">
        <v>1</v>
      </c>
      <c r="V14" s="333">
        <v>14841.6</v>
      </c>
      <c r="W14" s="332">
        <f t="shared" ref="W14:W45" si="19">W13</f>
        <v>0.24073</v>
      </c>
      <c r="AA14" s="322">
        <f t="shared" si="11"/>
        <v>-2689.2701260000003</v>
      </c>
      <c r="AB14" s="322">
        <f t="shared" si="12"/>
        <v>-508.17594800000001</v>
      </c>
      <c r="AC14" s="322">
        <f t="shared" si="13"/>
        <v>0</v>
      </c>
      <c r="AD14" s="322">
        <f t="shared" si="14"/>
        <v>0</v>
      </c>
      <c r="AE14" s="322">
        <f t="shared" si="15"/>
        <v>0</v>
      </c>
      <c r="AF14" s="322">
        <f t="shared" si="16"/>
        <v>4527.5054020000007</v>
      </c>
      <c r="AG14" s="322">
        <f t="shared" si="17"/>
        <v>-3197.4460740000004</v>
      </c>
      <c r="AI14" s="325">
        <f>'[9]Allocation = % of margin'!P14+'[9]Allocation = % of margin'!S14+'[9]Allocation = % of margin'!V14+'[9]Allocation = % of margin'!Y14+'[9]Allocation = % of margin'!AB14+'[9]Allocation = % of margin'!AE14+'[9]Allocation = % of margin'!AH14+'[9]Allocation = % of margin'!AK14+'[9]Allocation = % of margin'!AN14+' Increments  equal ¢ per therm'!H14+' Increments  equal ¢ per therm'!K14+' Increments  equal ¢ per therm'!N14+' Increments  equal ¢ per therm'!Q14+' Increments  equal ¢ per therm'!T14+' Increments  equal ¢ per therm'!W14+'[9]Allocation = % of revenue'!M14</f>
        <v>0.22706999999999999</v>
      </c>
      <c r="AJ14" s="224">
        <f>'Summary of Temporaries '!W14</f>
        <v>0.22691</v>
      </c>
      <c r="AK14" s="244">
        <f>[9]Permanents!F14</f>
        <v>1.6000000000000001E-4</v>
      </c>
      <c r="AL14" s="325">
        <f t="shared" si="18"/>
        <v>-6.5323180892251642E-18</v>
      </c>
    </row>
    <row r="15" spans="1:38" x14ac:dyDescent="0.35">
      <c r="A15" s="234">
        <f t="shared" si="0"/>
        <v>9</v>
      </c>
      <c r="B15" s="337" t="s">
        <v>57</v>
      </c>
      <c r="C15" s="337"/>
      <c r="D15" s="333">
        <f>'[9]Washington volumes'!J15</f>
        <v>59991191.600000001</v>
      </c>
      <c r="E15" s="336"/>
      <c r="F15" s="334">
        <v>1</v>
      </c>
      <c r="G15" s="333">
        <f t="shared" si="1"/>
        <v>59991191.600000001</v>
      </c>
      <c r="H15" s="335">
        <f t="shared" si="2"/>
        <v>-0.14299000000000001</v>
      </c>
      <c r="I15" s="334">
        <v>1</v>
      </c>
      <c r="J15" s="333">
        <f t="shared" si="3"/>
        <v>59991191.600000001</v>
      </c>
      <c r="K15" s="335">
        <f t="shared" si="4"/>
        <v>-2.7019999999999999E-2</v>
      </c>
      <c r="L15" s="334">
        <v>0</v>
      </c>
      <c r="M15" s="333">
        <f t="shared" si="5"/>
        <v>0</v>
      </c>
      <c r="N15" s="335">
        <f t="shared" si="6"/>
        <v>0</v>
      </c>
      <c r="O15" s="334">
        <v>1</v>
      </c>
      <c r="P15" s="333">
        <f t="shared" si="7"/>
        <v>59991191.600000001</v>
      </c>
      <c r="Q15" s="335">
        <f t="shared" si="8"/>
        <v>3.2000000000000003E-4</v>
      </c>
      <c r="R15" s="334">
        <v>0</v>
      </c>
      <c r="S15" s="333">
        <f t="shared" si="9"/>
        <v>0</v>
      </c>
      <c r="T15" s="335">
        <f t="shared" si="10"/>
        <v>0</v>
      </c>
      <c r="U15" s="334">
        <v>1</v>
      </c>
      <c r="V15" s="333">
        <v>53751573.899999999</v>
      </c>
      <c r="W15" s="332">
        <f t="shared" si="19"/>
        <v>0.24073</v>
      </c>
      <c r="AA15" s="322">
        <f t="shared" si="11"/>
        <v>-8578140.4868839998</v>
      </c>
      <c r="AB15" s="322">
        <f t="shared" si="12"/>
        <v>-1620961.997032</v>
      </c>
      <c r="AC15" s="322">
        <f t="shared" si="13"/>
        <v>0</v>
      </c>
      <c r="AD15" s="322">
        <f t="shared" si="14"/>
        <v>19197.181312000001</v>
      </c>
      <c r="AE15" s="322">
        <f t="shared" si="15"/>
        <v>0</v>
      </c>
      <c r="AF15" s="322">
        <f t="shared" si="16"/>
        <v>14441679.553867999</v>
      </c>
      <c r="AG15" s="322">
        <f t="shared" si="17"/>
        <v>-10179905.302603999</v>
      </c>
      <c r="AI15" s="325">
        <f>'[9]Allocation = % of margin'!P15+'[9]Allocation = % of margin'!S15+'[9]Allocation = % of margin'!V15+'[9]Allocation = % of margin'!Y15+'[9]Allocation = % of margin'!AB15+'[9]Allocation = % of margin'!AE15+'[9]Allocation = % of margin'!AH15+'[9]Allocation = % of margin'!AK15+'[9]Allocation = % of margin'!AN15+' Increments  equal ¢ per therm'!H15+' Increments  equal ¢ per therm'!K15+' Increments  equal ¢ per therm'!N15+' Increments  equal ¢ per therm'!Q15+' Increments  equal ¢ per therm'!T15+' Increments  equal ¢ per therm'!W15+'[9]Allocation = % of revenue'!M15</f>
        <v>0.17742999999999995</v>
      </c>
      <c r="AJ15" s="224">
        <f>'Summary of Temporaries '!W15</f>
        <v>0.17731999999999998</v>
      </c>
      <c r="AK15" s="244">
        <f>[9]Permanents!F15</f>
        <v>1.1E-4</v>
      </c>
      <c r="AL15" s="325">
        <f t="shared" si="18"/>
        <v>-2.8772015152334074E-17</v>
      </c>
    </row>
    <row r="16" spans="1:38" x14ac:dyDescent="0.35">
      <c r="A16" s="234">
        <f t="shared" si="0"/>
        <v>10</v>
      </c>
      <c r="B16" s="337" t="s">
        <v>58</v>
      </c>
      <c r="C16" s="337"/>
      <c r="D16" s="333">
        <f>'[9]Washington volumes'!J16</f>
        <v>21359578.800000001</v>
      </c>
      <c r="E16" s="336"/>
      <c r="F16" s="334">
        <v>1</v>
      </c>
      <c r="G16" s="333">
        <f t="shared" si="1"/>
        <v>21359578.800000001</v>
      </c>
      <c r="H16" s="335">
        <f t="shared" si="2"/>
        <v>-0.14299000000000001</v>
      </c>
      <c r="I16" s="334">
        <v>1</v>
      </c>
      <c r="J16" s="333">
        <f t="shared" si="3"/>
        <v>21359578.800000001</v>
      </c>
      <c r="K16" s="335">
        <f t="shared" si="4"/>
        <v>-2.7019999999999999E-2</v>
      </c>
      <c r="L16" s="334">
        <v>0</v>
      </c>
      <c r="M16" s="333">
        <f t="shared" si="5"/>
        <v>0</v>
      </c>
      <c r="N16" s="335">
        <f t="shared" si="6"/>
        <v>0</v>
      </c>
      <c r="O16" s="334">
        <v>0</v>
      </c>
      <c r="P16" s="333">
        <f t="shared" si="7"/>
        <v>0</v>
      </c>
      <c r="Q16" s="335">
        <f t="shared" si="8"/>
        <v>0</v>
      </c>
      <c r="R16" s="334">
        <v>0</v>
      </c>
      <c r="S16" s="333">
        <f t="shared" si="9"/>
        <v>0</v>
      </c>
      <c r="T16" s="335">
        <f t="shared" si="10"/>
        <v>0</v>
      </c>
      <c r="U16" s="334">
        <v>1</v>
      </c>
      <c r="V16" s="333">
        <v>19577451.700000003</v>
      </c>
      <c r="W16" s="332">
        <f t="shared" si="19"/>
        <v>0.24073</v>
      </c>
      <c r="AA16" s="322">
        <f t="shared" si="11"/>
        <v>-3054206.1726120003</v>
      </c>
      <c r="AB16" s="322">
        <f t="shared" si="12"/>
        <v>-577135.81917599996</v>
      </c>
      <c r="AC16" s="322">
        <f t="shared" si="13"/>
        <v>0</v>
      </c>
      <c r="AD16" s="322">
        <f t="shared" si="14"/>
        <v>0</v>
      </c>
      <c r="AE16" s="322">
        <f t="shared" si="15"/>
        <v>0</v>
      </c>
      <c r="AF16" s="322">
        <f t="shared" si="16"/>
        <v>5141891.4045240004</v>
      </c>
      <c r="AG16" s="322">
        <f t="shared" si="17"/>
        <v>-3631341.9917880003</v>
      </c>
      <c r="AI16" s="325">
        <f>'[9]Allocation = % of margin'!P16+'[9]Allocation = % of margin'!S16+'[9]Allocation = % of margin'!V16+'[9]Allocation = % of margin'!Y16+'[9]Allocation = % of margin'!AB16+'[9]Allocation = % of margin'!AE16+'[9]Allocation = % of margin'!AH16+'[9]Allocation = % of margin'!AK16+'[9]Allocation = % of margin'!AN16+' Increments  equal ¢ per therm'!H16+' Increments  equal ¢ per therm'!K16+' Increments  equal ¢ per therm'!N16+' Increments  equal ¢ per therm'!Q16+' Increments  equal ¢ per therm'!T16+' Increments  equal ¢ per therm'!W16+'[9]Allocation = % of revenue'!M16</f>
        <v>0.16466</v>
      </c>
      <c r="AJ16" s="224">
        <f>'Summary of Temporaries '!W16</f>
        <v>0.16456000000000004</v>
      </c>
      <c r="AK16" s="244">
        <f>[9]Permanents!F16</f>
        <v>1E-4</v>
      </c>
      <c r="AL16" s="325">
        <f t="shared" si="18"/>
        <v>-3.8773780193512852E-17</v>
      </c>
    </row>
    <row r="17" spans="1:38" x14ac:dyDescent="0.35">
      <c r="A17" s="234">
        <f t="shared" si="0"/>
        <v>11</v>
      </c>
      <c r="B17" s="337" t="s">
        <v>59</v>
      </c>
      <c r="C17" s="337"/>
      <c r="D17" s="333">
        <f>'[9]Washington volumes'!J17</f>
        <v>192102.2</v>
      </c>
      <c r="E17" s="336"/>
      <c r="F17" s="334">
        <v>1</v>
      </c>
      <c r="G17" s="333">
        <f t="shared" si="1"/>
        <v>192102.2</v>
      </c>
      <c r="H17" s="335">
        <f t="shared" si="2"/>
        <v>-0.14299000000000001</v>
      </c>
      <c r="I17" s="334">
        <v>1</v>
      </c>
      <c r="J17" s="333">
        <f t="shared" si="3"/>
        <v>192102.2</v>
      </c>
      <c r="K17" s="335">
        <f t="shared" si="4"/>
        <v>-2.7019999999999999E-2</v>
      </c>
      <c r="L17" s="334">
        <v>0</v>
      </c>
      <c r="M17" s="333">
        <f t="shared" si="5"/>
        <v>0</v>
      </c>
      <c r="N17" s="335">
        <f t="shared" si="6"/>
        <v>0</v>
      </c>
      <c r="O17" s="334">
        <v>0</v>
      </c>
      <c r="P17" s="333">
        <f t="shared" si="7"/>
        <v>0</v>
      </c>
      <c r="Q17" s="335">
        <f t="shared" si="8"/>
        <v>0</v>
      </c>
      <c r="R17" s="334">
        <v>1</v>
      </c>
      <c r="S17" s="333">
        <f t="shared" si="9"/>
        <v>192102.2</v>
      </c>
      <c r="T17" s="335">
        <f t="shared" si="10"/>
        <v>3.5E-4</v>
      </c>
      <c r="U17" s="334">
        <v>1</v>
      </c>
      <c r="V17" s="333">
        <v>194783.29999999996</v>
      </c>
      <c r="W17" s="332">
        <f t="shared" si="19"/>
        <v>0.24073</v>
      </c>
      <c r="AA17" s="322">
        <f t="shared" si="11"/>
        <v>-27468.693578000002</v>
      </c>
      <c r="AB17" s="322">
        <f t="shared" si="12"/>
        <v>-5190.6014439999999</v>
      </c>
      <c r="AC17" s="322">
        <f t="shared" si="13"/>
        <v>0</v>
      </c>
      <c r="AD17" s="322">
        <f t="shared" si="14"/>
        <v>0</v>
      </c>
      <c r="AE17" s="322">
        <f t="shared" si="15"/>
        <v>67.235770000000002</v>
      </c>
      <c r="AF17" s="322">
        <f t="shared" si="16"/>
        <v>46244.762606000004</v>
      </c>
      <c r="AG17" s="322">
        <f t="shared" si="17"/>
        <v>-32592.059252000003</v>
      </c>
      <c r="AI17" s="325">
        <f>'[9]Allocation = % of margin'!P17+'[9]Allocation = % of margin'!S17+'[9]Allocation = % of margin'!V17+'[9]Allocation = % of margin'!Y17+'[9]Allocation = % of margin'!AB17+'[9]Allocation = % of margin'!AE17+'[9]Allocation = % of margin'!AH17+'[9]Allocation = % of margin'!AK17+'[9]Allocation = % of margin'!AN17+' Increments  equal ¢ per therm'!H17+' Increments  equal ¢ per therm'!K17+' Increments  equal ¢ per therm'!N17+' Increments  equal ¢ per therm'!Q17+' Increments  equal ¢ per therm'!T17+' Increments  equal ¢ per therm'!W17+'[9]Allocation = % of revenue'!M17</f>
        <v>0.10460999999999999</v>
      </c>
      <c r="AJ17" s="224">
        <f>'Summary of Temporaries '!W17</f>
        <v>0.10452</v>
      </c>
      <c r="AK17" s="244">
        <f>[9]Permanents!F17</f>
        <v>9.0000000000000006E-5</v>
      </c>
      <c r="AL17" s="325">
        <f t="shared" si="18"/>
        <v>-7.1421818112482605E-18</v>
      </c>
    </row>
    <row r="18" spans="1:38" x14ac:dyDescent="0.35">
      <c r="A18" s="234">
        <f t="shared" si="0"/>
        <v>12</v>
      </c>
      <c r="B18" s="338">
        <v>27</v>
      </c>
      <c r="C18" s="338"/>
      <c r="D18" s="333">
        <f>'[9]Washington volumes'!J18</f>
        <v>34823.1</v>
      </c>
      <c r="E18" s="336"/>
      <c r="F18" s="334">
        <v>1</v>
      </c>
      <c r="G18" s="333">
        <f t="shared" si="1"/>
        <v>34823.1</v>
      </c>
      <c r="H18" s="335">
        <f t="shared" si="2"/>
        <v>-0.14299000000000001</v>
      </c>
      <c r="I18" s="334">
        <v>1</v>
      </c>
      <c r="J18" s="333">
        <f t="shared" si="3"/>
        <v>34823.1</v>
      </c>
      <c r="K18" s="335">
        <f t="shared" si="4"/>
        <v>-2.7019999999999999E-2</v>
      </c>
      <c r="L18" s="334">
        <v>0</v>
      </c>
      <c r="M18" s="333">
        <f t="shared" si="5"/>
        <v>0</v>
      </c>
      <c r="N18" s="335">
        <f t="shared" si="6"/>
        <v>0</v>
      </c>
      <c r="O18" s="334">
        <v>0</v>
      </c>
      <c r="P18" s="333">
        <f t="shared" si="7"/>
        <v>0</v>
      </c>
      <c r="Q18" s="335">
        <f t="shared" si="8"/>
        <v>0</v>
      </c>
      <c r="R18" s="334">
        <v>0</v>
      </c>
      <c r="S18" s="333">
        <f t="shared" si="9"/>
        <v>0</v>
      </c>
      <c r="T18" s="335">
        <f t="shared" si="10"/>
        <v>0</v>
      </c>
      <c r="U18" s="334">
        <v>1</v>
      </c>
      <c r="V18" s="333">
        <v>57238.8</v>
      </c>
      <c r="W18" s="332">
        <f t="shared" si="19"/>
        <v>0.24073</v>
      </c>
      <c r="AA18" s="322">
        <f t="shared" si="11"/>
        <v>-4979.3550690000002</v>
      </c>
      <c r="AB18" s="322">
        <f t="shared" si="12"/>
        <v>-940.92016199999989</v>
      </c>
      <c r="AC18" s="322">
        <f t="shared" si="13"/>
        <v>0</v>
      </c>
      <c r="AD18" s="322">
        <f t="shared" si="14"/>
        <v>0</v>
      </c>
      <c r="AE18" s="322">
        <f t="shared" si="15"/>
        <v>0</v>
      </c>
      <c r="AF18" s="322">
        <f t="shared" si="16"/>
        <v>8382.9648629999992</v>
      </c>
      <c r="AG18" s="322">
        <f t="shared" si="17"/>
        <v>-5920.2752309999996</v>
      </c>
      <c r="AI18" s="325">
        <f>'[9]Allocation = % of margin'!P18+'[9]Allocation = % of margin'!S18+'[9]Allocation = % of margin'!V18+'[9]Allocation = % of margin'!Y18+'[9]Allocation = % of margin'!AB18+'[9]Allocation = % of margin'!AE18+'[9]Allocation = % of margin'!AH18+'[9]Allocation = % of margin'!AK18+'[9]Allocation = % of margin'!AN18+' Increments  equal ¢ per therm'!H18+' Increments  equal ¢ per therm'!K18+' Increments  equal ¢ per therm'!N18+' Increments  equal ¢ per therm'!Q18+' Increments  equal ¢ per therm'!T18+' Increments  equal ¢ per therm'!W18+'[9]Allocation = % of revenue'!M18</f>
        <v>0.29068999999999995</v>
      </c>
      <c r="AJ18" s="224">
        <f>'Summary of Temporaries '!W18</f>
        <v>0.29042999999999997</v>
      </c>
      <c r="AK18" s="244">
        <f>[9]Permanents!F18</f>
        <v>2.5999999999999998E-4</v>
      </c>
      <c r="AL18" s="325">
        <f t="shared" si="18"/>
        <v>-1.7509865085640897E-17</v>
      </c>
    </row>
    <row r="19" spans="1:38" x14ac:dyDescent="0.35">
      <c r="A19" s="234">
        <f t="shared" si="0"/>
        <v>13</v>
      </c>
      <c r="B19" s="234" t="s">
        <v>60</v>
      </c>
      <c r="C19" s="344" t="s">
        <v>61</v>
      </c>
      <c r="D19" s="323">
        <f>'[9]Washington volumes'!J19</f>
        <v>1665389.3</v>
      </c>
      <c r="E19" s="343"/>
      <c r="F19" s="341">
        <v>1</v>
      </c>
      <c r="G19" s="323">
        <f t="shared" si="1"/>
        <v>1665389.3</v>
      </c>
      <c r="H19" s="342">
        <f t="shared" si="2"/>
        <v>-0.14299000000000001</v>
      </c>
      <c r="I19" s="341">
        <v>1</v>
      </c>
      <c r="J19" s="323">
        <f t="shared" si="3"/>
        <v>1665389.3</v>
      </c>
      <c r="K19" s="342">
        <f t="shared" si="4"/>
        <v>-2.7019999999999999E-2</v>
      </c>
      <c r="L19" s="341">
        <v>0</v>
      </c>
      <c r="M19" s="323">
        <f t="shared" si="5"/>
        <v>0</v>
      </c>
      <c r="N19" s="342">
        <f t="shared" si="6"/>
        <v>0</v>
      </c>
      <c r="O19" s="341">
        <v>0</v>
      </c>
      <c r="P19" s="323">
        <f t="shared" si="7"/>
        <v>0</v>
      </c>
      <c r="Q19" s="342">
        <f t="shared" si="8"/>
        <v>0</v>
      </c>
      <c r="R19" s="341">
        <v>0</v>
      </c>
      <c r="S19" s="323">
        <f t="shared" si="9"/>
        <v>0</v>
      </c>
      <c r="T19" s="342">
        <f t="shared" si="10"/>
        <v>0</v>
      </c>
      <c r="U19" s="341">
        <v>1</v>
      </c>
      <c r="V19" s="323">
        <v>1372877.5000000002</v>
      </c>
      <c r="W19" s="340">
        <f t="shared" si="19"/>
        <v>0.24073</v>
      </c>
      <c r="AA19" s="322">
        <f t="shared" si="11"/>
        <v>-238134.01600700003</v>
      </c>
      <c r="AB19" s="322">
        <f t="shared" si="12"/>
        <v>-44998.818886000001</v>
      </c>
      <c r="AC19" s="322">
        <f t="shared" si="13"/>
        <v>0</v>
      </c>
      <c r="AD19" s="322">
        <f t="shared" si="14"/>
        <v>0</v>
      </c>
      <c r="AE19" s="322">
        <f t="shared" si="15"/>
        <v>0</v>
      </c>
      <c r="AF19" s="322">
        <f t="shared" si="16"/>
        <v>400909.16618900001</v>
      </c>
      <c r="AG19" s="322">
        <f t="shared" si="17"/>
        <v>-283132.83489300002</v>
      </c>
      <c r="AI19" s="325">
        <f>'[9]Allocation = % of margin'!P19+'[9]Allocation = % of margin'!S19+'[9]Allocation = % of margin'!V19+'[9]Allocation = % of margin'!Y19+'[9]Allocation = % of margin'!AB19+'[9]Allocation = % of margin'!AE19+'[9]Allocation = % of margin'!AH19+'[9]Allocation = % of margin'!AK19+'[9]Allocation = % of margin'!AN19+' Increments  equal ¢ per therm'!H19+' Increments  equal ¢ per therm'!K19+' Increments  equal ¢ per therm'!N19+' Increments  equal ¢ per therm'!Q19+' Increments  equal ¢ per therm'!T19+' Increments  equal ¢ per therm'!W19+'[9]Allocation = % of revenue'!M19</f>
        <v>0.14555000000000001</v>
      </c>
      <c r="AJ19" s="224">
        <f>'Summary of Temporaries '!W19</f>
        <v>0.14546999999999999</v>
      </c>
      <c r="AK19" s="244">
        <f>[9]Permanents!F19</f>
        <v>8.0000000000000007E-5</v>
      </c>
      <c r="AL19" s="325">
        <f t="shared" si="18"/>
        <v>2.4489416571016331E-17</v>
      </c>
    </row>
    <row r="20" spans="1:38" x14ac:dyDescent="0.35">
      <c r="A20" s="234">
        <f t="shared" si="0"/>
        <v>14</v>
      </c>
      <c r="B20" s="338"/>
      <c r="C20" s="339" t="s">
        <v>62</v>
      </c>
      <c r="D20" s="333">
        <f>'[9]Washington volumes'!J20</f>
        <v>2698480.8</v>
      </c>
      <c r="E20" s="336"/>
      <c r="F20" s="334">
        <v>1</v>
      </c>
      <c r="G20" s="333">
        <f t="shared" si="1"/>
        <v>2698480.8</v>
      </c>
      <c r="H20" s="335">
        <f t="shared" si="2"/>
        <v>-0.14299000000000001</v>
      </c>
      <c r="I20" s="334">
        <v>1</v>
      </c>
      <c r="J20" s="333">
        <f t="shared" si="3"/>
        <v>2698480.8</v>
      </c>
      <c r="K20" s="335">
        <f t="shared" si="4"/>
        <v>-2.7019999999999999E-2</v>
      </c>
      <c r="L20" s="334">
        <v>0</v>
      </c>
      <c r="M20" s="333">
        <f t="shared" si="5"/>
        <v>0</v>
      </c>
      <c r="N20" s="335">
        <f t="shared" si="6"/>
        <v>0</v>
      </c>
      <c r="O20" s="334">
        <v>0</v>
      </c>
      <c r="P20" s="333">
        <f t="shared" si="7"/>
        <v>0</v>
      </c>
      <c r="Q20" s="335">
        <f t="shared" si="8"/>
        <v>0</v>
      </c>
      <c r="R20" s="334">
        <v>0</v>
      </c>
      <c r="S20" s="333">
        <f t="shared" si="9"/>
        <v>0</v>
      </c>
      <c r="T20" s="335">
        <f t="shared" si="10"/>
        <v>0</v>
      </c>
      <c r="U20" s="334">
        <v>1</v>
      </c>
      <c r="V20" s="333">
        <v>2229000.4000000004</v>
      </c>
      <c r="W20" s="332">
        <f t="shared" si="19"/>
        <v>0.24073</v>
      </c>
      <c r="AA20" s="322">
        <f t="shared" si="11"/>
        <v>-385855.769592</v>
      </c>
      <c r="AB20" s="322">
        <f t="shared" si="12"/>
        <v>-72912.951215999987</v>
      </c>
      <c r="AC20" s="322">
        <f t="shared" si="13"/>
        <v>0</v>
      </c>
      <c r="AD20" s="322">
        <f t="shared" si="14"/>
        <v>0</v>
      </c>
      <c r="AE20" s="322">
        <f t="shared" si="15"/>
        <v>0</v>
      </c>
      <c r="AF20" s="322">
        <f t="shared" si="16"/>
        <v>649605.28298399993</v>
      </c>
      <c r="AG20" s="322">
        <f t="shared" si="17"/>
        <v>-458768.72080799995</v>
      </c>
      <c r="AI20" s="325">
        <f>'[9]Allocation = % of margin'!P20+'[9]Allocation = % of margin'!S20+'[9]Allocation = % of margin'!V20+'[9]Allocation = % of margin'!Y20+'[9]Allocation = % of margin'!AB20+'[9]Allocation = % of margin'!AE20+'[9]Allocation = % of margin'!AH20+'[9]Allocation = % of margin'!AK20+'[9]Allocation = % of margin'!AN20+' Increments  equal ¢ per therm'!H20+' Increments  equal ¢ per therm'!K20+' Increments  equal ¢ per therm'!N20+' Increments  equal ¢ per therm'!Q20+' Increments  equal ¢ per therm'!T20+' Increments  equal ¢ per therm'!W20+'[9]Allocation = % of revenue'!M20</f>
        <v>0.13664999999999999</v>
      </c>
      <c r="AJ20" s="224">
        <f>'Summary of Temporaries '!W20</f>
        <v>0.13657999999999998</v>
      </c>
      <c r="AK20" s="244">
        <f>[9]Permanents!F20</f>
        <v>6.9999999999999994E-5</v>
      </c>
      <c r="AL20" s="325">
        <f t="shared" si="18"/>
        <v>1.4501204056993622E-17</v>
      </c>
    </row>
    <row r="21" spans="1:38" x14ac:dyDescent="0.35">
      <c r="A21" s="234">
        <f t="shared" si="0"/>
        <v>15</v>
      </c>
      <c r="B21" s="234" t="s">
        <v>63</v>
      </c>
      <c r="C21" s="344" t="s">
        <v>61</v>
      </c>
      <c r="D21" s="323">
        <f>'[9]Washington volumes'!J21</f>
        <v>331379.44452066539</v>
      </c>
      <c r="E21" s="343"/>
      <c r="F21" s="341">
        <v>1</v>
      </c>
      <c r="G21" s="323">
        <f t="shared" si="1"/>
        <v>331379.44452066539</v>
      </c>
      <c r="H21" s="342">
        <f t="shared" si="2"/>
        <v>-0.14299000000000001</v>
      </c>
      <c r="I21" s="341">
        <v>1</v>
      </c>
      <c r="J21" s="323">
        <f t="shared" si="3"/>
        <v>331379.44452066539</v>
      </c>
      <c r="K21" s="342">
        <f t="shared" si="4"/>
        <v>-2.7019999999999999E-2</v>
      </c>
      <c r="L21" s="341">
        <v>0</v>
      </c>
      <c r="M21" s="323">
        <f t="shared" si="5"/>
        <v>0</v>
      </c>
      <c r="N21" s="342">
        <f t="shared" si="6"/>
        <v>0</v>
      </c>
      <c r="O21" s="341">
        <v>0</v>
      </c>
      <c r="P21" s="323">
        <f t="shared" si="7"/>
        <v>0</v>
      </c>
      <c r="Q21" s="342">
        <f t="shared" si="8"/>
        <v>0</v>
      </c>
      <c r="R21" s="341">
        <v>1</v>
      </c>
      <c r="S21" s="323">
        <f t="shared" si="9"/>
        <v>331379.44452066539</v>
      </c>
      <c r="T21" s="342">
        <f t="shared" si="10"/>
        <v>3.5E-4</v>
      </c>
      <c r="U21" s="341">
        <v>1</v>
      </c>
      <c r="V21" s="323">
        <v>329824.69999999995</v>
      </c>
      <c r="W21" s="340">
        <f t="shared" si="19"/>
        <v>0.24073</v>
      </c>
      <c r="AA21" s="322">
        <f t="shared" si="11"/>
        <v>-47383.946772009949</v>
      </c>
      <c r="AB21" s="322">
        <f t="shared" si="12"/>
        <v>-8953.8725909483783</v>
      </c>
      <c r="AC21" s="322">
        <f t="shared" si="13"/>
        <v>0</v>
      </c>
      <c r="AD21" s="322">
        <f t="shared" si="14"/>
        <v>0</v>
      </c>
      <c r="AE21" s="322">
        <f t="shared" si="15"/>
        <v>115.98280558223288</v>
      </c>
      <c r="AF21" s="322">
        <f t="shared" si="16"/>
        <v>79772.973679459785</v>
      </c>
      <c r="AG21" s="322">
        <f t="shared" si="17"/>
        <v>-56221.836557376089</v>
      </c>
      <c r="AI21" s="325">
        <f>'[9]Allocation = % of margin'!P21+'[9]Allocation = % of margin'!S21+'[9]Allocation = % of margin'!V21+'[9]Allocation = % of margin'!Y21+'[9]Allocation = % of margin'!AB21+'[9]Allocation = % of margin'!AE21+'[9]Allocation = % of margin'!AH21+'[9]Allocation = % of margin'!AK21+'[9]Allocation = % of margin'!AN21+' Increments  equal ¢ per therm'!H21+' Increments  equal ¢ per therm'!K21+' Increments  equal ¢ per therm'!N21+' Increments  equal ¢ per therm'!Q21+' Increments  equal ¢ per therm'!T21+' Increments  equal ¢ per therm'!W21+'[9]Allocation = % of revenue'!M21</f>
        <v>9.6689999999999984E-2</v>
      </c>
      <c r="AJ21" s="224">
        <f>'Summary of Temporaries '!W21</f>
        <v>9.6619999999999984E-2</v>
      </c>
      <c r="AK21" s="244">
        <f>[9]Permanents!F21</f>
        <v>6.9999999999999994E-5</v>
      </c>
      <c r="AL21" s="325">
        <f t="shared" si="18"/>
        <v>6.2341624917916505E-19</v>
      </c>
    </row>
    <row r="22" spans="1:38" x14ac:dyDescent="0.35">
      <c r="A22" s="234">
        <f t="shared" si="0"/>
        <v>16</v>
      </c>
      <c r="B22" s="338"/>
      <c r="C22" s="339" t="s">
        <v>62</v>
      </c>
      <c r="D22" s="333">
        <f>'[9]Washington volumes'!J22</f>
        <v>593486.75547933462</v>
      </c>
      <c r="E22" s="336"/>
      <c r="F22" s="334">
        <v>1</v>
      </c>
      <c r="G22" s="333">
        <f t="shared" si="1"/>
        <v>593486.75547933462</v>
      </c>
      <c r="H22" s="335">
        <f t="shared" si="2"/>
        <v>-0.14299000000000001</v>
      </c>
      <c r="I22" s="334">
        <v>1</v>
      </c>
      <c r="J22" s="333">
        <f t="shared" si="3"/>
        <v>593486.75547933462</v>
      </c>
      <c r="K22" s="335">
        <f t="shared" si="4"/>
        <v>-2.7019999999999999E-2</v>
      </c>
      <c r="L22" s="334">
        <v>0</v>
      </c>
      <c r="M22" s="333">
        <f t="shared" si="5"/>
        <v>0</v>
      </c>
      <c r="N22" s="335">
        <f t="shared" si="6"/>
        <v>0</v>
      </c>
      <c r="O22" s="334">
        <v>0</v>
      </c>
      <c r="P22" s="333">
        <f t="shared" si="7"/>
        <v>0</v>
      </c>
      <c r="Q22" s="335">
        <f t="shared" si="8"/>
        <v>0</v>
      </c>
      <c r="R22" s="334">
        <v>1</v>
      </c>
      <c r="S22" s="333">
        <f t="shared" si="9"/>
        <v>593486.75547933462</v>
      </c>
      <c r="T22" s="335">
        <f t="shared" si="10"/>
        <v>3.5E-4</v>
      </c>
      <c r="U22" s="334">
        <v>1</v>
      </c>
      <c r="V22" s="333">
        <v>735387.7</v>
      </c>
      <c r="W22" s="332">
        <f t="shared" si="19"/>
        <v>0.24073</v>
      </c>
      <c r="AA22" s="322">
        <f t="shared" si="11"/>
        <v>-84862.671165990061</v>
      </c>
      <c r="AB22" s="322">
        <f t="shared" si="12"/>
        <v>-16036.012133051621</v>
      </c>
      <c r="AC22" s="322">
        <f t="shared" si="13"/>
        <v>0</v>
      </c>
      <c r="AD22" s="322">
        <f t="shared" si="14"/>
        <v>0</v>
      </c>
      <c r="AE22" s="322">
        <f t="shared" si="15"/>
        <v>207.72036441776712</v>
      </c>
      <c r="AF22" s="322">
        <f t="shared" si="16"/>
        <v>142870.06664654022</v>
      </c>
      <c r="AG22" s="322">
        <f t="shared" si="17"/>
        <v>-100690.96293462392</v>
      </c>
      <c r="AI22" s="325">
        <f>'[9]Allocation = % of margin'!P22+'[9]Allocation = % of margin'!S22+'[9]Allocation = % of margin'!V22+'[9]Allocation = % of margin'!Y22+'[9]Allocation = % of margin'!AB22+'[9]Allocation = % of margin'!AE22+'[9]Allocation = % of margin'!AH22+'[9]Allocation = % of margin'!AK22+'[9]Allocation = % of margin'!AN22+' Increments  equal ¢ per therm'!H22+' Increments  equal ¢ per therm'!K22+' Increments  equal ¢ per therm'!N22+' Increments  equal ¢ per therm'!Q22+' Increments  equal ¢ per therm'!T22+' Increments  equal ¢ per therm'!W22+'[9]Allocation = % of revenue'!M22</f>
        <v>9.3649999999999997E-2</v>
      </c>
      <c r="AJ22" s="224">
        <f>'Summary of Temporaries '!W22</f>
        <v>9.3590000000000007E-2</v>
      </c>
      <c r="AK22" s="244">
        <f>[9]Permanents!F22</f>
        <v>6.0000000000000002E-5</v>
      </c>
      <c r="AL22" s="325">
        <f t="shared" si="18"/>
        <v>-9.3851250555776478E-18</v>
      </c>
    </row>
    <row r="23" spans="1:38" x14ac:dyDescent="0.35">
      <c r="A23" s="234">
        <f t="shared" si="0"/>
        <v>17</v>
      </c>
      <c r="B23" s="234" t="s">
        <v>64</v>
      </c>
      <c r="C23" s="344" t="s">
        <v>61</v>
      </c>
      <c r="D23" s="323">
        <f>'[9]Washington volumes'!J23</f>
        <v>0</v>
      </c>
      <c r="E23" s="343"/>
      <c r="F23" s="341">
        <v>1</v>
      </c>
      <c r="G23" s="323">
        <f t="shared" si="1"/>
        <v>0</v>
      </c>
      <c r="H23" s="342">
        <f t="shared" si="2"/>
        <v>-0.14299000000000001</v>
      </c>
      <c r="I23" s="341">
        <v>0</v>
      </c>
      <c r="J23" s="323">
        <f t="shared" si="3"/>
        <v>0</v>
      </c>
      <c r="K23" s="342">
        <f t="shared" si="4"/>
        <v>0</v>
      </c>
      <c r="L23" s="341">
        <v>1</v>
      </c>
      <c r="M23" s="323">
        <f t="shared" si="5"/>
        <v>0</v>
      </c>
      <c r="N23" s="342">
        <f t="shared" si="6"/>
        <v>-3.1469999999999998E-2</v>
      </c>
      <c r="O23" s="341">
        <v>0</v>
      </c>
      <c r="P23" s="323">
        <f t="shared" si="7"/>
        <v>0</v>
      </c>
      <c r="Q23" s="342">
        <f t="shared" si="8"/>
        <v>0</v>
      </c>
      <c r="R23" s="341">
        <v>0</v>
      </c>
      <c r="S23" s="323">
        <f t="shared" si="9"/>
        <v>0</v>
      </c>
      <c r="T23" s="342">
        <f t="shared" si="10"/>
        <v>0</v>
      </c>
      <c r="U23" s="341">
        <v>1</v>
      </c>
      <c r="V23" s="323">
        <v>0</v>
      </c>
      <c r="W23" s="340">
        <f t="shared" si="19"/>
        <v>0.24073</v>
      </c>
      <c r="AA23" s="322">
        <f t="shared" si="11"/>
        <v>0</v>
      </c>
      <c r="AB23" s="322">
        <f t="shared" si="12"/>
        <v>0</v>
      </c>
      <c r="AC23" s="322">
        <f t="shared" si="13"/>
        <v>0</v>
      </c>
      <c r="AD23" s="322">
        <f t="shared" si="14"/>
        <v>0</v>
      </c>
      <c r="AE23" s="322">
        <f t="shared" si="15"/>
        <v>0</v>
      </c>
      <c r="AF23" s="322">
        <f t="shared" si="16"/>
        <v>0</v>
      </c>
      <c r="AG23" s="322">
        <f t="shared" si="17"/>
        <v>0</v>
      </c>
      <c r="AI23" s="325">
        <f>'[9]Allocation = % of margin'!P23+'[9]Allocation = % of margin'!S23+'[9]Allocation = % of margin'!V23+'[9]Allocation = % of margin'!Y23+'[9]Allocation = % of margin'!AB23+'[9]Allocation = % of margin'!AE23+'[9]Allocation = % of margin'!AH23+'[9]Allocation = % of margin'!AK23+'[9]Allocation = % of margin'!AN23+' Increments  equal ¢ per therm'!H23+' Increments  equal ¢ per therm'!K23+' Increments  equal ¢ per therm'!N23+' Increments  equal ¢ per therm'!Q23+' Increments  equal ¢ per therm'!T23+' Increments  equal ¢ per therm'!W23+'[9]Allocation = % of revenue'!M23</f>
        <v>0.13566</v>
      </c>
      <c r="AJ23" s="224">
        <f>'Summary of Temporaries '!W23</f>
        <v>0.13558999999999999</v>
      </c>
      <c r="AK23" s="244">
        <f>[9]Permanents!F23</f>
        <v>6.9999999999999994E-5</v>
      </c>
      <c r="AL23" s="325">
        <f t="shared" si="18"/>
        <v>1.4501204056993622E-17</v>
      </c>
    </row>
    <row r="24" spans="1:38" x14ac:dyDescent="0.35">
      <c r="A24" s="234">
        <f t="shared" si="0"/>
        <v>18</v>
      </c>
      <c r="B24" s="338"/>
      <c r="C24" s="339" t="s">
        <v>62</v>
      </c>
      <c r="D24" s="333">
        <f>'[9]Washington volumes'!J24</f>
        <v>0</v>
      </c>
      <c r="E24" s="336"/>
      <c r="F24" s="334">
        <v>1</v>
      </c>
      <c r="G24" s="333">
        <f t="shared" si="1"/>
        <v>0</v>
      </c>
      <c r="H24" s="335">
        <f t="shared" si="2"/>
        <v>-0.14299000000000001</v>
      </c>
      <c r="I24" s="334">
        <v>0</v>
      </c>
      <c r="J24" s="333">
        <f t="shared" si="3"/>
        <v>0</v>
      </c>
      <c r="K24" s="335">
        <f t="shared" si="4"/>
        <v>0</v>
      </c>
      <c r="L24" s="334">
        <v>1</v>
      </c>
      <c r="M24" s="333">
        <f t="shared" si="5"/>
        <v>0</v>
      </c>
      <c r="N24" s="335">
        <f t="shared" si="6"/>
        <v>-3.1469999999999998E-2</v>
      </c>
      <c r="O24" s="334">
        <v>0</v>
      </c>
      <c r="P24" s="333">
        <f t="shared" si="7"/>
        <v>0</v>
      </c>
      <c r="Q24" s="335">
        <f t="shared" si="8"/>
        <v>0</v>
      </c>
      <c r="R24" s="334">
        <v>0</v>
      </c>
      <c r="S24" s="333">
        <f t="shared" si="9"/>
        <v>0</v>
      </c>
      <c r="T24" s="335">
        <f t="shared" si="10"/>
        <v>0</v>
      </c>
      <c r="U24" s="334">
        <v>1</v>
      </c>
      <c r="V24" s="333">
        <v>0</v>
      </c>
      <c r="W24" s="332">
        <f t="shared" si="19"/>
        <v>0.24073</v>
      </c>
      <c r="AA24" s="322">
        <f t="shared" si="11"/>
        <v>0</v>
      </c>
      <c r="AB24" s="322">
        <f t="shared" si="12"/>
        <v>0</v>
      </c>
      <c r="AC24" s="322">
        <f t="shared" si="13"/>
        <v>0</v>
      </c>
      <c r="AD24" s="322">
        <f t="shared" si="14"/>
        <v>0</v>
      </c>
      <c r="AE24" s="322">
        <f t="shared" si="15"/>
        <v>0</v>
      </c>
      <c r="AF24" s="322">
        <f t="shared" si="16"/>
        <v>0</v>
      </c>
      <c r="AG24" s="322">
        <f t="shared" si="17"/>
        <v>0</v>
      </c>
      <c r="AI24" s="325">
        <f>'[9]Allocation = % of margin'!P24+'[9]Allocation = % of margin'!S24+'[9]Allocation = % of margin'!V24+'[9]Allocation = % of margin'!Y24+'[9]Allocation = % of margin'!AB24+'[9]Allocation = % of margin'!AE24+'[9]Allocation = % of margin'!AH24+'[9]Allocation = % of margin'!AK24+'[9]Allocation = % of margin'!AN24+' Increments  equal ¢ per therm'!H24+' Increments  equal ¢ per therm'!K24+' Increments  equal ¢ per therm'!N24+' Increments  equal ¢ per therm'!Q24+' Increments  equal ¢ per therm'!T24+' Increments  equal ¢ per therm'!W24+'[9]Allocation = % of revenue'!M24</f>
        <v>0.12738999999999998</v>
      </c>
      <c r="AJ24" s="224">
        <f>'Summary of Temporaries '!W24</f>
        <v>0.12733</v>
      </c>
      <c r="AK24" s="244">
        <f>[9]Permanents!F24</f>
        <v>6.0000000000000002E-5</v>
      </c>
      <c r="AL24" s="325">
        <f t="shared" si="18"/>
        <v>-2.3262912863392105E-17</v>
      </c>
    </row>
    <row r="25" spans="1:38" x14ac:dyDescent="0.35">
      <c r="A25" s="234">
        <f t="shared" si="0"/>
        <v>19</v>
      </c>
      <c r="B25" s="234" t="s">
        <v>65</v>
      </c>
      <c r="C25" s="344" t="s">
        <v>61</v>
      </c>
      <c r="D25" s="323">
        <f>'[9]Washington volumes'!J25</f>
        <v>0</v>
      </c>
      <c r="E25" s="343"/>
      <c r="F25" s="341">
        <v>1</v>
      </c>
      <c r="G25" s="323">
        <f t="shared" si="1"/>
        <v>0</v>
      </c>
      <c r="H25" s="342">
        <f t="shared" si="2"/>
        <v>-0.14299000000000001</v>
      </c>
      <c r="I25" s="341">
        <v>0</v>
      </c>
      <c r="J25" s="323">
        <f t="shared" si="3"/>
        <v>0</v>
      </c>
      <c r="K25" s="342">
        <f t="shared" si="4"/>
        <v>0</v>
      </c>
      <c r="L25" s="341">
        <v>1</v>
      </c>
      <c r="M25" s="323">
        <f t="shared" si="5"/>
        <v>0</v>
      </c>
      <c r="N25" s="342">
        <f t="shared" si="6"/>
        <v>-3.1469999999999998E-2</v>
      </c>
      <c r="O25" s="341">
        <v>0</v>
      </c>
      <c r="P25" s="323">
        <f t="shared" si="7"/>
        <v>0</v>
      </c>
      <c r="Q25" s="342">
        <f t="shared" si="8"/>
        <v>0</v>
      </c>
      <c r="R25" s="341">
        <v>1</v>
      </c>
      <c r="S25" s="323">
        <f t="shared" si="9"/>
        <v>0</v>
      </c>
      <c r="T25" s="342">
        <f t="shared" si="10"/>
        <v>3.5E-4</v>
      </c>
      <c r="U25" s="341">
        <v>1</v>
      </c>
      <c r="V25" s="323">
        <v>0</v>
      </c>
      <c r="W25" s="340">
        <f t="shared" si="19"/>
        <v>0.24073</v>
      </c>
      <c r="AA25" s="322">
        <f t="shared" si="11"/>
        <v>0</v>
      </c>
      <c r="AB25" s="322">
        <f t="shared" si="12"/>
        <v>0</v>
      </c>
      <c r="AC25" s="322">
        <f t="shared" si="13"/>
        <v>0</v>
      </c>
      <c r="AD25" s="322">
        <f t="shared" si="14"/>
        <v>0</v>
      </c>
      <c r="AE25" s="322">
        <f t="shared" si="15"/>
        <v>0</v>
      </c>
      <c r="AF25" s="322">
        <f t="shared" si="16"/>
        <v>0</v>
      </c>
      <c r="AG25" s="322">
        <f t="shared" si="17"/>
        <v>0</v>
      </c>
      <c r="AI25" s="325">
        <f>'[9]Allocation = % of margin'!P25+'[9]Allocation = % of margin'!S25+'[9]Allocation = % of margin'!V25+'[9]Allocation = % of margin'!Y25+'[9]Allocation = % of margin'!AB25+'[9]Allocation = % of margin'!AE25+'[9]Allocation = % of margin'!AH25+'[9]Allocation = % of margin'!AK25+'[9]Allocation = % of margin'!AN25+' Increments  equal ¢ per therm'!H25+' Increments  equal ¢ per therm'!K25+' Increments  equal ¢ per therm'!N25+' Increments  equal ¢ per therm'!Q25+' Increments  equal ¢ per therm'!T25+' Increments  equal ¢ per therm'!W25+'[9]Allocation = % of revenue'!M25</f>
        <v>9.2699999999999977E-2</v>
      </c>
      <c r="AJ25" s="224">
        <f>'Summary of Temporaries '!W25</f>
        <v>9.262999999999999E-2</v>
      </c>
      <c r="AK25" s="244">
        <f>[9]Permanents!F25</f>
        <v>6.9999999999999994E-5</v>
      </c>
      <c r="AL25" s="325">
        <f t="shared" si="18"/>
        <v>-1.3254371558635292E-17</v>
      </c>
    </row>
    <row r="26" spans="1:38" x14ac:dyDescent="0.35">
      <c r="A26" s="234">
        <f t="shared" si="0"/>
        <v>20</v>
      </c>
      <c r="B26" s="338"/>
      <c r="C26" s="339" t="s">
        <v>62</v>
      </c>
      <c r="D26" s="333">
        <f>'[9]Washington volumes'!J26</f>
        <v>0</v>
      </c>
      <c r="E26" s="336"/>
      <c r="F26" s="334">
        <v>1</v>
      </c>
      <c r="G26" s="333">
        <f t="shared" si="1"/>
        <v>0</v>
      </c>
      <c r="H26" s="335">
        <f t="shared" si="2"/>
        <v>-0.14299000000000001</v>
      </c>
      <c r="I26" s="334">
        <v>0</v>
      </c>
      <c r="J26" s="333">
        <f t="shared" si="3"/>
        <v>0</v>
      </c>
      <c r="K26" s="335">
        <f t="shared" si="4"/>
        <v>0</v>
      </c>
      <c r="L26" s="334">
        <v>1</v>
      </c>
      <c r="M26" s="333">
        <f t="shared" si="5"/>
        <v>0</v>
      </c>
      <c r="N26" s="335">
        <f t="shared" si="6"/>
        <v>-3.1469999999999998E-2</v>
      </c>
      <c r="O26" s="334">
        <v>0</v>
      </c>
      <c r="P26" s="333">
        <f t="shared" si="7"/>
        <v>0</v>
      </c>
      <c r="Q26" s="335">
        <f t="shared" si="8"/>
        <v>0</v>
      </c>
      <c r="R26" s="334">
        <v>1</v>
      </c>
      <c r="S26" s="333">
        <f t="shared" si="9"/>
        <v>0</v>
      </c>
      <c r="T26" s="335">
        <f t="shared" si="10"/>
        <v>3.5E-4</v>
      </c>
      <c r="U26" s="334">
        <v>1</v>
      </c>
      <c r="V26" s="333">
        <v>0</v>
      </c>
      <c r="W26" s="332">
        <f t="shared" si="19"/>
        <v>0.24073</v>
      </c>
      <c r="AA26" s="322">
        <f t="shared" si="11"/>
        <v>0</v>
      </c>
      <c r="AB26" s="322">
        <f t="shared" si="12"/>
        <v>0</v>
      </c>
      <c r="AC26" s="322">
        <f t="shared" si="13"/>
        <v>0</v>
      </c>
      <c r="AD26" s="322">
        <f t="shared" si="14"/>
        <v>0</v>
      </c>
      <c r="AE26" s="322">
        <f t="shared" si="15"/>
        <v>0</v>
      </c>
      <c r="AF26" s="322">
        <f t="shared" si="16"/>
        <v>0</v>
      </c>
      <c r="AG26" s="322">
        <f t="shared" si="17"/>
        <v>0</v>
      </c>
      <c r="AI26" s="325">
        <f>'[9]Allocation = % of margin'!P26+'[9]Allocation = % of margin'!S26+'[9]Allocation = % of margin'!V26+'[9]Allocation = % of margin'!Y26+'[9]Allocation = % of margin'!AB26+'[9]Allocation = % of margin'!AE26+'[9]Allocation = % of margin'!AH26+'[9]Allocation = % of margin'!AK26+'[9]Allocation = % of margin'!AN26+' Increments  equal ¢ per therm'!H26+' Increments  equal ¢ per therm'!K26+' Increments  equal ¢ per therm'!N26+' Increments  equal ¢ per therm'!Q26+' Increments  equal ¢ per therm'!T26+' Increments  equal ¢ per therm'!W26+'[9]Allocation = % of revenue'!M26</f>
        <v>8.9609999999999995E-2</v>
      </c>
      <c r="AJ26" s="224">
        <f>'Summary of Temporaries '!W26</f>
        <v>8.9550000000000018E-2</v>
      </c>
      <c r="AK26" s="244">
        <f>[9]Permanents!F26</f>
        <v>6.0000000000000002E-5</v>
      </c>
      <c r="AL26" s="325">
        <f t="shared" si="18"/>
        <v>-2.3262912863392105E-17</v>
      </c>
    </row>
    <row r="27" spans="1:38" x14ac:dyDescent="0.35">
      <c r="A27" s="234">
        <f t="shared" si="0"/>
        <v>21</v>
      </c>
      <c r="B27" s="234" t="s">
        <v>66</v>
      </c>
      <c r="C27" s="344" t="s">
        <v>61</v>
      </c>
      <c r="D27" s="323">
        <f>'[9]Washington volumes'!J27</f>
        <v>123242.73967014518</v>
      </c>
      <c r="E27" s="343"/>
      <c r="F27" s="341">
        <v>0</v>
      </c>
      <c r="G27" s="323">
        <f t="shared" si="1"/>
        <v>0</v>
      </c>
      <c r="H27" s="342">
        <f t="shared" si="2"/>
        <v>0</v>
      </c>
      <c r="I27" s="341">
        <v>0</v>
      </c>
      <c r="J27" s="323">
        <f t="shared" si="3"/>
        <v>0</v>
      </c>
      <c r="K27" s="342">
        <f t="shared" si="4"/>
        <v>0</v>
      </c>
      <c r="L27" s="341">
        <v>0</v>
      </c>
      <c r="M27" s="323">
        <f t="shared" si="5"/>
        <v>0</v>
      </c>
      <c r="N27" s="342">
        <f t="shared" si="6"/>
        <v>0</v>
      </c>
      <c r="O27" s="341">
        <v>0</v>
      </c>
      <c r="P27" s="323">
        <f t="shared" si="7"/>
        <v>0</v>
      </c>
      <c r="Q27" s="342">
        <f t="shared" si="8"/>
        <v>0</v>
      </c>
      <c r="R27" s="341">
        <v>1</v>
      </c>
      <c r="S27" s="323">
        <f t="shared" si="9"/>
        <v>123242.73967014518</v>
      </c>
      <c r="T27" s="342">
        <f t="shared" si="10"/>
        <v>3.5E-4</v>
      </c>
      <c r="U27" s="341">
        <v>1</v>
      </c>
      <c r="V27" s="323">
        <v>151507</v>
      </c>
      <c r="W27" s="340">
        <f t="shared" si="19"/>
        <v>0.24073</v>
      </c>
      <c r="AA27" s="322">
        <f t="shared" si="11"/>
        <v>0</v>
      </c>
      <c r="AB27" s="322">
        <f t="shared" si="12"/>
        <v>0</v>
      </c>
      <c r="AC27" s="322">
        <f t="shared" si="13"/>
        <v>0</v>
      </c>
      <c r="AD27" s="322">
        <f t="shared" si="14"/>
        <v>0</v>
      </c>
      <c r="AE27" s="322">
        <f t="shared" si="15"/>
        <v>43.134958884550812</v>
      </c>
      <c r="AF27" s="322">
        <f t="shared" si="16"/>
        <v>29668.224720794049</v>
      </c>
      <c r="AG27" s="322">
        <f t="shared" si="17"/>
        <v>43.134958884550812</v>
      </c>
      <c r="AI27" s="325">
        <f>'[9]Allocation = % of margin'!P27+'[9]Allocation = % of margin'!S27+'[9]Allocation = % of margin'!V27+'[9]Allocation = % of margin'!Y27+'[9]Allocation = % of margin'!AB27+'[9]Allocation = % of margin'!AE27+'[9]Allocation = % of margin'!AH27+'[9]Allocation = % of margin'!AK27+'[9]Allocation = % of margin'!AN27+' Increments  equal ¢ per therm'!H27+' Increments  equal ¢ per therm'!K27+' Increments  equal ¢ per therm'!N27+' Increments  equal ¢ per therm'!Q27+' Increments  equal ¢ per therm'!T27+' Increments  equal ¢ per therm'!W27+'[9]Allocation = % of revenue'!M27</f>
        <v>0.26261000000000001</v>
      </c>
      <c r="AJ27" s="224">
        <f>'Summary of Temporaries '!W27</f>
        <v>0.26261000000000001</v>
      </c>
      <c r="AK27" s="244">
        <f>[9]Permanents!F27</f>
        <v>0</v>
      </c>
      <c r="AL27" s="325">
        <f t="shared" si="18"/>
        <v>0</v>
      </c>
    </row>
    <row r="28" spans="1:38" x14ac:dyDescent="0.35">
      <c r="A28" s="234">
        <f t="shared" si="0"/>
        <v>22</v>
      </c>
      <c r="B28" s="338"/>
      <c r="C28" s="339" t="s">
        <v>62</v>
      </c>
      <c r="D28" s="333">
        <f>'[9]Washington volumes'!J28</f>
        <v>284875.42061605473</v>
      </c>
      <c r="E28" s="336"/>
      <c r="F28" s="334">
        <v>0</v>
      </c>
      <c r="G28" s="333">
        <f t="shared" si="1"/>
        <v>0</v>
      </c>
      <c r="H28" s="335">
        <f t="shared" si="2"/>
        <v>0</v>
      </c>
      <c r="I28" s="334">
        <v>0</v>
      </c>
      <c r="J28" s="333">
        <f t="shared" si="3"/>
        <v>0</v>
      </c>
      <c r="K28" s="335">
        <f t="shared" si="4"/>
        <v>0</v>
      </c>
      <c r="L28" s="334">
        <v>0</v>
      </c>
      <c r="M28" s="333">
        <f t="shared" si="5"/>
        <v>0</v>
      </c>
      <c r="N28" s="335">
        <f t="shared" si="6"/>
        <v>0</v>
      </c>
      <c r="O28" s="334">
        <v>0</v>
      </c>
      <c r="P28" s="333">
        <f t="shared" si="7"/>
        <v>0</v>
      </c>
      <c r="Q28" s="335">
        <f t="shared" si="8"/>
        <v>0</v>
      </c>
      <c r="R28" s="334">
        <v>1</v>
      </c>
      <c r="S28" s="333">
        <f t="shared" si="9"/>
        <v>284875.42061605473</v>
      </c>
      <c r="T28" s="335">
        <f t="shared" si="10"/>
        <v>3.5E-4</v>
      </c>
      <c r="U28" s="334">
        <v>1</v>
      </c>
      <c r="V28" s="333">
        <v>253149</v>
      </c>
      <c r="W28" s="332">
        <f t="shared" si="19"/>
        <v>0.24073</v>
      </c>
      <c r="AA28" s="322">
        <f t="shared" si="11"/>
        <v>0</v>
      </c>
      <c r="AB28" s="322">
        <f t="shared" si="12"/>
        <v>0</v>
      </c>
      <c r="AC28" s="322">
        <f t="shared" si="13"/>
        <v>0</v>
      </c>
      <c r="AD28" s="322">
        <f t="shared" si="14"/>
        <v>0</v>
      </c>
      <c r="AE28" s="322">
        <f t="shared" si="15"/>
        <v>99.706397215619162</v>
      </c>
      <c r="AF28" s="322">
        <f t="shared" si="16"/>
        <v>68578.060004902858</v>
      </c>
      <c r="AG28" s="322">
        <f t="shared" si="17"/>
        <v>99.706397215619162</v>
      </c>
      <c r="AI28" s="325">
        <f>'[9]Allocation = % of margin'!P28+'[9]Allocation = % of margin'!S28+'[9]Allocation = % of margin'!V28+'[9]Allocation = % of margin'!Y28+'[9]Allocation = % of margin'!AB28+'[9]Allocation = % of margin'!AE28+'[9]Allocation = % of margin'!AH28+'[9]Allocation = % of margin'!AK28+'[9]Allocation = % of margin'!AN28+' Increments  equal ¢ per therm'!H28+' Increments  equal ¢ per therm'!K28+' Increments  equal ¢ per therm'!N28+' Increments  equal ¢ per therm'!Q28+' Increments  equal ¢ per therm'!T28+' Increments  equal ¢ per therm'!W28+'[9]Allocation = % of revenue'!M28</f>
        <v>0.26005</v>
      </c>
      <c r="AJ28" s="224">
        <f>'Summary of Temporaries '!W28</f>
        <v>0.26005</v>
      </c>
      <c r="AK28" s="244">
        <f>[9]Permanents!F28</f>
        <v>0</v>
      </c>
      <c r="AL28" s="325">
        <f t="shared" si="18"/>
        <v>0</v>
      </c>
    </row>
    <row r="29" spans="1:38" x14ac:dyDescent="0.35">
      <c r="A29" s="234">
        <f t="shared" si="0"/>
        <v>23</v>
      </c>
      <c r="B29" s="234" t="s">
        <v>67</v>
      </c>
      <c r="C29" s="344" t="s">
        <v>61</v>
      </c>
      <c r="D29" s="346">
        <f>'[9]Washington volumes'!J29</f>
        <v>0</v>
      </c>
      <c r="E29" s="349"/>
      <c r="F29" s="347">
        <v>0</v>
      </c>
      <c r="G29" s="346">
        <f t="shared" si="1"/>
        <v>0</v>
      </c>
      <c r="H29" s="348">
        <f t="shared" si="2"/>
        <v>0</v>
      </c>
      <c r="I29" s="347">
        <v>0</v>
      </c>
      <c r="J29" s="346">
        <f t="shared" si="3"/>
        <v>0</v>
      </c>
      <c r="K29" s="348">
        <f t="shared" si="4"/>
        <v>0</v>
      </c>
      <c r="L29" s="347">
        <v>0</v>
      </c>
      <c r="M29" s="346">
        <f t="shared" si="5"/>
        <v>0</v>
      </c>
      <c r="N29" s="348">
        <f t="shared" si="6"/>
        <v>0</v>
      </c>
      <c r="O29" s="347">
        <v>0</v>
      </c>
      <c r="P29" s="346">
        <f t="shared" si="7"/>
        <v>0</v>
      </c>
      <c r="Q29" s="348">
        <f t="shared" si="8"/>
        <v>0</v>
      </c>
      <c r="R29" s="347">
        <v>1</v>
      </c>
      <c r="S29" s="346">
        <f t="shared" si="9"/>
        <v>0</v>
      </c>
      <c r="T29" s="348">
        <f t="shared" si="10"/>
        <v>3.5E-4</v>
      </c>
      <c r="U29" s="347">
        <v>1</v>
      </c>
      <c r="V29" s="346">
        <v>0</v>
      </c>
      <c r="W29" s="345">
        <f t="shared" si="19"/>
        <v>0.24073</v>
      </c>
      <c r="AA29" s="322">
        <f t="shared" si="11"/>
        <v>0</v>
      </c>
      <c r="AB29" s="322">
        <f t="shared" si="12"/>
        <v>0</v>
      </c>
      <c r="AC29" s="322">
        <f t="shared" si="13"/>
        <v>0</v>
      </c>
      <c r="AD29" s="322">
        <f t="shared" si="14"/>
        <v>0</v>
      </c>
      <c r="AE29" s="322">
        <f t="shared" si="15"/>
        <v>0</v>
      </c>
      <c r="AF29" s="322">
        <f t="shared" si="16"/>
        <v>0</v>
      </c>
      <c r="AG29" s="322">
        <f t="shared" si="17"/>
        <v>0</v>
      </c>
      <c r="AI29" s="325">
        <f>'[9]Allocation = % of margin'!P29+'[9]Allocation = % of margin'!S29+'[9]Allocation = % of margin'!V29+'[9]Allocation = % of margin'!Y29+'[9]Allocation = % of margin'!AB29+'[9]Allocation = % of margin'!AE29+'[9]Allocation = % of margin'!AH29+'[9]Allocation = % of margin'!AK29+'[9]Allocation = % of margin'!AN29+' Increments  equal ¢ per therm'!H29+' Increments  equal ¢ per therm'!K29+' Increments  equal ¢ per therm'!N29+' Increments  equal ¢ per therm'!Q29+' Increments  equal ¢ per therm'!T29+' Increments  equal ¢ per therm'!W29+'[9]Allocation = % of revenue'!M29</f>
        <v>0.26072000000000001</v>
      </c>
      <c r="AJ29" s="224">
        <f>'Summary of Temporaries '!W29</f>
        <v>0.26072000000000001</v>
      </c>
      <c r="AK29" s="244">
        <f>[9]Permanents!F29</f>
        <v>0</v>
      </c>
      <c r="AL29" s="325">
        <f t="shared" si="18"/>
        <v>0</v>
      </c>
    </row>
    <row r="30" spans="1:38" x14ac:dyDescent="0.35">
      <c r="A30" s="234">
        <f t="shared" si="0"/>
        <v>24</v>
      </c>
      <c r="B30" s="234"/>
      <c r="C30" s="339" t="s">
        <v>62</v>
      </c>
      <c r="D30" s="333">
        <f>'[9]Washington volumes'!J30</f>
        <v>0</v>
      </c>
      <c r="E30" s="336"/>
      <c r="F30" s="334">
        <v>0</v>
      </c>
      <c r="G30" s="333">
        <f t="shared" si="1"/>
        <v>0</v>
      </c>
      <c r="H30" s="335">
        <f t="shared" si="2"/>
        <v>0</v>
      </c>
      <c r="I30" s="334">
        <v>0</v>
      </c>
      <c r="J30" s="333">
        <f t="shared" si="3"/>
        <v>0</v>
      </c>
      <c r="K30" s="335">
        <f t="shared" si="4"/>
        <v>0</v>
      </c>
      <c r="L30" s="334">
        <v>0</v>
      </c>
      <c r="M30" s="333">
        <f t="shared" si="5"/>
        <v>0</v>
      </c>
      <c r="N30" s="335">
        <f t="shared" si="6"/>
        <v>0</v>
      </c>
      <c r="O30" s="334">
        <v>0</v>
      </c>
      <c r="P30" s="333">
        <f t="shared" si="7"/>
        <v>0</v>
      </c>
      <c r="Q30" s="335">
        <f t="shared" si="8"/>
        <v>0</v>
      </c>
      <c r="R30" s="334">
        <v>1</v>
      </c>
      <c r="S30" s="333">
        <f t="shared" si="9"/>
        <v>0</v>
      </c>
      <c r="T30" s="335">
        <f t="shared" si="10"/>
        <v>3.5E-4</v>
      </c>
      <c r="U30" s="334">
        <v>1</v>
      </c>
      <c r="V30" s="333">
        <v>0</v>
      </c>
      <c r="W30" s="332">
        <f t="shared" si="19"/>
        <v>0.24073</v>
      </c>
      <c r="AA30" s="322">
        <f t="shared" si="11"/>
        <v>0</v>
      </c>
      <c r="AB30" s="322">
        <f t="shared" si="12"/>
        <v>0</v>
      </c>
      <c r="AC30" s="322">
        <f t="shared" si="13"/>
        <v>0</v>
      </c>
      <c r="AD30" s="322">
        <f t="shared" si="14"/>
        <v>0</v>
      </c>
      <c r="AE30" s="322">
        <f t="shared" si="15"/>
        <v>0</v>
      </c>
      <c r="AF30" s="322">
        <f t="shared" si="16"/>
        <v>0</v>
      </c>
      <c r="AG30" s="322">
        <f t="shared" si="17"/>
        <v>0</v>
      </c>
      <c r="AI30" s="325">
        <f>'[9]Allocation = % of margin'!P30+'[9]Allocation = % of margin'!S30+'[9]Allocation = % of margin'!V30+'[9]Allocation = % of margin'!Y30+'[9]Allocation = % of margin'!AB30+'[9]Allocation = % of margin'!AE30+'[9]Allocation = % of margin'!AH30+'[9]Allocation = % of margin'!AK30+'[9]Allocation = % of margin'!AN30+' Increments  equal ¢ per therm'!H30+' Increments  equal ¢ per therm'!K30+' Increments  equal ¢ per therm'!N30+' Increments  equal ¢ per therm'!Q30+' Increments  equal ¢ per therm'!T30+' Increments  equal ¢ per therm'!W30+'[9]Allocation = % of revenue'!M30</f>
        <v>0.25839000000000001</v>
      </c>
      <c r="AJ30" s="224">
        <f>'Summary of Temporaries '!W30</f>
        <v>0.25839000000000001</v>
      </c>
      <c r="AK30" s="244">
        <f>[9]Permanents!F30</f>
        <v>0</v>
      </c>
      <c r="AL30" s="325">
        <f t="shared" si="18"/>
        <v>0</v>
      </c>
    </row>
    <row r="31" spans="1:38" x14ac:dyDescent="0.35">
      <c r="A31" s="234">
        <f t="shared" si="0"/>
        <v>25</v>
      </c>
      <c r="B31" s="234" t="s">
        <v>68</v>
      </c>
      <c r="C31" s="344" t="s">
        <v>61</v>
      </c>
      <c r="D31" s="323">
        <f>'[9]Washington volumes'!J31</f>
        <v>820212.7</v>
      </c>
      <c r="E31" s="343"/>
      <c r="F31" s="341">
        <v>1</v>
      </c>
      <c r="G31" s="323">
        <f t="shared" si="1"/>
        <v>820212.7</v>
      </c>
      <c r="H31" s="342">
        <f t="shared" si="2"/>
        <v>-0.14299000000000001</v>
      </c>
      <c r="I31" s="341">
        <v>1</v>
      </c>
      <c r="J31" s="323">
        <f t="shared" si="3"/>
        <v>820212.7</v>
      </c>
      <c r="K31" s="342">
        <f t="shared" si="4"/>
        <v>-2.7019999999999999E-2</v>
      </c>
      <c r="L31" s="341">
        <v>0</v>
      </c>
      <c r="M31" s="323">
        <f t="shared" si="5"/>
        <v>0</v>
      </c>
      <c r="N31" s="342">
        <f t="shared" si="6"/>
        <v>0</v>
      </c>
      <c r="O31" s="341">
        <v>0</v>
      </c>
      <c r="P31" s="323">
        <f t="shared" si="7"/>
        <v>0</v>
      </c>
      <c r="Q31" s="342">
        <f t="shared" si="8"/>
        <v>0</v>
      </c>
      <c r="R31" s="341">
        <v>0</v>
      </c>
      <c r="S31" s="323">
        <f t="shared" si="9"/>
        <v>0</v>
      </c>
      <c r="T31" s="342">
        <f t="shared" si="10"/>
        <v>0</v>
      </c>
      <c r="U31" s="341">
        <v>1</v>
      </c>
      <c r="V31" s="323">
        <v>629200.4</v>
      </c>
      <c r="W31" s="340">
        <f t="shared" si="19"/>
        <v>0.24073</v>
      </c>
      <c r="AA31" s="322">
        <f t="shared" si="11"/>
        <v>-117282.21397300001</v>
      </c>
      <c r="AB31" s="322">
        <f t="shared" si="12"/>
        <v>-22162.147153999998</v>
      </c>
      <c r="AC31" s="322">
        <f t="shared" si="13"/>
        <v>0</v>
      </c>
      <c r="AD31" s="322">
        <f t="shared" si="14"/>
        <v>0</v>
      </c>
      <c r="AE31" s="322">
        <f t="shared" si="15"/>
        <v>0</v>
      </c>
      <c r="AF31" s="322">
        <f t="shared" si="16"/>
        <v>197449.80327099998</v>
      </c>
      <c r="AG31" s="322">
        <f t="shared" si="17"/>
        <v>-139444.36112700001</v>
      </c>
      <c r="AI31" s="325">
        <f>'[9]Allocation = % of margin'!P31+'[9]Allocation = % of margin'!S31+'[9]Allocation = % of margin'!V31+'[9]Allocation = % of margin'!Y31+'[9]Allocation = % of margin'!AB31+'[9]Allocation = % of margin'!AE31+'[9]Allocation = % of margin'!AH31+'[9]Allocation = % of margin'!AK31+'[9]Allocation = % of margin'!AN31+' Increments  equal ¢ per therm'!H31+' Increments  equal ¢ per therm'!K31+' Increments  equal ¢ per therm'!N31+' Increments  equal ¢ per therm'!Q31+' Increments  equal ¢ per therm'!T31+' Increments  equal ¢ per therm'!W31+'[9]Allocation = % of revenue'!M31</f>
        <v>0.11219999999999998</v>
      </c>
      <c r="AJ31" s="224">
        <f>'Summary of Temporaries '!W31</f>
        <v>0.11216000000000004</v>
      </c>
      <c r="AK31" s="244">
        <f>[9]Permanents!F31</f>
        <v>4.0000000000000003E-5</v>
      </c>
      <c r="AL31" s="325">
        <f t="shared" si="18"/>
        <v>-5.7144230753564118E-17</v>
      </c>
    </row>
    <row r="32" spans="1:38" x14ac:dyDescent="0.35">
      <c r="A32" s="234">
        <f t="shared" si="0"/>
        <v>26</v>
      </c>
      <c r="B32" s="234"/>
      <c r="C32" s="344" t="s">
        <v>62</v>
      </c>
      <c r="D32" s="323">
        <f>'[9]Washington volumes'!J32</f>
        <v>926222.5</v>
      </c>
      <c r="E32" s="343"/>
      <c r="F32" s="341">
        <v>1</v>
      </c>
      <c r="G32" s="323">
        <f t="shared" si="1"/>
        <v>926222.5</v>
      </c>
      <c r="H32" s="342">
        <f t="shared" si="2"/>
        <v>-0.14299000000000001</v>
      </c>
      <c r="I32" s="341">
        <v>1</v>
      </c>
      <c r="J32" s="323">
        <f t="shared" si="3"/>
        <v>926222.5</v>
      </c>
      <c r="K32" s="342">
        <f t="shared" si="4"/>
        <v>-2.7019999999999999E-2</v>
      </c>
      <c r="L32" s="341">
        <v>0</v>
      </c>
      <c r="M32" s="323">
        <f t="shared" si="5"/>
        <v>0</v>
      </c>
      <c r="N32" s="342">
        <f t="shared" si="6"/>
        <v>0</v>
      </c>
      <c r="O32" s="341">
        <v>0</v>
      </c>
      <c r="P32" s="323">
        <f t="shared" si="7"/>
        <v>0</v>
      </c>
      <c r="Q32" s="342">
        <f t="shared" si="8"/>
        <v>0</v>
      </c>
      <c r="R32" s="341">
        <v>0</v>
      </c>
      <c r="S32" s="323">
        <f t="shared" si="9"/>
        <v>0</v>
      </c>
      <c r="T32" s="342">
        <f t="shared" si="10"/>
        <v>0</v>
      </c>
      <c r="U32" s="341">
        <v>1</v>
      </c>
      <c r="V32" s="323">
        <v>853171.49999999988</v>
      </c>
      <c r="W32" s="340">
        <f t="shared" si="19"/>
        <v>0.24073</v>
      </c>
      <c r="AA32" s="322">
        <f t="shared" si="11"/>
        <v>-132440.55527499999</v>
      </c>
      <c r="AB32" s="322">
        <f t="shared" si="12"/>
        <v>-25026.531950000001</v>
      </c>
      <c r="AC32" s="322">
        <f t="shared" si="13"/>
        <v>0</v>
      </c>
      <c r="AD32" s="322">
        <f t="shared" si="14"/>
        <v>0</v>
      </c>
      <c r="AE32" s="322">
        <f t="shared" si="15"/>
        <v>0</v>
      </c>
      <c r="AF32" s="322">
        <f t="shared" si="16"/>
        <v>222969.54242499999</v>
      </c>
      <c r="AG32" s="322">
        <f t="shared" si="17"/>
        <v>-157467.087225</v>
      </c>
      <c r="AI32" s="325">
        <f>'[9]Allocation = % of margin'!P32+'[9]Allocation = % of margin'!S32+'[9]Allocation = % of margin'!V32+'[9]Allocation = % of margin'!Y32+'[9]Allocation = % of margin'!AB32+'[9]Allocation = % of margin'!AE32+'[9]Allocation = % of margin'!AH32+'[9]Allocation = % of margin'!AK32+'[9]Allocation = % of margin'!AN32+' Increments  equal ¢ per therm'!H32+' Increments  equal ¢ per therm'!K32+' Increments  equal ¢ per therm'!N32+' Increments  equal ¢ per therm'!Q32+' Increments  equal ¢ per therm'!T32+' Increments  equal ¢ per therm'!W32+'[9]Allocation = % of revenue'!M32</f>
        <v>0.10784999999999999</v>
      </c>
      <c r="AJ32" s="224">
        <f>'Summary of Temporaries '!W32</f>
        <v>0.10781000000000002</v>
      </c>
      <c r="AK32" s="244">
        <f>[9]Permanents!F32</f>
        <v>4.0000000000000003E-5</v>
      </c>
      <c r="AL32" s="325">
        <f t="shared" si="18"/>
        <v>-2.9388655137935205E-17</v>
      </c>
    </row>
    <row r="33" spans="1:38" x14ac:dyDescent="0.35">
      <c r="A33" s="234">
        <f t="shared" si="0"/>
        <v>27</v>
      </c>
      <c r="B33" s="234"/>
      <c r="C33" s="344" t="s">
        <v>69</v>
      </c>
      <c r="D33" s="323">
        <f>'[9]Washington volumes'!J33</f>
        <v>323675.40000000002</v>
      </c>
      <c r="E33" s="343"/>
      <c r="F33" s="341">
        <v>1</v>
      </c>
      <c r="G33" s="323">
        <f t="shared" si="1"/>
        <v>323675.40000000002</v>
      </c>
      <c r="H33" s="342">
        <f t="shared" si="2"/>
        <v>-0.14299000000000001</v>
      </c>
      <c r="I33" s="341">
        <v>1</v>
      </c>
      <c r="J33" s="323">
        <f t="shared" si="3"/>
        <v>323675.40000000002</v>
      </c>
      <c r="K33" s="342">
        <f t="shared" si="4"/>
        <v>-2.7019999999999999E-2</v>
      </c>
      <c r="L33" s="341">
        <v>0</v>
      </c>
      <c r="M33" s="323">
        <f t="shared" si="5"/>
        <v>0</v>
      </c>
      <c r="N33" s="342">
        <f t="shared" si="6"/>
        <v>0</v>
      </c>
      <c r="O33" s="341">
        <v>0</v>
      </c>
      <c r="P33" s="323">
        <f t="shared" si="7"/>
        <v>0</v>
      </c>
      <c r="Q33" s="342">
        <f t="shared" si="8"/>
        <v>0</v>
      </c>
      <c r="R33" s="341">
        <v>0</v>
      </c>
      <c r="S33" s="323">
        <f t="shared" si="9"/>
        <v>0</v>
      </c>
      <c r="T33" s="342">
        <f t="shared" si="10"/>
        <v>0</v>
      </c>
      <c r="U33" s="341">
        <v>1</v>
      </c>
      <c r="V33" s="323">
        <v>334173.40000000002</v>
      </c>
      <c r="W33" s="340">
        <f t="shared" si="19"/>
        <v>0.24073</v>
      </c>
      <c r="AA33" s="322">
        <f t="shared" si="11"/>
        <v>-46282.345446000007</v>
      </c>
      <c r="AB33" s="322">
        <f t="shared" si="12"/>
        <v>-8745.7093079999995</v>
      </c>
      <c r="AC33" s="322">
        <f t="shared" si="13"/>
        <v>0</v>
      </c>
      <c r="AD33" s="322">
        <f t="shared" si="14"/>
        <v>0</v>
      </c>
      <c r="AE33" s="322">
        <f t="shared" si="15"/>
        <v>0</v>
      </c>
      <c r="AF33" s="322">
        <f t="shared" si="16"/>
        <v>77918.379042</v>
      </c>
      <c r="AG33" s="322">
        <f t="shared" si="17"/>
        <v>-55028.054754000004</v>
      </c>
      <c r="AI33" s="325">
        <f>'[9]Allocation = % of margin'!P33+'[9]Allocation = % of margin'!S33+'[9]Allocation = % of margin'!V33+'[9]Allocation = % of margin'!Y33+'[9]Allocation = % of margin'!AB33+'[9]Allocation = % of margin'!AE33+'[9]Allocation = % of margin'!AH33+'[9]Allocation = % of margin'!AK33+'[9]Allocation = % of margin'!AN33+' Increments  equal ¢ per therm'!H33+' Increments  equal ¢ per therm'!K33+' Increments  equal ¢ per therm'!N33+' Increments  equal ¢ per therm'!Q33+' Increments  equal ¢ per therm'!T33+' Increments  equal ¢ per therm'!W33+'[9]Allocation = % of revenue'!M33</f>
        <v>9.9199999999999997E-2</v>
      </c>
      <c r="AJ33" s="224">
        <f>'Summary of Temporaries '!W33</f>
        <v>9.916999999999998E-2</v>
      </c>
      <c r="AK33" s="244">
        <f>[9]Permanents!F33</f>
        <v>3.0000000000000001E-5</v>
      </c>
      <c r="AL33" s="325">
        <f t="shared" si="18"/>
        <v>1.6124119183932861E-17</v>
      </c>
    </row>
    <row r="34" spans="1:38" x14ac:dyDescent="0.35">
      <c r="A34" s="234">
        <f t="shared" si="0"/>
        <v>28</v>
      </c>
      <c r="B34" s="234"/>
      <c r="C34" s="344" t="s">
        <v>70</v>
      </c>
      <c r="D34" s="323">
        <f>'[9]Washington volumes'!J34</f>
        <v>84982.8</v>
      </c>
      <c r="E34" s="343"/>
      <c r="F34" s="341">
        <v>1</v>
      </c>
      <c r="G34" s="323">
        <f t="shared" si="1"/>
        <v>84982.8</v>
      </c>
      <c r="H34" s="342">
        <f t="shared" si="2"/>
        <v>-0.14299000000000001</v>
      </c>
      <c r="I34" s="341">
        <v>1</v>
      </c>
      <c r="J34" s="323">
        <f t="shared" si="3"/>
        <v>84982.8</v>
      </c>
      <c r="K34" s="342">
        <f t="shared" si="4"/>
        <v>-2.7019999999999999E-2</v>
      </c>
      <c r="L34" s="341">
        <v>0</v>
      </c>
      <c r="M34" s="323">
        <f t="shared" si="5"/>
        <v>0</v>
      </c>
      <c r="N34" s="342">
        <f t="shared" si="6"/>
        <v>0</v>
      </c>
      <c r="O34" s="341">
        <v>0</v>
      </c>
      <c r="P34" s="323">
        <f t="shared" si="7"/>
        <v>0</v>
      </c>
      <c r="Q34" s="342">
        <f t="shared" si="8"/>
        <v>0</v>
      </c>
      <c r="R34" s="341">
        <v>0</v>
      </c>
      <c r="S34" s="323">
        <f t="shared" si="9"/>
        <v>0</v>
      </c>
      <c r="T34" s="342">
        <f t="shared" si="10"/>
        <v>0</v>
      </c>
      <c r="U34" s="341">
        <v>1</v>
      </c>
      <c r="V34" s="323">
        <v>73268.400000000009</v>
      </c>
      <c r="W34" s="340">
        <f t="shared" si="19"/>
        <v>0.24073</v>
      </c>
      <c r="AA34" s="322">
        <f t="shared" si="11"/>
        <v>-12151.690572000001</v>
      </c>
      <c r="AB34" s="322">
        <f t="shared" si="12"/>
        <v>-2296.2352559999999</v>
      </c>
      <c r="AC34" s="322">
        <f t="shared" si="13"/>
        <v>0</v>
      </c>
      <c r="AD34" s="322">
        <f t="shared" si="14"/>
        <v>0</v>
      </c>
      <c r="AE34" s="322">
        <f t="shared" si="15"/>
        <v>0</v>
      </c>
      <c r="AF34" s="322">
        <f t="shared" si="16"/>
        <v>20457.909444000001</v>
      </c>
      <c r="AG34" s="322">
        <f t="shared" si="17"/>
        <v>-14447.925828000001</v>
      </c>
      <c r="AI34" s="325">
        <f>'[9]Allocation = % of margin'!P34+'[9]Allocation = % of margin'!S34+'[9]Allocation = % of margin'!V34+'[9]Allocation = % of margin'!Y34+'[9]Allocation = % of margin'!AB34+'[9]Allocation = % of margin'!AE34+'[9]Allocation = % of margin'!AH34+'[9]Allocation = % of margin'!AK34+'[9]Allocation = % of margin'!AN34+' Increments  equal ¢ per therm'!H34+' Increments  equal ¢ per therm'!K34+' Increments  equal ¢ per therm'!N34+' Increments  equal ¢ per therm'!Q34+' Increments  equal ¢ per therm'!T34+' Increments  equal ¢ per therm'!W34+'[9]Allocation = % of revenue'!M34</f>
        <v>9.3520000000000006E-2</v>
      </c>
      <c r="AJ34" s="224">
        <f>'Summary of Temporaries '!W34</f>
        <v>9.3500000000000028E-2</v>
      </c>
      <c r="AK34" s="244">
        <f>[9]Permanents!F34</f>
        <v>2.0000000000000002E-5</v>
      </c>
      <c r="AL34" s="325">
        <f t="shared" si="18"/>
        <v>-2.1633221472874831E-17</v>
      </c>
    </row>
    <row r="35" spans="1:38" x14ac:dyDescent="0.35">
      <c r="A35" s="234">
        <f t="shared" si="0"/>
        <v>29</v>
      </c>
      <c r="B35" s="234"/>
      <c r="C35" s="344" t="s">
        <v>71</v>
      </c>
      <c r="D35" s="323">
        <f>'[9]Washington volumes'!J35</f>
        <v>0</v>
      </c>
      <c r="E35" s="343"/>
      <c r="F35" s="341">
        <v>1</v>
      </c>
      <c r="G35" s="323">
        <f t="shared" si="1"/>
        <v>0</v>
      </c>
      <c r="H35" s="342">
        <f t="shared" si="2"/>
        <v>-0.14299000000000001</v>
      </c>
      <c r="I35" s="341">
        <v>1</v>
      </c>
      <c r="J35" s="323">
        <f t="shared" si="3"/>
        <v>0</v>
      </c>
      <c r="K35" s="342">
        <f t="shared" si="4"/>
        <v>-2.7019999999999999E-2</v>
      </c>
      <c r="L35" s="341">
        <v>0</v>
      </c>
      <c r="M35" s="323">
        <f t="shared" si="5"/>
        <v>0</v>
      </c>
      <c r="N35" s="342">
        <f t="shared" si="6"/>
        <v>0</v>
      </c>
      <c r="O35" s="341">
        <v>0</v>
      </c>
      <c r="P35" s="323">
        <f t="shared" si="7"/>
        <v>0</v>
      </c>
      <c r="Q35" s="342">
        <f t="shared" si="8"/>
        <v>0</v>
      </c>
      <c r="R35" s="341">
        <v>0</v>
      </c>
      <c r="S35" s="323">
        <f t="shared" si="9"/>
        <v>0</v>
      </c>
      <c r="T35" s="342">
        <f t="shared" si="10"/>
        <v>0</v>
      </c>
      <c r="U35" s="341">
        <v>1</v>
      </c>
      <c r="V35" s="323">
        <v>0</v>
      </c>
      <c r="W35" s="340">
        <f t="shared" si="19"/>
        <v>0.24073</v>
      </c>
      <c r="AA35" s="322">
        <f t="shared" si="11"/>
        <v>0</v>
      </c>
      <c r="AB35" s="322">
        <f t="shared" si="12"/>
        <v>0</v>
      </c>
      <c r="AC35" s="322">
        <f t="shared" si="13"/>
        <v>0</v>
      </c>
      <c r="AD35" s="322">
        <f t="shared" si="14"/>
        <v>0</v>
      </c>
      <c r="AE35" s="322">
        <f t="shared" si="15"/>
        <v>0</v>
      </c>
      <c r="AF35" s="322">
        <f t="shared" si="16"/>
        <v>0</v>
      </c>
      <c r="AG35" s="322">
        <f t="shared" si="17"/>
        <v>0</v>
      </c>
      <c r="AI35" s="325">
        <f>'[9]Allocation = % of margin'!P35+'[9]Allocation = % of margin'!S35+'[9]Allocation = % of margin'!V35+'[9]Allocation = % of margin'!Y35+'[9]Allocation = % of margin'!AB35+'[9]Allocation = % of margin'!AE35+'[9]Allocation = % of margin'!AH35+'[9]Allocation = % of margin'!AK35+'[9]Allocation = % of margin'!AN35+' Increments  equal ¢ per therm'!H35+' Increments  equal ¢ per therm'!K35+' Increments  equal ¢ per therm'!N35+' Increments  equal ¢ per therm'!Q35+' Increments  equal ¢ per therm'!T35+' Increments  equal ¢ per therm'!W35+'[9]Allocation = % of revenue'!M35</f>
        <v>8.589999999999999E-2</v>
      </c>
      <c r="AJ35" s="224">
        <f>'Summary of Temporaries '!W35</f>
        <v>8.5880000000000012E-2</v>
      </c>
      <c r="AK35" s="244">
        <f>[9]Permanents!F35</f>
        <v>2.0000000000000002E-5</v>
      </c>
      <c r="AL35" s="325">
        <f t="shared" si="18"/>
        <v>-2.1633221472874831E-17</v>
      </c>
    </row>
    <row r="36" spans="1:38" x14ac:dyDescent="0.35">
      <c r="A36" s="234">
        <f t="shared" si="0"/>
        <v>30</v>
      </c>
      <c r="B36" s="338"/>
      <c r="C36" s="339" t="s">
        <v>72</v>
      </c>
      <c r="D36" s="333">
        <f>'[9]Washington volumes'!J36</f>
        <v>0</v>
      </c>
      <c r="E36" s="336"/>
      <c r="F36" s="334">
        <v>1</v>
      </c>
      <c r="G36" s="333">
        <f t="shared" si="1"/>
        <v>0</v>
      </c>
      <c r="H36" s="335">
        <f t="shared" si="2"/>
        <v>-0.14299000000000001</v>
      </c>
      <c r="I36" s="334">
        <v>1</v>
      </c>
      <c r="J36" s="333">
        <f t="shared" si="3"/>
        <v>0</v>
      </c>
      <c r="K36" s="335">
        <f t="shared" si="4"/>
        <v>-2.7019999999999999E-2</v>
      </c>
      <c r="L36" s="334">
        <v>0</v>
      </c>
      <c r="M36" s="333">
        <f t="shared" si="5"/>
        <v>0</v>
      </c>
      <c r="N36" s="335">
        <f t="shared" si="6"/>
        <v>0</v>
      </c>
      <c r="O36" s="334">
        <v>0</v>
      </c>
      <c r="P36" s="333">
        <f t="shared" si="7"/>
        <v>0</v>
      </c>
      <c r="Q36" s="335">
        <f t="shared" si="8"/>
        <v>0</v>
      </c>
      <c r="R36" s="334">
        <v>0</v>
      </c>
      <c r="S36" s="333">
        <f t="shared" si="9"/>
        <v>0</v>
      </c>
      <c r="T36" s="335">
        <f t="shared" si="10"/>
        <v>0</v>
      </c>
      <c r="U36" s="334">
        <v>1</v>
      </c>
      <c r="V36" s="333">
        <v>0</v>
      </c>
      <c r="W36" s="332">
        <f t="shared" si="19"/>
        <v>0.24073</v>
      </c>
      <c r="AA36" s="322">
        <f t="shared" si="11"/>
        <v>0</v>
      </c>
      <c r="AB36" s="322">
        <f t="shared" si="12"/>
        <v>0</v>
      </c>
      <c r="AC36" s="322">
        <f t="shared" si="13"/>
        <v>0</v>
      </c>
      <c r="AD36" s="322">
        <f t="shared" si="14"/>
        <v>0</v>
      </c>
      <c r="AE36" s="322">
        <f t="shared" si="15"/>
        <v>0</v>
      </c>
      <c r="AF36" s="322">
        <f t="shared" si="16"/>
        <v>0</v>
      </c>
      <c r="AG36" s="322">
        <f t="shared" si="17"/>
        <v>0</v>
      </c>
      <c r="AI36" s="325">
        <f>'[9]Allocation = % of margin'!P36+'[9]Allocation = % of margin'!S36+'[9]Allocation = % of margin'!V36+'[9]Allocation = % of margin'!Y36+'[9]Allocation = % of margin'!AB36+'[9]Allocation = % of margin'!AE36+'[9]Allocation = % of margin'!AH36+'[9]Allocation = % of margin'!AK36+'[9]Allocation = % of margin'!AN36+' Increments  equal ¢ per therm'!H36+' Increments  equal ¢ per therm'!K36+' Increments  equal ¢ per therm'!N36+' Increments  equal ¢ per therm'!Q36+' Increments  equal ¢ per therm'!T36+' Increments  equal ¢ per therm'!W36+'[9]Allocation = % of revenue'!M36</f>
        <v>7.6430000000000012E-2</v>
      </c>
      <c r="AJ36" s="224">
        <f>'Summary of Temporaries '!W36</f>
        <v>7.6420000000000016E-2</v>
      </c>
      <c r="AK36" s="244">
        <f>[9]Permanents!F36</f>
        <v>1.0000000000000001E-5</v>
      </c>
      <c r="AL36" s="325">
        <f t="shared" si="18"/>
        <v>-3.877716832530187E-18</v>
      </c>
    </row>
    <row r="37" spans="1:38" x14ac:dyDescent="0.35">
      <c r="A37" s="234">
        <f t="shared" si="0"/>
        <v>31</v>
      </c>
      <c r="B37" s="234" t="s">
        <v>73</v>
      </c>
      <c r="C37" s="344" t="s">
        <v>61</v>
      </c>
      <c r="D37" s="323">
        <f>'[9]Washington volumes'!J37</f>
        <v>887029.75709862076</v>
      </c>
      <c r="E37" s="343"/>
      <c r="F37" s="341">
        <v>1</v>
      </c>
      <c r="G37" s="323">
        <f t="shared" si="1"/>
        <v>887029.75709862076</v>
      </c>
      <c r="H37" s="342">
        <f t="shared" si="2"/>
        <v>-0.14299000000000001</v>
      </c>
      <c r="I37" s="341">
        <v>1</v>
      </c>
      <c r="J37" s="323">
        <f t="shared" si="3"/>
        <v>887029.75709862076</v>
      </c>
      <c r="K37" s="342">
        <f t="shared" si="4"/>
        <v>-2.7019999999999999E-2</v>
      </c>
      <c r="L37" s="341">
        <v>0</v>
      </c>
      <c r="M37" s="323">
        <f t="shared" si="5"/>
        <v>0</v>
      </c>
      <c r="N37" s="342">
        <f t="shared" si="6"/>
        <v>0</v>
      </c>
      <c r="O37" s="341">
        <v>0</v>
      </c>
      <c r="P37" s="323">
        <f t="shared" si="7"/>
        <v>0</v>
      </c>
      <c r="Q37" s="342">
        <f t="shared" si="8"/>
        <v>0</v>
      </c>
      <c r="R37" s="341">
        <v>1</v>
      </c>
      <c r="S37" s="323">
        <f t="shared" si="9"/>
        <v>887029.75709862076</v>
      </c>
      <c r="T37" s="342">
        <f t="shared" si="10"/>
        <v>3.5E-4</v>
      </c>
      <c r="U37" s="341">
        <v>1</v>
      </c>
      <c r="V37" s="323">
        <v>892387.80000000016</v>
      </c>
      <c r="W37" s="340">
        <f t="shared" si="19"/>
        <v>0.24073</v>
      </c>
      <c r="AA37" s="322">
        <f t="shared" si="11"/>
        <v>-126836.38496753179</v>
      </c>
      <c r="AB37" s="322">
        <f t="shared" si="12"/>
        <v>-23967.544036804731</v>
      </c>
      <c r="AC37" s="322">
        <f t="shared" si="13"/>
        <v>0</v>
      </c>
      <c r="AD37" s="322">
        <f t="shared" si="14"/>
        <v>0</v>
      </c>
      <c r="AE37" s="322">
        <f t="shared" si="15"/>
        <v>310.46041498451729</v>
      </c>
      <c r="AF37" s="322">
        <f t="shared" si="16"/>
        <v>213534.67342635099</v>
      </c>
      <c r="AG37" s="322">
        <f t="shared" si="17"/>
        <v>-150493.46858935201</v>
      </c>
      <c r="AI37" s="325">
        <f>'[9]Allocation = % of margin'!P37+'[9]Allocation = % of margin'!S37+'[9]Allocation = % of margin'!V37+'[9]Allocation = % of margin'!Y37+'[9]Allocation = % of margin'!AB37+'[9]Allocation = % of margin'!AE37+'[9]Allocation = % of margin'!AH37+'[9]Allocation = % of margin'!AK37+'[9]Allocation = % of margin'!AN37+' Increments  equal ¢ per therm'!H37+' Increments  equal ¢ per therm'!K37+' Increments  equal ¢ per therm'!N37+' Increments  equal ¢ per therm'!Q37+' Increments  equal ¢ per therm'!T37+' Increments  equal ¢ per therm'!W37+'[9]Allocation = % of revenue'!M37</f>
        <v>8.7329999999999991E-2</v>
      </c>
      <c r="AJ37" s="224">
        <f>'Summary of Temporaries '!W37</f>
        <v>8.7280000000000024E-2</v>
      </c>
      <c r="AK37" s="244">
        <f>[9]Permanents!F37</f>
        <v>5.0000000000000002E-5</v>
      </c>
      <c r="AL37" s="325">
        <f t="shared" si="18"/>
        <v>-3.3264677904570883E-17</v>
      </c>
    </row>
    <row r="38" spans="1:38" x14ac:dyDescent="0.35">
      <c r="A38" s="234">
        <f t="shared" si="0"/>
        <v>32</v>
      </c>
      <c r="B38" s="234"/>
      <c r="C38" s="344" t="s">
        <v>62</v>
      </c>
      <c r="D38" s="323">
        <f>'[9]Washington volumes'!J38</f>
        <v>668287.37243846827</v>
      </c>
      <c r="E38" s="343"/>
      <c r="F38" s="341">
        <v>1</v>
      </c>
      <c r="G38" s="323">
        <f t="shared" si="1"/>
        <v>668287.37243846827</v>
      </c>
      <c r="H38" s="342">
        <f t="shared" si="2"/>
        <v>-0.14299000000000001</v>
      </c>
      <c r="I38" s="341">
        <v>1</v>
      </c>
      <c r="J38" s="323">
        <f t="shared" si="3"/>
        <v>668287.37243846827</v>
      </c>
      <c r="K38" s="342">
        <f t="shared" si="4"/>
        <v>-2.7019999999999999E-2</v>
      </c>
      <c r="L38" s="341">
        <v>0</v>
      </c>
      <c r="M38" s="323">
        <f t="shared" si="5"/>
        <v>0</v>
      </c>
      <c r="N38" s="342">
        <f t="shared" si="6"/>
        <v>0</v>
      </c>
      <c r="O38" s="341">
        <v>0</v>
      </c>
      <c r="P38" s="323">
        <f t="shared" si="7"/>
        <v>0</v>
      </c>
      <c r="Q38" s="342">
        <f t="shared" si="8"/>
        <v>0</v>
      </c>
      <c r="R38" s="341">
        <v>1</v>
      </c>
      <c r="S38" s="323">
        <f t="shared" si="9"/>
        <v>668287.37243846827</v>
      </c>
      <c r="T38" s="342">
        <f t="shared" si="10"/>
        <v>3.5E-4</v>
      </c>
      <c r="U38" s="341">
        <v>1</v>
      </c>
      <c r="V38" s="323">
        <v>653690.10000000009</v>
      </c>
      <c r="W38" s="340">
        <f t="shared" si="19"/>
        <v>0.24073</v>
      </c>
      <c r="AA38" s="322">
        <f t="shared" si="11"/>
        <v>-95558.411384976585</v>
      </c>
      <c r="AB38" s="322">
        <f t="shared" si="12"/>
        <v>-18057.124803287414</v>
      </c>
      <c r="AC38" s="322">
        <f t="shared" si="13"/>
        <v>0</v>
      </c>
      <c r="AD38" s="322">
        <f t="shared" si="14"/>
        <v>0</v>
      </c>
      <c r="AE38" s="322">
        <f t="shared" si="15"/>
        <v>233.90058035346388</v>
      </c>
      <c r="AF38" s="322">
        <f t="shared" si="16"/>
        <v>160876.81916711247</v>
      </c>
      <c r="AG38" s="322">
        <f t="shared" si="17"/>
        <v>-113381.63560791053</v>
      </c>
      <c r="AI38" s="325">
        <f>'[9]Allocation = % of margin'!P38+'[9]Allocation = % of margin'!S38+'[9]Allocation = % of margin'!V38+'[9]Allocation = % of margin'!Y38+'[9]Allocation = % of margin'!AB38+'[9]Allocation = % of margin'!AE38+'[9]Allocation = % of margin'!AH38+'[9]Allocation = % of margin'!AK38+'[9]Allocation = % of margin'!AN38+' Increments  equal ¢ per therm'!H38+' Increments  equal ¢ per therm'!K38+' Increments  equal ¢ per therm'!N38+' Increments  equal ¢ per therm'!Q38+' Increments  equal ¢ per therm'!T38+' Increments  equal ¢ per therm'!W38+'[9]Allocation = % of revenue'!M38</f>
        <v>8.5620000000000002E-2</v>
      </c>
      <c r="AJ38" s="224">
        <f>'Summary of Temporaries '!W38</f>
        <v>8.5579999999999989E-2</v>
      </c>
      <c r="AK38" s="244">
        <f>[9]Permanents!F38</f>
        <v>4.0000000000000003E-5</v>
      </c>
      <c r="AL38" s="325">
        <f t="shared" si="18"/>
        <v>1.2244708285508166E-17</v>
      </c>
    </row>
    <row r="39" spans="1:38" x14ac:dyDescent="0.35">
      <c r="A39" s="234">
        <f t="shared" si="0"/>
        <v>33</v>
      </c>
      <c r="B39" s="234"/>
      <c r="C39" s="344" t="s">
        <v>69</v>
      </c>
      <c r="D39" s="323">
        <f>'[9]Washington volumes'!J39</f>
        <v>109047.67533172015</v>
      </c>
      <c r="E39" s="343"/>
      <c r="F39" s="341">
        <v>1</v>
      </c>
      <c r="G39" s="323">
        <f t="shared" si="1"/>
        <v>109047.67533172015</v>
      </c>
      <c r="H39" s="342">
        <f t="shared" si="2"/>
        <v>-0.14299000000000001</v>
      </c>
      <c r="I39" s="341">
        <v>1</v>
      </c>
      <c r="J39" s="323">
        <f t="shared" si="3"/>
        <v>109047.67533172015</v>
      </c>
      <c r="K39" s="342">
        <f t="shared" si="4"/>
        <v>-2.7019999999999999E-2</v>
      </c>
      <c r="L39" s="341">
        <v>0</v>
      </c>
      <c r="M39" s="323">
        <f t="shared" si="5"/>
        <v>0</v>
      </c>
      <c r="N39" s="342">
        <f t="shared" si="6"/>
        <v>0</v>
      </c>
      <c r="O39" s="341">
        <v>0</v>
      </c>
      <c r="P39" s="323">
        <f t="shared" si="7"/>
        <v>0</v>
      </c>
      <c r="Q39" s="342">
        <f t="shared" si="8"/>
        <v>0</v>
      </c>
      <c r="R39" s="341">
        <v>1</v>
      </c>
      <c r="S39" s="323">
        <f t="shared" si="9"/>
        <v>109047.67533172015</v>
      </c>
      <c r="T39" s="342">
        <f t="shared" si="10"/>
        <v>3.5E-4</v>
      </c>
      <c r="U39" s="341">
        <v>1</v>
      </c>
      <c r="V39" s="323">
        <v>94171.5</v>
      </c>
      <c r="W39" s="340">
        <f t="shared" si="19"/>
        <v>0.24073</v>
      </c>
      <c r="AA39" s="322">
        <f t="shared" si="11"/>
        <v>-15592.727095682665</v>
      </c>
      <c r="AB39" s="322">
        <f t="shared" si="12"/>
        <v>-2946.4681874630783</v>
      </c>
      <c r="AC39" s="322">
        <f t="shared" si="13"/>
        <v>0</v>
      </c>
      <c r="AD39" s="322">
        <f t="shared" si="14"/>
        <v>0</v>
      </c>
      <c r="AE39" s="322">
        <f t="shared" si="15"/>
        <v>38.166686366102056</v>
      </c>
      <c r="AF39" s="322">
        <f t="shared" si="16"/>
        <v>26251.046882604991</v>
      </c>
      <c r="AG39" s="322">
        <f t="shared" si="17"/>
        <v>-18501.028596779641</v>
      </c>
      <c r="AI39" s="325">
        <f>'[9]Allocation = % of margin'!P39+'[9]Allocation = % of margin'!S39+'[9]Allocation = % of margin'!V39+'[9]Allocation = % of margin'!Y39+'[9]Allocation = % of margin'!AB39+'[9]Allocation = % of margin'!AE39+'[9]Allocation = % of margin'!AH39+'[9]Allocation = % of margin'!AK39+'[9]Allocation = % of margin'!AN39+' Increments  equal ¢ per therm'!H39+' Increments  equal ¢ per therm'!K39+' Increments  equal ¢ per therm'!N39+' Increments  equal ¢ per therm'!Q39+' Increments  equal ¢ per therm'!T39+' Increments  equal ¢ per therm'!W39+'[9]Allocation = % of revenue'!M39</f>
        <v>8.2210000000000005E-2</v>
      </c>
      <c r="AJ39" s="224">
        <f>'Summary of Temporaries '!W39</f>
        <v>8.2180000000000031E-2</v>
      </c>
      <c r="AK39" s="244">
        <f>[9]Permanents!F39</f>
        <v>3.0000000000000001E-5</v>
      </c>
      <c r="AL39" s="325">
        <f t="shared" si="18"/>
        <v>-2.5509244239510509E-17</v>
      </c>
    </row>
    <row r="40" spans="1:38" x14ac:dyDescent="0.35">
      <c r="A40" s="234">
        <f t="shared" ref="A40:A71" si="20">+A39+1</f>
        <v>34</v>
      </c>
      <c r="B40" s="234"/>
      <c r="C40" s="344" t="s">
        <v>70</v>
      </c>
      <c r="D40" s="323">
        <f>'[9]Washington volumes'!J40</f>
        <v>24232.772003191028</v>
      </c>
      <c r="E40" s="343"/>
      <c r="F40" s="341">
        <v>1</v>
      </c>
      <c r="G40" s="323">
        <f t="shared" si="1"/>
        <v>24232.772003191028</v>
      </c>
      <c r="H40" s="342">
        <f t="shared" si="2"/>
        <v>-0.14299000000000001</v>
      </c>
      <c r="I40" s="341">
        <v>1</v>
      </c>
      <c r="J40" s="323">
        <f t="shared" si="3"/>
        <v>24232.772003191028</v>
      </c>
      <c r="K40" s="342">
        <f t="shared" si="4"/>
        <v>-2.7019999999999999E-2</v>
      </c>
      <c r="L40" s="341">
        <v>0</v>
      </c>
      <c r="M40" s="323">
        <f t="shared" si="5"/>
        <v>0</v>
      </c>
      <c r="N40" s="342">
        <f t="shared" si="6"/>
        <v>0</v>
      </c>
      <c r="O40" s="341">
        <v>0</v>
      </c>
      <c r="P40" s="323">
        <f t="shared" si="7"/>
        <v>0</v>
      </c>
      <c r="Q40" s="342">
        <f t="shared" si="8"/>
        <v>0</v>
      </c>
      <c r="R40" s="341">
        <v>1</v>
      </c>
      <c r="S40" s="323">
        <f t="shared" si="9"/>
        <v>24232.772003191028</v>
      </c>
      <c r="T40" s="342">
        <f t="shared" si="10"/>
        <v>3.5E-4</v>
      </c>
      <c r="U40" s="341">
        <v>1</v>
      </c>
      <c r="V40" s="323">
        <v>11180.4</v>
      </c>
      <c r="W40" s="340">
        <f t="shared" si="19"/>
        <v>0.24073</v>
      </c>
      <c r="AA40" s="322">
        <f t="shared" si="11"/>
        <v>-3465.0440687362852</v>
      </c>
      <c r="AB40" s="322">
        <f t="shared" si="12"/>
        <v>-654.76949952622158</v>
      </c>
      <c r="AC40" s="322">
        <f t="shared" si="13"/>
        <v>0</v>
      </c>
      <c r="AD40" s="322">
        <f t="shared" si="14"/>
        <v>0</v>
      </c>
      <c r="AE40" s="322">
        <f t="shared" si="15"/>
        <v>8.4814702011168599</v>
      </c>
      <c r="AF40" s="322">
        <f t="shared" si="16"/>
        <v>5833.5552043281759</v>
      </c>
      <c r="AG40" s="322">
        <f t="shared" si="17"/>
        <v>-4111.3320980613898</v>
      </c>
      <c r="AI40" s="325">
        <f>'[9]Allocation = % of margin'!P40+'[9]Allocation = % of margin'!S40+'[9]Allocation = % of margin'!V40+'[9]Allocation = % of margin'!Y40+'[9]Allocation = % of margin'!AB40+'[9]Allocation = % of margin'!AE40+'[9]Allocation = % of margin'!AH40+'[9]Allocation = % of margin'!AK40+'[9]Allocation = % of margin'!AN40+' Increments  equal ¢ per therm'!H40+' Increments  equal ¢ per therm'!K40+' Increments  equal ¢ per therm'!N40+' Increments  equal ¢ per therm'!Q40+' Increments  equal ¢ per therm'!T40+' Increments  equal ¢ per therm'!W40+'[9]Allocation = % of revenue'!M40</f>
        <v>7.9999999999999988E-2</v>
      </c>
      <c r="AJ40" s="224">
        <f>'Summary of Temporaries '!W40</f>
        <v>7.9979999999999996E-2</v>
      </c>
      <c r="AK40" s="244">
        <f>[9]Permanents!F40</f>
        <v>2.0000000000000002E-5</v>
      </c>
      <c r="AL40" s="325">
        <f t="shared" si="18"/>
        <v>-7.7554336650603739E-18</v>
      </c>
    </row>
    <row r="41" spans="1:38" x14ac:dyDescent="0.35">
      <c r="A41" s="234">
        <f t="shared" si="20"/>
        <v>35</v>
      </c>
      <c r="B41" s="234"/>
      <c r="C41" s="344" t="s">
        <v>71</v>
      </c>
      <c r="D41" s="323">
        <f>'[9]Washington volumes'!J41</f>
        <v>0</v>
      </c>
      <c r="E41" s="343"/>
      <c r="F41" s="341">
        <v>1</v>
      </c>
      <c r="G41" s="323">
        <f t="shared" si="1"/>
        <v>0</v>
      </c>
      <c r="H41" s="342">
        <f t="shared" si="2"/>
        <v>-0.14299000000000001</v>
      </c>
      <c r="I41" s="341">
        <v>1</v>
      </c>
      <c r="J41" s="323">
        <f t="shared" si="3"/>
        <v>0</v>
      </c>
      <c r="K41" s="342">
        <f t="shared" si="4"/>
        <v>-2.7019999999999999E-2</v>
      </c>
      <c r="L41" s="341">
        <v>0</v>
      </c>
      <c r="M41" s="323">
        <f t="shared" si="5"/>
        <v>0</v>
      </c>
      <c r="N41" s="342">
        <f t="shared" si="6"/>
        <v>0</v>
      </c>
      <c r="O41" s="341">
        <v>0</v>
      </c>
      <c r="P41" s="323">
        <f t="shared" si="7"/>
        <v>0</v>
      </c>
      <c r="Q41" s="342">
        <f t="shared" si="8"/>
        <v>0</v>
      </c>
      <c r="R41" s="341">
        <v>1</v>
      </c>
      <c r="S41" s="323">
        <f t="shared" si="9"/>
        <v>0</v>
      </c>
      <c r="T41" s="342">
        <f t="shared" si="10"/>
        <v>3.5E-4</v>
      </c>
      <c r="U41" s="341">
        <v>1</v>
      </c>
      <c r="V41" s="323">
        <v>0</v>
      </c>
      <c r="W41" s="340">
        <f t="shared" si="19"/>
        <v>0.24073</v>
      </c>
      <c r="AA41" s="322">
        <f t="shared" si="11"/>
        <v>0</v>
      </c>
      <c r="AB41" s="322">
        <f t="shared" si="12"/>
        <v>0</v>
      </c>
      <c r="AC41" s="322">
        <f t="shared" si="13"/>
        <v>0</v>
      </c>
      <c r="AD41" s="322">
        <f t="shared" si="14"/>
        <v>0</v>
      </c>
      <c r="AE41" s="322">
        <f t="shared" si="15"/>
        <v>0</v>
      </c>
      <c r="AF41" s="322">
        <f t="shared" si="16"/>
        <v>0</v>
      </c>
      <c r="AG41" s="322">
        <f t="shared" si="17"/>
        <v>0</v>
      </c>
      <c r="AI41" s="325">
        <f>'[9]Allocation = % of margin'!P41+'[9]Allocation = % of margin'!S41+'[9]Allocation = % of margin'!V41+'[9]Allocation = % of margin'!Y41+'[9]Allocation = % of margin'!AB41+'[9]Allocation = % of margin'!AE41+'[9]Allocation = % of margin'!AH41+'[9]Allocation = % of margin'!AK41+'[9]Allocation = % of margin'!AN41+' Increments  equal ¢ per therm'!H41+' Increments  equal ¢ per therm'!K41+' Increments  equal ¢ per therm'!N41+' Increments  equal ¢ per therm'!Q41+' Increments  equal ¢ per therm'!T41+' Increments  equal ¢ per therm'!W41+'[9]Allocation = % of revenue'!M41</f>
        <v>7.7020000000000005E-2</v>
      </c>
      <c r="AJ41" s="224">
        <f>'Summary of Temporaries '!W41</f>
        <v>7.7000000000000013E-2</v>
      </c>
      <c r="AK41" s="244">
        <f>[9]Permanents!F41</f>
        <v>2.0000000000000002E-5</v>
      </c>
      <c r="AL41" s="325">
        <f t="shared" si="18"/>
        <v>-7.7554336650603739E-18</v>
      </c>
    </row>
    <row r="42" spans="1:38" x14ac:dyDescent="0.35">
      <c r="A42" s="234">
        <f t="shared" si="20"/>
        <v>36</v>
      </c>
      <c r="B42" s="338"/>
      <c r="C42" s="339" t="s">
        <v>72</v>
      </c>
      <c r="D42" s="333">
        <f>'[9]Washington volumes'!J42</f>
        <v>0</v>
      </c>
      <c r="E42" s="336"/>
      <c r="F42" s="334">
        <v>1</v>
      </c>
      <c r="G42" s="333">
        <f t="shared" si="1"/>
        <v>0</v>
      </c>
      <c r="H42" s="335">
        <f t="shared" si="2"/>
        <v>-0.14299000000000001</v>
      </c>
      <c r="I42" s="334">
        <v>1</v>
      </c>
      <c r="J42" s="323">
        <f t="shared" si="3"/>
        <v>0</v>
      </c>
      <c r="K42" s="335">
        <f t="shared" si="4"/>
        <v>-2.7019999999999999E-2</v>
      </c>
      <c r="L42" s="334">
        <v>0</v>
      </c>
      <c r="M42" s="333">
        <f t="shared" si="5"/>
        <v>0</v>
      </c>
      <c r="N42" s="335">
        <f t="shared" si="6"/>
        <v>0</v>
      </c>
      <c r="O42" s="334">
        <v>0</v>
      </c>
      <c r="P42" s="333">
        <f t="shared" si="7"/>
        <v>0</v>
      </c>
      <c r="Q42" s="335">
        <f t="shared" si="8"/>
        <v>0</v>
      </c>
      <c r="R42" s="334">
        <v>1</v>
      </c>
      <c r="S42" s="333">
        <f t="shared" si="9"/>
        <v>0</v>
      </c>
      <c r="T42" s="335">
        <f t="shared" si="10"/>
        <v>3.5E-4</v>
      </c>
      <c r="U42" s="334">
        <v>1</v>
      </c>
      <c r="V42" s="333">
        <v>0</v>
      </c>
      <c r="W42" s="332">
        <f t="shared" si="19"/>
        <v>0.24073</v>
      </c>
      <c r="AA42" s="322">
        <f t="shared" si="11"/>
        <v>0</v>
      </c>
      <c r="AB42" s="322">
        <f t="shared" si="12"/>
        <v>0</v>
      </c>
      <c r="AC42" s="322">
        <f t="shared" si="13"/>
        <v>0</v>
      </c>
      <c r="AD42" s="322">
        <f t="shared" si="14"/>
        <v>0</v>
      </c>
      <c r="AE42" s="322">
        <f t="shared" si="15"/>
        <v>0</v>
      </c>
      <c r="AF42" s="322">
        <f t="shared" si="16"/>
        <v>0</v>
      </c>
      <c r="AG42" s="322">
        <f t="shared" si="17"/>
        <v>0</v>
      </c>
      <c r="AI42" s="325">
        <f>'[9]Allocation = % of margin'!P42+'[9]Allocation = % of margin'!S42+'[9]Allocation = % of margin'!V42+'[9]Allocation = % of margin'!Y42+'[9]Allocation = % of margin'!AB42+'[9]Allocation = % of margin'!AE42+'[9]Allocation = % of margin'!AH42+'[9]Allocation = % of margin'!AK42+'[9]Allocation = % of margin'!AN42+' Increments  equal ¢ per therm'!H42+' Increments  equal ¢ per therm'!K42+' Increments  equal ¢ per therm'!N42+' Increments  equal ¢ per therm'!Q42+' Increments  equal ¢ per therm'!T42+' Increments  equal ¢ per therm'!W42+'[9]Allocation = % of revenue'!M42</f>
        <v>7.3300000000000004E-2</v>
      </c>
      <c r="AJ42" s="224">
        <f>'Summary of Temporaries '!W42</f>
        <v>7.3289999999999994E-2</v>
      </c>
      <c r="AK42" s="244">
        <f>[9]Permanents!F42</f>
        <v>1.0000000000000001E-5</v>
      </c>
      <c r="AL42" s="325">
        <f t="shared" si="18"/>
        <v>1.000007097528427E-17</v>
      </c>
    </row>
    <row r="43" spans="1:38" x14ac:dyDescent="0.35">
      <c r="A43" s="234">
        <f t="shared" si="20"/>
        <v>37</v>
      </c>
      <c r="B43" s="234" t="s">
        <v>74</v>
      </c>
      <c r="C43" s="344" t="s">
        <v>61</v>
      </c>
      <c r="D43" s="323">
        <f>'[9]Washington volumes'!J43</f>
        <v>122543.87639893022</v>
      </c>
      <c r="E43" s="343"/>
      <c r="F43" s="341">
        <v>0</v>
      </c>
      <c r="G43" s="323">
        <f t="shared" si="1"/>
        <v>0</v>
      </c>
      <c r="H43" s="342">
        <f t="shared" si="2"/>
        <v>0</v>
      </c>
      <c r="I43" s="341">
        <v>0</v>
      </c>
      <c r="J43" s="323">
        <f t="shared" si="3"/>
        <v>0</v>
      </c>
      <c r="K43" s="342">
        <f t="shared" si="4"/>
        <v>0</v>
      </c>
      <c r="L43" s="341">
        <v>0</v>
      </c>
      <c r="M43" s="323">
        <f t="shared" si="5"/>
        <v>0</v>
      </c>
      <c r="N43" s="342">
        <f t="shared" si="6"/>
        <v>0</v>
      </c>
      <c r="O43" s="341">
        <v>0</v>
      </c>
      <c r="P43" s="323">
        <f t="shared" si="7"/>
        <v>0</v>
      </c>
      <c r="Q43" s="342">
        <f t="shared" si="8"/>
        <v>0</v>
      </c>
      <c r="R43" s="341">
        <v>1</v>
      </c>
      <c r="S43" s="323">
        <f t="shared" si="9"/>
        <v>122543.87639893022</v>
      </c>
      <c r="T43" s="342">
        <f t="shared" si="10"/>
        <v>3.5E-4</v>
      </c>
      <c r="U43" s="341">
        <v>1</v>
      </c>
      <c r="V43" s="323">
        <v>190000</v>
      </c>
      <c r="W43" s="340">
        <f t="shared" si="19"/>
        <v>0.24073</v>
      </c>
      <c r="AA43" s="322">
        <f t="shared" si="11"/>
        <v>0</v>
      </c>
      <c r="AB43" s="322">
        <f t="shared" si="12"/>
        <v>0</v>
      </c>
      <c r="AC43" s="322">
        <f t="shared" si="13"/>
        <v>0</v>
      </c>
      <c r="AD43" s="322">
        <f t="shared" si="14"/>
        <v>0</v>
      </c>
      <c r="AE43" s="322">
        <f t="shared" si="15"/>
        <v>42.890356739625581</v>
      </c>
      <c r="AF43" s="322">
        <f t="shared" si="16"/>
        <v>29499.987365514473</v>
      </c>
      <c r="AG43" s="322">
        <f t="shared" si="17"/>
        <v>42.890356739625581</v>
      </c>
      <c r="AI43" s="325">
        <f>'[9]Allocation = % of margin'!P43+'[9]Allocation = % of margin'!S43+'[9]Allocation = % of margin'!V43+'[9]Allocation = % of margin'!Y43+'[9]Allocation = % of margin'!AB43+'[9]Allocation = % of margin'!AE43+'[9]Allocation = % of margin'!AH43+'[9]Allocation = % of margin'!AK43+'[9]Allocation = % of margin'!AN43+' Increments  equal ¢ per therm'!H43+' Increments  equal ¢ per therm'!K43+' Increments  equal ¢ per therm'!N43+' Increments  equal ¢ per therm'!Q43+' Increments  equal ¢ per therm'!T43+' Increments  equal ¢ per therm'!W43+'[9]Allocation = % of revenue'!M43</f>
        <v>0.2485</v>
      </c>
      <c r="AJ43" s="224">
        <f>'Summary of Temporaries '!W43</f>
        <v>0.2485</v>
      </c>
      <c r="AK43" s="244">
        <f>[9]Permanents!F43</f>
        <v>0</v>
      </c>
      <c r="AL43" s="325">
        <f t="shared" si="18"/>
        <v>0</v>
      </c>
    </row>
    <row r="44" spans="1:38" x14ac:dyDescent="0.35">
      <c r="A44" s="234">
        <f t="shared" si="20"/>
        <v>38</v>
      </c>
      <c r="B44" s="234"/>
      <c r="C44" s="344" t="s">
        <v>62</v>
      </c>
      <c r="D44" s="323">
        <f>'[9]Washington volumes'!J44</f>
        <v>245087.75279786045</v>
      </c>
      <c r="E44" s="343"/>
      <c r="F44" s="341">
        <v>0</v>
      </c>
      <c r="G44" s="323">
        <f t="shared" si="1"/>
        <v>0</v>
      </c>
      <c r="H44" s="342">
        <f t="shared" si="2"/>
        <v>0</v>
      </c>
      <c r="I44" s="341">
        <v>0</v>
      </c>
      <c r="J44" s="323">
        <f t="shared" si="3"/>
        <v>0</v>
      </c>
      <c r="K44" s="342">
        <f t="shared" si="4"/>
        <v>0</v>
      </c>
      <c r="L44" s="341">
        <v>0</v>
      </c>
      <c r="M44" s="323">
        <f t="shared" si="5"/>
        <v>0</v>
      </c>
      <c r="N44" s="342">
        <f t="shared" si="6"/>
        <v>0</v>
      </c>
      <c r="O44" s="341">
        <v>0</v>
      </c>
      <c r="P44" s="323">
        <f t="shared" si="7"/>
        <v>0</v>
      </c>
      <c r="Q44" s="342">
        <f t="shared" si="8"/>
        <v>0</v>
      </c>
      <c r="R44" s="341">
        <v>1</v>
      </c>
      <c r="S44" s="323">
        <f t="shared" si="9"/>
        <v>245087.75279786045</v>
      </c>
      <c r="T44" s="342">
        <f t="shared" si="10"/>
        <v>3.5E-4</v>
      </c>
      <c r="U44" s="341">
        <v>1</v>
      </c>
      <c r="V44" s="323">
        <v>380000</v>
      </c>
      <c r="W44" s="340">
        <f t="shared" si="19"/>
        <v>0.24073</v>
      </c>
      <c r="AA44" s="322">
        <f t="shared" si="11"/>
        <v>0</v>
      </c>
      <c r="AB44" s="322">
        <f t="shared" si="12"/>
        <v>0</v>
      </c>
      <c r="AC44" s="322">
        <f t="shared" si="13"/>
        <v>0</v>
      </c>
      <c r="AD44" s="322">
        <f t="shared" si="14"/>
        <v>0</v>
      </c>
      <c r="AE44" s="322">
        <f t="shared" si="15"/>
        <v>85.780713479251162</v>
      </c>
      <c r="AF44" s="322">
        <f t="shared" si="16"/>
        <v>58999.974731028946</v>
      </c>
      <c r="AG44" s="322">
        <f t="shared" si="17"/>
        <v>85.780713479251162</v>
      </c>
      <c r="AI44" s="325">
        <f>'[9]Allocation = % of margin'!P44+'[9]Allocation = % of margin'!S44+'[9]Allocation = % of margin'!V44+'[9]Allocation = % of margin'!Y44+'[9]Allocation = % of margin'!AB44+'[9]Allocation = % of margin'!AE44+'[9]Allocation = % of margin'!AH44+'[9]Allocation = % of margin'!AK44+'[9]Allocation = % of margin'!AN44+' Increments  equal ¢ per therm'!H44+' Increments  equal ¢ per therm'!K44+' Increments  equal ¢ per therm'!N44+' Increments  equal ¢ per therm'!Q44+' Increments  equal ¢ per therm'!T44+' Increments  equal ¢ per therm'!W44+'[9]Allocation = % of revenue'!M44</f>
        <v>0.24772999999999998</v>
      </c>
      <c r="AJ44" s="224">
        <f>'Summary of Temporaries '!W44</f>
        <v>0.24773000000000001</v>
      </c>
      <c r="AK44" s="244">
        <f>[9]Permanents!F44</f>
        <v>0</v>
      </c>
      <c r="AL44" s="325">
        <f t="shared" si="18"/>
        <v>-2.7755575615628914E-17</v>
      </c>
    </row>
    <row r="45" spans="1:38" x14ac:dyDescent="0.35">
      <c r="A45" s="234">
        <f t="shared" si="20"/>
        <v>39</v>
      </c>
      <c r="B45" s="234"/>
      <c r="C45" s="344" t="s">
        <v>69</v>
      </c>
      <c r="D45" s="323">
        <f>'[9]Washington volumes'!J45</f>
        <v>245087.75279786045</v>
      </c>
      <c r="E45" s="343"/>
      <c r="F45" s="341">
        <v>0</v>
      </c>
      <c r="G45" s="323">
        <f t="shared" ref="G45:G76" si="21">+$D45*F45</f>
        <v>0</v>
      </c>
      <c r="H45" s="342">
        <f t="shared" ref="H45:H80" si="22">+F45*$H$83</f>
        <v>0</v>
      </c>
      <c r="I45" s="341">
        <v>0</v>
      </c>
      <c r="J45" s="323">
        <f t="shared" ref="J45:J76" si="23">+$D45*I45</f>
        <v>0</v>
      </c>
      <c r="K45" s="342">
        <f t="shared" ref="K45:K80" si="24">+I45*$K$83</f>
        <v>0</v>
      </c>
      <c r="L45" s="341">
        <v>0</v>
      </c>
      <c r="M45" s="323">
        <f t="shared" ref="M45:M76" si="25">+$D45*L45</f>
        <v>0</v>
      </c>
      <c r="N45" s="342">
        <f t="shared" ref="N45:N80" si="26">+L45*$N$83</f>
        <v>0</v>
      </c>
      <c r="O45" s="341">
        <v>0</v>
      </c>
      <c r="P45" s="323">
        <f t="shared" ref="P45:P76" si="27">+$D45*O45</f>
        <v>0</v>
      </c>
      <c r="Q45" s="342">
        <f t="shared" ref="Q45:Q80" si="28">+O45*$Q$83</f>
        <v>0</v>
      </c>
      <c r="R45" s="341">
        <v>1</v>
      </c>
      <c r="S45" s="323">
        <f t="shared" ref="S45:S76" si="29">+$D45*R45</f>
        <v>245087.75279786045</v>
      </c>
      <c r="T45" s="342">
        <f t="shared" ref="T45:T80" si="30">+R45*$T$83</f>
        <v>3.5E-4</v>
      </c>
      <c r="U45" s="341">
        <v>1</v>
      </c>
      <c r="V45" s="323">
        <v>380000</v>
      </c>
      <c r="W45" s="340">
        <f t="shared" si="19"/>
        <v>0.24073</v>
      </c>
      <c r="AA45" s="322">
        <f t="shared" ref="AA45:AA81" si="31">H45*D45</f>
        <v>0</v>
      </c>
      <c r="AB45" s="322">
        <f t="shared" ref="AB45:AB81" si="32">K45*D45</f>
        <v>0</v>
      </c>
      <c r="AC45" s="322">
        <f t="shared" ref="AC45:AC81" si="33">N45*D45</f>
        <v>0</v>
      </c>
      <c r="AD45" s="322">
        <f t="shared" ref="AD45:AD81" si="34">Q45*D45</f>
        <v>0</v>
      </c>
      <c r="AE45" s="322">
        <f t="shared" ref="AE45:AE81" si="35">T45*D45</f>
        <v>85.780713479251162</v>
      </c>
      <c r="AF45" s="322">
        <f t="shared" ref="AF45:AF81" si="36">W45*D45</f>
        <v>58999.974731028946</v>
      </c>
      <c r="AG45" s="322">
        <f t="shared" ref="AG45:AG81" si="37">SUM(AA45:AE45)</f>
        <v>85.780713479251162</v>
      </c>
      <c r="AI45" s="325">
        <f>'[9]Allocation = % of margin'!P45+'[9]Allocation = % of margin'!S45+'[9]Allocation = % of margin'!V45+'[9]Allocation = % of margin'!Y45+'[9]Allocation = % of margin'!AB45+'[9]Allocation = % of margin'!AE45+'[9]Allocation = % of margin'!AH45+'[9]Allocation = % of margin'!AK45+'[9]Allocation = % of margin'!AN45+' Increments  equal ¢ per therm'!H45+' Increments  equal ¢ per therm'!K45+' Increments  equal ¢ per therm'!N45+' Increments  equal ¢ per therm'!Q45+' Increments  equal ¢ per therm'!T45+' Increments  equal ¢ per therm'!W45+'[9]Allocation = % of revenue'!M45</f>
        <v>0.24617999999999998</v>
      </c>
      <c r="AJ45" s="224">
        <f>'Summary of Temporaries '!W45</f>
        <v>0.24618000000000001</v>
      </c>
      <c r="AK45" s="244">
        <f>[9]Permanents!F45</f>
        <v>0</v>
      </c>
      <c r="AL45" s="325">
        <f t="shared" ref="AL45:AL76" si="38">AI45-AJ45-AK45</f>
        <v>-2.7755575615628914E-17</v>
      </c>
    </row>
    <row r="46" spans="1:38" x14ac:dyDescent="0.35">
      <c r="A46" s="234">
        <f t="shared" si="20"/>
        <v>40</v>
      </c>
      <c r="B46" s="234"/>
      <c r="C46" s="344" t="s">
        <v>70</v>
      </c>
      <c r="D46" s="323">
        <f>'[9]Washington volumes'!J46</f>
        <v>403343.97837634891</v>
      </c>
      <c r="E46" s="343"/>
      <c r="F46" s="341">
        <v>0</v>
      </c>
      <c r="G46" s="323">
        <f t="shared" si="21"/>
        <v>0</v>
      </c>
      <c r="H46" s="342">
        <f t="shared" si="22"/>
        <v>0</v>
      </c>
      <c r="I46" s="341">
        <v>0</v>
      </c>
      <c r="J46" s="323">
        <f t="shared" si="23"/>
        <v>0</v>
      </c>
      <c r="K46" s="342">
        <f t="shared" si="24"/>
        <v>0</v>
      </c>
      <c r="L46" s="341">
        <v>0</v>
      </c>
      <c r="M46" s="323">
        <f t="shared" si="25"/>
        <v>0</v>
      </c>
      <c r="N46" s="342">
        <f t="shared" si="26"/>
        <v>0</v>
      </c>
      <c r="O46" s="341">
        <v>0</v>
      </c>
      <c r="P46" s="323">
        <f t="shared" si="27"/>
        <v>0</v>
      </c>
      <c r="Q46" s="342">
        <f t="shared" si="28"/>
        <v>0</v>
      </c>
      <c r="R46" s="341">
        <v>1</v>
      </c>
      <c r="S46" s="323">
        <f t="shared" si="29"/>
        <v>403343.97837634891</v>
      </c>
      <c r="T46" s="342">
        <f t="shared" si="30"/>
        <v>3.5E-4</v>
      </c>
      <c r="U46" s="341">
        <v>1</v>
      </c>
      <c r="V46" s="323">
        <v>557763</v>
      </c>
      <c r="W46" s="340">
        <f t="shared" ref="W46:W80" si="39">W45</f>
        <v>0.24073</v>
      </c>
      <c r="AA46" s="322">
        <f t="shared" si="31"/>
        <v>0</v>
      </c>
      <c r="AB46" s="322">
        <f t="shared" si="32"/>
        <v>0</v>
      </c>
      <c r="AC46" s="322">
        <f t="shared" si="33"/>
        <v>0</v>
      </c>
      <c r="AD46" s="322">
        <f t="shared" si="34"/>
        <v>0</v>
      </c>
      <c r="AE46" s="322">
        <f t="shared" si="35"/>
        <v>141.17039243172212</v>
      </c>
      <c r="AF46" s="322">
        <f t="shared" si="36"/>
        <v>97096.995914538478</v>
      </c>
      <c r="AG46" s="322">
        <f t="shared" si="37"/>
        <v>141.17039243172212</v>
      </c>
      <c r="AI46" s="325">
        <f>'[9]Allocation = % of margin'!P46+'[9]Allocation = % of margin'!S46+'[9]Allocation = % of margin'!V46+'[9]Allocation = % of margin'!Y46+'[9]Allocation = % of margin'!AB46+'[9]Allocation = % of margin'!AE46+'[9]Allocation = % of margin'!AH46+'[9]Allocation = % of margin'!AK46+'[9]Allocation = % of margin'!AN46+' Increments  equal ¢ per therm'!H46+' Increments  equal ¢ per therm'!K46+' Increments  equal ¢ per therm'!N46+' Increments  equal ¢ per therm'!Q46+' Increments  equal ¢ per therm'!T46+' Increments  equal ¢ per therm'!W46+'[9]Allocation = % of revenue'!M46</f>
        <v>0.24515000000000001</v>
      </c>
      <c r="AJ46" s="224">
        <f>'Summary of Temporaries '!W46</f>
        <v>0.24515000000000001</v>
      </c>
      <c r="AK46" s="244">
        <f>[9]Permanents!F46</f>
        <v>0</v>
      </c>
      <c r="AL46" s="325">
        <f t="shared" si="38"/>
        <v>0</v>
      </c>
    </row>
    <row r="47" spans="1:38" x14ac:dyDescent="0.35">
      <c r="A47" s="234">
        <f t="shared" si="20"/>
        <v>41</v>
      </c>
      <c r="B47" s="234"/>
      <c r="C47" s="344" t="s">
        <v>71</v>
      </c>
      <c r="D47" s="323">
        <f>'[9]Washington volumes'!J47</f>
        <v>0</v>
      </c>
      <c r="E47" s="343"/>
      <c r="F47" s="341">
        <v>0</v>
      </c>
      <c r="G47" s="323">
        <f t="shared" si="21"/>
        <v>0</v>
      </c>
      <c r="H47" s="342">
        <f t="shared" si="22"/>
        <v>0</v>
      </c>
      <c r="I47" s="341">
        <v>0</v>
      </c>
      <c r="J47" s="323">
        <f t="shared" si="23"/>
        <v>0</v>
      </c>
      <c r="K47" s="342">
        <f t="shared" si="24"/>
        <v>0</v>
      </c>
      <c r="L47" s="341">
        <v>0</v>
      </c>
      <c r="M47" s="323">
        <f t="shared" si="25"/>
        <v>0</v>
      </c>
      <c r="N47" s="342">
        <f t="shared" si="26"/>
        <v>0</v>
      </c>
      <c r="O47" s="341">
        <v>0</v>
      </c>
      <c r="P47" s="323">
        <f t="shared" si="27"/>
        <v>0</v>
      </c>
      <c r="Q47" s="342">
        <f t="shared" si="28"/>
        <v>0</v>
      </c>
      <c r="R47" s="341">
        <v>1</v>
      </c>
      <c r="S47" s="323">
        <f t="shared" si="29"/>
        <v>0</v>
      </c>
      <c r="T47" s="342">
        <f t="shared" si="30"/>
        <v>3.5E-4</v>
      </c>
      <c r="U47" s="341">
        <v>1</v>
      </c>
      <c r="V47" s="323">
        <v>0</v>
      </c>
      <c r="W47" s="340">
        <f t="shared" si="39"/>
        <v>0.24073</v>
      </c>
      <c r="AA47" s="322">
        <f t="shared" si="31"/>
        <v>0</v>
      </c>
      <c r="AB47" s="322">
        <f t="shared" si="32"/>
        <v>0</v>
      </c>
      <c r="AC47" s="322">
        <f t="shared" si="33"/>
        <v>0</v>
      </c>
      <c r="AD47" s="322">
        <f t="shared" si="34"/>
        <v>0</v>
      </c>
      <c r="AE47" s="322">
        <f t="shared" si="35"/>
        <v>0</v>
      </c>
      <c r="AF47" s="322">
        <f t="shared" si="36"/>
        <v>0</v>
      </c>
      <c r="AG47" s="322">
        <f t="shared" si="37"/>
        <v>0</v>
      </c>
      <c r="AI47" s="325">
        <f>'[9]Allocation = % of margin'!P47+'[9]Allocation = % of margin'!S47+'[9]Allocation = % of margin'!V47+'[9]Allocation = % of margin'!Y47+'[9]Allocation = % of margin'!AB47+'[9]Allocation = % of margin'!AE47+'[9]Allocation = % of margin'!AH47+'[9]Allocation = % of margin'!AK47+'[9]Allocation = % of margin'!AN47+' Increments  equal ¢ per therm'!H47+' Increments  equal ¢ per therm'!K47+' Increments  equal ¢ per therm'!N47+' Increments  equal ¢ per therm'!Q47+' Increments  equal ¢ per therm'!T47+' Increments  equal ¢ per therm'!W47+'[9]Allocation = % of revenue'!M47</f>
        <v>0.24380000000000002</v>
      </c>
      <c r="AJ47" s="224">
        <f>'Summary of Temporaries '!W47</f>
        <v>0.24379999999999999</v>
      </c>
      <c r="AK47" s="244">
        <f>[9]Permanents!F47</f>
        <v>0</v>
      </c>
      <c r="AL47" s="325">
        <f t="shared" si="38"/>
        <v>2.7755575615628914E-17</v>
      </c>
    </row>
    <row r="48" spans="1:38" x14ac:dyDescent="0.35">
      <c r="A48" s="234">
        <f t="shared" si="20"/>
        <v>42</v>
      </c>
      <c r="B48" s="338"/>
      <c r="C48" s="339" t="s">
        <v>72</v>
      </c>
      <c r="D48" s="333">
        <f>'[9]Washington volumes'!J48</f>
        <v>0</v>
      </c>
      <c r="E48" s="336"/>
      <c r="F48" s="334">
        <v>0</v>
      </c>
      <c r="G48" s="333">
        <f t="shared" si="21"/>
        <v>0</v>
      </c>
      <c r="H48" s="335">
        <f t="shared" si="22"/>
        <v>0</v>
      </c>
      <c r="I48" s="334">
        <v>0</v>
      </c>
      <c r="J48" s="333">
        <f t="shared" si="23"/>
        <v>0</v>
      </c>
      <c r="K48" s="335">
        <f t="shared" si="24"/>
        <v>0</v>
      </c>
      <c r="L48" s="334">
        <v>0</v>
      </c>
      <c r="M48" s="333">
        <f t="shared" si="25"/>
        <v>0</v>
      </c>
      <c r="N48" s="335">
        <f t="shared" si="26"/>
        <v>0</v>
      </c>
      <c r="O48" s="334">
        <v>0</v>
      </c>
      <c r="P48" s="333">
        <f t="shared" si="27"/>
        <v>0</v>
      </c>
      <c r="Q48" s="335">
        <f t="shared" si="28"/>
        <v>0</v>
      </c>
      <c r="R48" s="334">
        <v>1</v>
      </c>
      <c r="S48" s="333">
        <f t="shared" si="29"/>
        <v>0</v>
      </c>
      <c r="T48" s="335">
        <f t="shared" si="30"/>
        <v>3.5E-4</v>
      </c>
      <c r="U48" s="334">
        <v>1</v>
      </c>
      <c r="V48" s="333">
        <v>0</v>
      </c>
      <c r="W48" s="332">
        <f t="shared" si="39"/>
        <v>0.24073</v>
      </c>
      <c r="AA48" s="322">
        <f t="shared" si="31"/>
        <v>0</v>
      </c>
      <c r="AB48" s="322">
        <f t="shared" si="32"/>
        <v>0</v>
      </c>
      <c r="AC48" s="322">
        <f t="shared" si="33"/>
        <v>0</v>
      </c>
      <c r="AD48" s="322">
        <f t="shared" si="34"/>
        <v>0</v>
      </c>
      <c r="AE48" s="322">
        <f t="shared" si="35"/>
        <v>0</v>
      </c>
      <c r="AF48" s="322">
        <f t="shared" si="36"/>
        <v>0</v>
      </c>
      <c r="AG48" s="322">
        <f t="shared" si="37"/>
        <v>0</v>
      </c>
      <c r="AI48" s="325">
        <f>'[9]Allocation = % of margin'!P48+'[9]Allocation = % of margin'!S48+'[9]Allocation = % of margin'!V48+'[9]Allocation = % of margin'!Y48+'[9]Allocation = % of margin'!AB48+'[9]Allocation = % of margin'!AE48+'[9]Allocation = % of margin'!AH48+'[9]Allocation = % of margin'!AK48+'[9]Allocation = % of margin'!AN48+' Increments  equal ¢ per therm'!H48+' Increments  equal ¢ per therm'!K48+' Increments  equal ¢ per therm'!N48+' Increments  equal ¢ per therm'!Q48+' Increments  equal ¢ per therm'!T48+' Increments  equal ¢ per therm'!W48+'[9]Allocation = % of revenue'!M48</f>
        <v>0.24211000000000002</v>
      </c>
      <c r="AJ48" s="224">
        <f>'Summary of Temporaries '!W48</f>
        <v>0.24210999999999999</v>
      </c>
      <c r="AK48" s="244">
        <f>[9]Permanents!F48</f>
        <v>0</v>
      </c>
      <c r="AL48" s="325">
        <f t="shared" si="38"/>
        <v>2.7755575615628914E-17</v>
      </c>
    </row>
    <row r="49" spans="1:38" x14ac:dyDescent="0.35">
      <c r="A49" s="234">
        <f t="shared" si="20"/>
        <v>43</v>
      </c>
      <c r="B49" s="234" t="s">
        <v>75</v>
      </c>
      <c r="C49" s="344" t="s">
        <v>61</v>
      </c>
      <c r="D49" s="323">
        <f>'[9]Washington volumes'!J49</f>
        <v>933451.95163091726</v>
      </c>
      <c r="E49" s="343"/>
      <c r="F49" s="341">
        <v>0</v>
      </c>
      <c r="G49" s="323">
        <f t="shared" si="21"/>
        <v>0</v>
      </c>
      <c r="H49" s="342">
        <f t="shared" si="22"/>
        <v>0</v>
      </c>
      <c r="I49" s="341">
        <v>0</v>
      </c>
      <c r="J49" s="323">
        <f t="shared" si="23"/>
        <v>0</v>
      </c>
      <c r="K49" s="342">
        <f t="shared" si="24"/>
        <v>0</v>
      </c>
      <c r="L49" s="341">
        <v>0</v>
      </c>
      <c r="M49" s="323">
        <f t="shared" si="25"/>
        <v>0</v>
      </c>
      <c r="N49" s="342">
        <f t="shared" si="26"/>
        <v>0</v>
      </c>
      <c r="O49" s="341">
        <v>0</v>
      </c>
      <c r="P49" s="323">
        <f t="shared" si="27"/>
        <v>0</v>
      </c>
      <c r="Q49" s="342">
        <f t="shared" si="28"/>
        <v>0</v>
      </c>
      <c r="R49" s="341">
        <v>1</v>
      </c>
      <c r="S49" s="323">
        <f t="shared" si="29"/>
        <v>933451.95163091726</v>
      </c>
      <c r="T49" s="342">
        <f t="shared" si="30"/>
        <v>3.5E-4</v>
      </c>
      <c r="U49" s="341">
        <v>1</v>
      </c>
      <c r="V49" s="323">
        <v>786713</v>
      </c>
      <c r="W49" s="340">
        <f t="shared" si="39"/>
        <v>0.24073</v>
      </c>
      <c r="AA49" s="322">
        <f t="shared" si="31"/>
        <v>0</v>
      </c>
      <c r="AB49" s="322">
        <f t="shared" si="32"/>
        <v>0</v>
      </c>
      <c r="AC49" s="322">
        <f t="shared" si="33"/>
        <v>0</v>
      </c>
      <c r="AD49" s="322">
        <f t="shared" si="34"/>
        <v>0</v>
      </c>
      <c r="AE49" s="322">
        <f t="shared" si="35"/>
        <v>326.70818307082106</v>
      </c>
      <c r="AF49" s="322">
        <f t="shared" si="36"/>
        <v>224709.88831611071</v>
      </c>
      <c r="AG49" s="322">
        <f t="shared" si="37"/>
        <v>326.70818307082106</v>
      </c>
      <c r="AI49" s="325">
        <f>'[9]Allocation = % of margin'!P49+'[9]Allocation = % of margin'!S49+'[9]Allocation = % of margin'!V49+'[9]Allocation = % of margin'!Y49+'[9]Allocation = % of margin'!AB49+'[9]Allocation = % of margin'!AE49+'[9]Allocation = % of margin'!AH49+'[9]Allocation = % of margin'!AK49+'[9]Allocation = % of margin'!AN49+' Increments  equal ¢ per therm'!H49+' Increments  equal ¢ per therm'!K49+' Increments  equal ¢ per therm'!N49+' Increments  equal ¢ per therm'!Q49+' Increments  equal ¢ per therm'!T49+' Increments  equal ¢ per therm'!W49+'[9]Allocation = % of revenue'!M49</f>
        <v>0.24896000000000001</v>
      </c>
      <c r="AJ49" s="224">
        <f>'Summary of Temporaries '!W49</f>
        <v>0.24896000000000001</v>
      </c>
      <c r="AK49" s="244">
        <f>[9]Permanents!F49</f>
        <v>0</v>
      </c>
      <c r="AL49" s="325">
        <f t="shared" si="38"/>
        <v>0</v>
      </c>
    </row>
    <row r="50" spans="1:38" x14ac:dyDescent="0.35">
      <c r="A50" s="234">
        <f t="shared" si="20"/>
        <v>44</v>
      </c>
      <c r="B50" s="234"/>
      <c r="C50" s="344" t="s">
        <v>62</v>
      </c>
      <c r="D50" s="323">
        <f>'[9]Washington volumes'!J50</f>
        <v>1354331.8549391942</v>
      </c>
      <c r="E50" s="343"/>
      <c r="F50" s="341">
        <v>0</v>
      </c>
      <c r="G50" s="323">
        <f t="shared" si="21"/>
        <v>0</v>
      </c>
      <c r="H50" s="342">
        <f t="shared" si="22"/>
        <v>0</v>
      </c>
      <c r="I50" s="341">
        <v>0</v>
      </c>
      <c r="J50" s="323">
        <f t="shared" si="23"/>
        <v>0</v>
      </c>
      <c r="K50" s="342">
        <f t="shared" si="24"/>
        <v>0</v>
      </c>
      <c r="L50" s="341">
        <v>0</v>
      </c>
      <c r="M50" s="323">
        <f t="shared" si="25"/>
        <v>0</v>
      </c>
      <c r="N50" s="342">
        <f t="shared" si="26"/>
        <v>0</v>
      </c>
      <c r="O50" s="341">
        <v>0</v>
      </c>
      <c r="P50" s="323">
        <f t="shared" si="27"/>
        <v>0</v>
      </c>
      <c r="Q50" s="342">
        <f t="shared" si="28"/>
        <v>0</v>
      </c>
      <c r="R50" s="341">
        <v>1</v>
      </c>
      <c r="S50" s="323">
        <f t="shared" si="29"/>
        <v>1354331.8549391942</v>
      </c>
      <c r="T50" s="342">
        <f t="shared" si="30"/>
        <v>3.5E-4</v>
      </c>
      <c r="U50" s="341">
        <v>1</v>
      </c>
      <c r="V50" s="323">
        <v>1136740</v>
      </c>
      <c r="W50" s="340">
        <f t="shared" si="39"/>
        <v>0.24073</v>
      </c>
      <c r="AA50" s="322">
        <f t="shared" si="31"/>
        <v>0</v>
      </c>
      <c r="AB50" s="322">
        <f t="shared" si="32"/>
        <v>0</v>
      </c>
      <c r="AC50" s="322">
        <f t="shared" si="33"/>
        <v>0</v>
      </c>
      <c r="AD50" s="322">
        <f t="shared" si="34"/>
        <v>0</v>
      </c>
      <c r="AE50" s="322">
        <f t="shared" si="35"/>
        <v>474.01614922871795</v>
      </c>
      <c r="AF50" s="322">
        <f t="shared" si="36"/>
        <v>326028.30743951222</v>
      </c>
      <c r="AG50" s="322">
        <f t="shared" si="37"/>
        <v>474.01614922871795</v>
      </c>
      <c r="AI50" s="325">
        <f>'[9]Allocation = % of margin'!P50+'[9]Allocation = % of margin'!S50+'[9]Allocation = % of margin'!V50+'[9]Allocation = % of margin'!Y50+'[9]Allocation = % of margin'!AB50+'[9]Allocation = % of margin'!AE50+'[9]Allocation = % of margin'!AH50+'[9]Allocation = % of margin'!AK50+'[9]Allocation = % of margin'!AN50+' Increments  equal ¢ per therm'!H50+' Increments  equal ¢ per therm'!K50+' Increments  equal ¢ per therm'!N50+' Increments  equal ¢ per therm'!Q50+' Increments  equal ¢ per therm'!T50+' Increments  equal ¢ per therm'!W50+'[9]Allocation = % of revenue'!M50</f>
        <v>0.24814</v>
      </c>
      <c r="AJ50" s="224">
        <f>'Summary of Temporaries '!W50</f>
        <v>0.24814</v>
      </c>
      <c r="AK50" s="244">
        <f>[9]Permanents!F50</f>
        <v>0</v>
      </c>
      <c r="AL50" s="325">
        <f t="shared" si="38"/>
        <v>0</v>
      </c>
    </row>
    <row r="51" spans="1:38" x14ac:dyDescent="0.35">
      <c r="A51" s="234">
        <f t="shared" si="20"/>
        <v>45</v>
      </c>
      <c r="B51" s="234"/>
      <c r="C51" s="344" t="s">
        <v>69</v>
      </c>
      <c r="D51" s="323">
        <f>'[9]Washington volumes'!J51</f>
        <v>1182764.9803330612</v>
      </c>
      <c r="E51" s="343"/>
      <c r="F51" s="341">
        <v>0</v>
      </c>
      <c r="G51" s="323">
        <f t="shared" si="21"/>
        <v>0</v>
      </c>
      <c r="H51" s="342">
        <f t="shared" si="22"/>
        <v>0</v>
      </c>
      <c r="I51" s="341">
        <v>0</v>
      </c>
      <c r="J51" s="323">
        <f t="shared" si="23"/>
        <v>0</v>
      </c>
      <c r="K51" s="342">
        <f t="shared" si="24"/>
        <v>0</v>
      </c>
      <c r="L51" s="341">
        <v>0</v>
      </c>
      <c r="M51" s="323">
        <f t="shared" si="25"/>
        <v>0</v>
      </c>
      <c r="N51" s="342">
        <f t="shared" si="26"/>
        <v>0</v>
      </c>
      <c r="O51" s="341">
        <v>0</v>
      </c>
      <c r="P51" s="323">
        <f t="shared" si="27"/>
        <v>0</v>
      </c>
      <c r="Q51" s="342">
        <f t="shared" si="28"/>
        <v>0</v>
      </c>
      <c r="R51" s="341">
        <v>1</v>
      </c>
      <c r="S51" s="323">
        <f t="shared" si="29"/>
        <v>1182764.9803330612</v>
      </c>
      <c r="T51" s="342">
        <f t="shared" si="30"/>
        <v>3.5E-4</v>
      </c>
      <c r="U51" s="341">
        <v>1</v>
      </c>
      <c r="V51" s="323">
        <v>1026635</v>
      </c>
      <c r="W51" s="340">
        <f t="shared" si="39"/>
        <v>0.24073</v>
      </c>
      <c r="AA51" s="322">
        <f t="shared" si="31"/>
        <v>0</v>
      </c>
      <c r="AB51" s="322">
        <f t="shared" si="32"/>
        <v>0</v>
      </c>
      <c r="AC51" s="322">
        <f t="shared" si="33"/>
        <v>0</v>
      </c>
      <c r="AD51" s="322">
        <f t="shared" si="34"/>
        <v>0</v>
      </c>
      <c r="AE51" s="322">
        <f t="shared" si="35"/>
        <v>413.9677431165714</v>
      </c>
      <c r="AF51" s="322">
        <f t="shared" si="36"/>
        <v>284727.01371557784</v>
      </c>
      <c r="AG51" s="322">
        <f t="shared" si="37"/>
        <v>413.9677431165714</v>
      </c>
      <c r="AI51" s="325">
        <f>'[9]Allocation = % of margin'!P51+'[9]Allocation = % of margin'!S51+'[9]Allocation = % of margin'!V51+'[9]Allocation = % of margin'!Y51+'[9]Allocation = % of margin'!AB51+'[9]Allocation = % of margin'!AE51+'[9]Allocation = % of margin'!AH51+'[9]Allocation = % of margin'!AK51+'[9]Allocation = % of margin'!AN51+' Increments  equal ¢ per therm'!H51+' Increments  equal ¢ per therm'!K51+' Increments  equal ¢ per therm'!N51+' Increments  equal ¢ per therm'!Q51+' Increments  equal ¢ per therm'!T51+' Increments  equal ¢ per therm'!W51+'[9]Allocation = % of revenue'!M51</f>
        <v>0.2465</v>
      </c>
      <c r="AJ51" s="224">
        <f>'Summary of Temporaries '!W51</f>
        <v>0.2465</v>
      </c>
      <c r="AK51" s="244">
        <f>[9]Permanents!F51</f>
        <v>0</v>
      </c>
      <c r="AL51" s="325">
        <f t="shared" si="38"/>
        <v>0</v>
      </c>
    </row>
    <row r="52" spans="1:38" x14ac:dyDescent="0.35">
      <c r="A52" s="234">
        <f t="shared" si="20"/>
        <v>46</v>
      </c>
      <c r="B52" s="234"/>
      <c r="C52" s="344" t="s">
        <v>70</v>
      </c>
      <c r="D52" s="323">
        <f>'[9]Washington volumes'!J52</f>
        <v>2743941.1371104051</v>
      </c>
      <c r="E52" s="343"/>
      <c r="F52" s="341">
        <v>0</v>
      </c>
      <c r="G52" s="323">
        <f t="shared" si="21"/>
        <v>0</v>
      </c>
      <c r="H52" s="342">
        <f t="shared" si="22"/>
        <v>0</v>
      </c>
      <c r="I52" s="341">
        <v>0</v>
      </c>
      <c r="J52" s="323">
        <f t="shared" si="23"/>
        <v>0</v>
      </c>
      <c r="K52" s="342">
        <f t="shared" si="24"/>
        <v>0</v>
      </c>
      <c r="L52" s="341">
        <v>0</v>
      </c>
      <c r="M52" s="323">
        <f t="shared" si="25"/>
        <v>0</v>
      </c>
      <c r="N52" s="342">
        <f t="shared" si="26"/>
        <v>0</v>
      </c>
      <c r="O52" s="341">
        <v>0</v>
      </c>
      <c r="P52" s="323">
        <f t="shared" si="27"/>
        <v>0</v>
      </c>
      <c r="Q52" s="342">
        <f t="shared" si="28"/>
        <v>0</v>
      </c>
      <c r="R52" s="341">
        <v>1</v>
      </c>
      <c r="S52" s="323">
        <f t="shared" si="29"/>
        <v>2743941.1371104051</v>
      </c>
      <c r="T52" s="342">
        <f t="shared" si="30"/>
        <v>3.5E-4</v>
      </c>
      <c r="U52" s="341">
        <v>1</v>
      </c>
      <c r="V52" s="323">
        <v>2414188</v>
      </c>
      <c r="W52" s="340">
        <f t="shared" si="39"/>
        <v>0.24073</v>
      </c>
      <c r="AA52" s="322">
        <f t="shared" si="31"/>
        <v>0</v>
      </c>
      <c r="AB52" s="322">
        <f t="shared" si="32"/>
        <v>0</v>
      </c>
      <c r="AC52" s="322">
        <f t="shared" si="33"/>
        <v>0</v>
      </c>
      <c r="AD52" s="322">
        <f t="shared" si="34"/>
        <v>0</v>
      </c>
      <c r="AE52" s="322">
        <f t="shared" si="35"/>
        <v>960.37939798864181</v>
      </c>
      <c r="AF52" s="322">
        <f t="shared" si="36"/>
        <v>660548.94993658783</v>
      </c>
      <c r="AG52" s="322">
        <f t="shared" si="37"/>
        <v>960.37939798864181</v>
      </c>
      <c r="AI52" s="325">
        <f>'[9]Allocation = % of margin'!P52+'[9]Allocation = % of margin'!S52+'[9]Allocation = % of margin'!V52+'[9]Allocation = % of margin'!Y52+'[9]Allocation = % of margin'!AB52+'[9]Allocation = % of margin'!AE52+'[9]Allocation = % of margin'!AH52+'[9]Allocation = % of margin'!AK52+'[9]Allocation = % of margin'!AN52+' Increments  equal ¢ per therm'!H52+' Increments  equal ¢ per therm'!K52+' Increments  equal ¢ per therm'!N52+' Increments  equal ¢ per therm'!Q52+' Increments  equal ¢ per therm'!T52+' Increments  equal ¢ per therm'!W52+'[9]Allocation = % of revenue'!M52</f>
        <v>0.24541000000000002</v>
      </c>
      <c r="AJ52" s="224">
        <f>'Summary of Temporaries '!W52</f>
        <v>0.24540999999999999</v>
      </c>
      <c r="AK52" s="244">
        <f>[9]Permanents!F52</f>
        <v>0</v>
      </c>
      <c r="AL52" s="325">
        <f t="shared" si="38"/>
        <v>2.7755575615628914E-17</v>
      </c>
    </row>
    <row r="53" spans="1:38" x14ac:dyDescent="0.35">
      <c r="A53" s="234">
        <f t="shared" si="20"/>
        <v>47</v>
      </c>
      <c r="B53" s="234"/>
      <c r="C53" s="344" t="s">
        <v>71</v>
      </c>
      <c r="D53" s="323">
        <f>'[9]Washington volumes'!J53</f>
        <v>1030133.9063092957</v>
      </c>
      <c r="E53" s="343"/>
      <c r="F53" s="341">
        <v>0</v>
      </c>
      <c r="G53" s="323">
        <f t="shared" si="21"/>
        <v>0</v>
      </c>
      <c r="H53" s="342">
        <f t="shared" si="22"/>
        <v>0</v>
      </c>
      <c r="I53" s="341">
        <v>0</v>
      </c>
      <c r="J53" s="323">
        <f t="shared" si="23"/>
        <v>0</v>
      </c>
      <c r="K53" s="342">
        <f t="shared" si="24"/>
        <v>0</v>
      </c>
      <c r="L53" s="341">
        <v>0</v>
      </c>
      <c r="M53" s="323">
        <f t="shared" si="25"/>
        <v>0</v>
      </c>
      <c r="N53" s="342">
        <f t="shared" si="26"/>
        <v>0</v>
      </c>
      <c r="O53" s="341">
        <v>0</v>
      </c>
      <c r="P53" s="323">
        <f t="shared" si="27"/>
        <v>0</v>
      </c>
      <c r="Q53" s="342">
        <f t="shared" si="28"/>
        <v>0</v>
      </c>
      <c r="R53" s="341">
        <v>1</v>
      </c>
      <c r="S53" s="323">
        <f t="shared" si="29"/>
        <v>1030133.9063092957</v>
      </c>
      <c r="T53" s="342">
        <f t="shared" si="30"/>
        <v>3.5E-4</v>
      </c>
      <c r="U53" s="341">
        <v>1</v>
      </c>
      <c r="V53" s="323">
        <v>844917</v>
      </c>
      <c r="W53" s="340">
        <f t="shared" si="39"/>
        <v>0.24073</v>
      </c>
      <c r="AA53" s="322">
        <f t="shared" si="31"/>
        <v>0</v>
      </c>
      <c r="AB53" s="322">
        <f t="shared" si="32"/>
        <v>0</v>
      </c>
      <c r="AC53" s="322">
        <f t="shared" si="33"/>
        <v>0</v>
      </c>
      <c r="AD53" s="322">
        <f t="shared" si="34"/>
        <v>0</v>
      </c>
      <c r="AE53" s="322">
        <f t="shared" si="35"/>
        <v>360.5468672082535</v>
      </c>
      <c r="AF53" s="322">
        <f t="shared" si="36"/>
        <v>247984.13526583675</v>
      </c>
      <c r="AG53" s="322">
        <f t="shared" si="37"/>
        <v>360.5468672082535</v>
      </c>
      <c r="AI53" s="325">
        <f>'[9]Allocation = % of margin'!P53+'[9]Allocation = % of margin'!S53+'[9]Allocation = % of margin'!V53+'[9]Allocation = % of margin'!Y53+'[9]Allocation = % of margin'!AB53+'[9]Allocation = % of margin'!AE53+'[9]Allocation = % of margin'!AH53+'[9]Allocation = % of margin'!AK53+'[9]Allocation = % of margin'!AN53+' Increments  equal ¢ per therm'!H53+' Increments  equal ¢ per therm'!K53+' Increments  equal ¢ per therm'!N53+' Increments  equal ¢ per therm'!Q53+' Increments  equal ¢ per therm'!T53+' Increments  equal ¢ per therm'!W53+'[9]Allocation = % of revenue'!M53</f>
        <v>0.24398</v>
      </c>
      <c r="AJ53" s="224">
        <f>'Summary of Temporaries '!W53</f>
        <v>0.24398</v>
      </c>
      <c r="AK53" s="244">
        <f>[9]Permanents!F53</f>
        <v>0</v>
      </c>
      <c r="AL53" s="325">
        <f t="shared" si="38"/>
        <v>0</v>
      </c>
    </row>
    <row r="54" spans="1:38" x14ac:dyDescent="0.35">
      <c r="A54" s="234">
        <f t="shared" si="20"/>
        <v>48</v>
      </c>
      <c r="B54" s="338"/>
      <c r="C54" s="339" t="s">
        <v>72</v>
      </c>
      <c r="D54" s="333">
        <f>'[9]Washington volumes'!J54</f>
        <v>0</v>
      </c>
      <c r="E54" s="336"/>
      <c r="F54" s="334">
        <v>0</v>
      </c>
      <c r="G54" s="333">
        <f t="shared" si="21"/>
        <v>0</v>
      </c>
      <c r="H54" s="335">
        <f t="shared" si="22"/>
        <v>0</v>
      </c>
      <c r="I54" s="334">
        <v>0</v>
      </c>
      <c r="J54" s="333">
        <f t="shared" si="23"/>
        <v>0</v>
      </c>
      <c r="K54" s="335">
        <f t="shared" si="24"/>
        <v>0</v>
      </c>
      <c r="L54" s="334">
        <v>0</v>
      </c>
      <c r="M54" s="333">
        <f t="shared" si="25"/>
        <v>0</v>
      </c>
      <c r="N54" s="335">
        <f t="shared" si="26"/>
        <v>0</v>
      </c>
      <c r="O54" s="334">
        <v>0</v>
      </c>
      <c r="P54" s="333">
        <f t="shared" si="27"/>
        <v>0</v>
      </c>
      <c r="Q54" s="335">
        <f t="shared" si="28"/>
        <v>0</v>
      </c>
      <c r="R54" s="334">
        <v>1</v>
      </c>
      <c r="S54" s="333">
        <f t="shared" si="29"/>
        <v>0</v>
      </c>
      <c r="T54" s="335">
        <f t="shared" si="30"/>
        <v>3.5E-4</v>
      </c>
      <c r="U54" s="334">
        <v>1</v>
      </c>
      <c r="V54" s="333">
        <v>0</v>
      </c>
      <c r="W54" s="332">
        <f t="shared" si="39"/>
        <v>0.24073</v>
      </c>
      <c r="AA54" s="322">
        <f t="shared" si="31"/>
        <v>0</v>
      </c>
      <c r="AB54" s="322">
        <f t="shared" si="32"/>
        <v>0</v>
      </c>
      <c r="AC54" s="322">
        <f t="shared" si="33"/>
        <v>0</v>
      </c>
      <c r="AD54" s="322">
        <f t="shared" si="34"/>
        <v>0</v>
      </c>
      <c r="AE54" s="322">
        <f t="shared" si="35"/>
        <v>0</v>
      </c>
      <c r="AF54" s="322">
        <f t="shared" si="36"/>
        <v>0</v>
      </c>
      <c r="AG54" s="322">
        <f t="shared" si="37"/>
        <v>0</v>
      </c>
      <c r="AI54" s="325">
        <f>'[9]Allocation = % of margin'!P54+'[9]Allocation = % of margin'!S54+'[9]Allocation = % of margin'!V54+'[9]Allocation = % of margin'!Y54+'[9]Allocation = % of margin'!AB54+'[9]Allocation = % of margin'!AE54+'[9]Allocation = % of margin'!AH54+'[9]Allocation = % of margin'!AK54+'[9]Allocation = % of margin'!AN54+' Increments  equal ¢ per therm'!H54+' Increments  equal ¢ per therm'!K54+' Increments  equal ¢ per therm'!N54+' Increments  equal ¢ per therm'!Q54+' Increments  equal ¢ per therm'!T54+' Increments  equal ¢ per therm'!W54+'[9]Allocation = % of revenue'!M54</f>
        <v>0.24218000000000001</v>
      </c>
      <c r="AJ54" s="224">
        <f>'Summary of Temporaries '!W54</f>
        <v>0.24218000000000001</v>
      </c>
      <c r="AK54" s="244">
        <f>[9]Permanents!F54</f>
        <v>0</v>
      </c>
      <c r="AL54" s="325">
        <f t="shared" si="38"/>
        <v>0</v>
      </c>
    </row>
    <row r="55" spans="1:38" x14ac:dyDescent="0.35">
      <c r="A55" s="234">
        <f t="shared" si="20"/>
        <v>49</v>
      </c>
      <c r="B55" s="234" t="s">
        <v>76</v>
      </c>
      <c r="C55" s="344" t="s">
        <v>61</v>
      </c>
      <c r="D55" s="323">
        <f>'[9]Washington volumes'!J55</f>
        <v>237823.79371068976</v>
      </c>
      <c r="E55" s="343"/>
      <c r="F55" s="341">
        <v>1</v>
      </c>
      <c r="G55" s="323">
        <f t="shared" si="21"/>
        <v>237823.79371068976</v>
      </c>
      <c r="H55" s="342">
        <f t="shared" si="22"/>
        <v>-0.14299000000000001</v>
      </c>
      <c r="I55" s="341">
        <v>0</v>
      </c>
      <c r="J55" s="323">
        <f t="shared" si="23"/>
        <v>0</v>
      </c>
      <c r="K55" s="342">
        <f t="shared" si="24"/>
        <v>0</v>
      </c>
      <c r="L55" s="341">
        <v>1</v>
      </c>
      <c r="M55" s="323">
        <f t="shared" si="25"/>
        <v>237823.79371068976</v>
      </c>
      <c r="N55" s="342">
        <f t="shared" si="26"/>
        <v>-3.1469999999999998E-2</v>
      </c>
      <c r="O55" s="341">
        <v>0</v>
      </c>
      <c r="P55" s="323">
        <f t="shared" si="27"/>
        <v>0</v>
      </c>
      <c r="Q55" s="342">
        <f t="shared" si="28"/>
        <v>0</v>
      </c>
      <c r="R55" s="341">
        <v>0</v>
      </c>
      <c r="S55" s="323">
        <f t="shared" si="29"/>
        <v>0</v>
      </c>
      <c r="T55" s="342">
        <f t="shared" si="30"/>
        <v>0</v>
      </c>
      <c r="U55" s="341">
        <v>1</v>
      </c>
      <c r="V55" s="323">
        <v>240000</v>
      </c>
      <c r="W55" s="340">
        <f t="shared" si="39"/>
        <v>0.24073</v>
      </c>
      <c r="AA55" s="322">
        <f t="shared" si="31"/>
        <v>-34006.424262691529</v>
      </c>
      <c r="AB55" s="322">
        <f t="shared" si="32"/>
        <v>0</v>
      </c>
      <c r="AC55" s="322">
        <f t="shared" si="33"/>
        <v>-7484.3147880754059</v>
      </c>
      <c r="AD55" s="322">
        <f t="shared" si="34"/>
        <v>0</v>
      </c>
      <c r="AE55" s="322">
        <f t="shared" si="35"/>
        <v>0</v>
      </c>
      <c r="AF55" s="322">
        <f t="shared" si="36"/>
        <v>57251.321859974349</v>
      </c>
      <c r="AG55" s="322">
        <f t="shared" si="37"/>
        <v>-41490.739050766933</v>
      </c>
      <c r="AI55" s="325">
        <f>'[9]Allocation = % of margin'!P55+'[9]Allocation = % of margin'!S55+'[9]Allocation = % of margin'!V55+'[9]Allocation = % of margin'!Y55+'[9]Allocation = % of margin'!AB55+'[9]Allocation = % of margin'!AE55+'[9]Allocation = % of margin'!AH55+'[9]Allocation = % of margin'!AK55+'[9]Allocation = % of margin'!AN55+' Increments  equal ¢ per therm'!H55+' Increments  equal ¢ per therm'!K55+' Increments  equal ¢ per therm'!N55+' Increments  equal ¢ per therm'!Q55+' Increments  equal ¢ per therm'!T55+' Increments  equal ¢ per therm'!W55+'[9]Allocation = % of revenue'!M55</f>
        <v>9.7669999999999993E-2</v>
      </c>
      <c r="AJ55" s="224">
        <f>'Summary of Temporaries '!W55</f>
        <v>9.7640000000000005E-2</v>
      </c>
      <c r="AK55" s="244">
        <f>[9]Permanents!F55</f>
        <v>3.0000000000000001E-5</v>
      </c>
      <c r="AL55" s="325">
        <f t="shared" si="38"/>
        <v>-1.1631456431696052E-17</v>
      </c>
    </row>
    <row r="56" spans="1:38" x14ac:dyDescent="0.35">
      <c r="A56" s="234">
        <f t="shared" si="20"/>
        <v>50</v>
      </c>
      <c r="B56" s="234"/>
      <c r="C56" s="344" t="s">
        <v>62</v>
      </c>
      <c r="D56" s="323">
        <f>'[9]Washington volumes'!J56</f>
        <v>449890.27963003801</v>
      </c>
      <c r="E56" s="343"/>
      <c r="F56" s="341">
        <v>1</v>
      </c>
      <c r="G56" s="323">
        <f t="shared" si="21"/>
        <v>449890.27963003801</v>
      </c>
      <c r="H56" s="342">
        <f t="shared" si="22"/>
        <v>-0.14299000000000001</v>
      </c>
      <c r="I56" s="341">
        <v>0</v>
      </c>
      <c r="J56" s="323">
        <f t="shared" si="23"/>
        <v>0</v>
      </c>
      <c r="K56" s="342">
        <f t="shared" si="24"/>
        <v>0</v>
      </c>
      <c r="L56" s="341">
        <v>1</v>
      </c>
      <c r="M56" s="323">
        <f t="shared" si="25"/>
        <v>449890.27963003801</v>
      </c>
      <c r="N56" s="342">
        <f t="shared" si="26"/>
        <v>-3.1469999999999998E-2</v>
      </c>
      <c r="O56" s="341">
        <v>0</v>
      </c>
      <c r="P56" s="323">
        <f t="shared" si="27"/>
        <v>0</v>
      </c>
      <c r="Q56" s="342">
        <f t="shared" si="28"/>
        <v>0</v>
      </c>
      <c r="R56" s="341">
        <v>0</v>
      </c>
      <c r="S56" s="323">
        <f t="shared" si="29"/>
        <v>0</v>
      </c>
      <c r="T56" s="342">
        <f t="shared" si="30"/>
        <v>0</v>
      </c>
      <c r="U56" s="341">
        <v>1</v>
      </c>
      <c r="V56" s="323">
        <v>456502</v>
      </c>
      <c r="W56" s="340">
        <f t="shared" si="39"/>
        <v>0.24073</v>
      </c>
      <c r="AA56" s="322">
        <f t="shared" si="31"/>
        <v>-64329.811084299137</v>
      </c>
      <c r="AB56" s="322">
        <f t="shared" si="32"/>
        <v>0</v>
      </c>
      <c r="AC56" s="322">
        <f t="shared" si="33"/>
        <v>-14158.047099957295</v>
      </c>
      <c r="AD56" s="322">
        <f t="shared" si="34"/>
        <v>0</v>
      </c>
      <c r="AE56" s="322">
        <f t="shared" si="35"/>
        <v>0</v>
      </c>
      <c r="AF56" s="322">
        <f t="shared" si="36"/>
        <v>108302.08701533906</v>
      </c>
      <c r="AG56" s="322">
        <f t="shared" si="37"/>
        <v>-78487.858184256431</v>
      </c>
      <c r="AI56" s="325">
        <f>'[9]Allocation = % of margin'!P56+'[9]Allocation = % of margin'!S56+'[9]Allocation = % of margin'!V56+'[9]Allocation = % of margin'!Y56+'[9]Allocation = % of margin'!AB56+'[9]Allocation = % of margin'!AE56+'[9]Allocation = % of margin'!AH56+'[9]Allocation = % of margin'!AK56+'[9]Allocation = % of margin'!AN56+' Increments  equal ¢ per therm'!H56+' Increments  equal ¢ per therm'!K56+' Increments  equal ¢ per therm'!N56+' Increments  equal ¢ per therm'!Q56+' Increments  equal ¢ per therm'!T56+' Increments  equal ¢ per therm'!W56+'[9]Allocation = % of revenue'!M56</f>
        <v>9.4380000000000006E-2</v>
      </c>
      <c r="AJ56" s="224">
        <f>'Summary of Temporaries '!W56</f>
        <v>9.4349999999999989E-2</v>
      </c>
      <c r="AK56" s="244">
        <f>[9]Permanents!F56</f>
        <v>3.0000000000000001E-5</v>
      </c>
      <c r="AL56" s="325">
        <f t="shared" si="38"/>
        <v>1.6124119183932861E-17</v>
      </c>
    </row>
    <row r="57" spans="1:38" x14ac:dyDescent="0.35">
      <c r="A57" s="234">
        <f t="shared" si="20"/>
        <v>51</v>
      </c>
      <c r="B57" s="234"/>
      <c r="C57" s="344" t="s">
        <v>69</v>
      </c>
      <c r="D57" s="323">
        <f>'[9]Washington volumes'!J57</f>
        <v>201896.54594079489</v>
      </c>
      <c r="E57" s="343"/>
      <c r="F57" s="341">
        <v>1</v>
      </c>
      <c r="G57" s="323">
        <f t="shared" si="21"/>
        <v>201896.54594079489</v>
      </c>
      <c r="H57" s="342">
        <f t="shared" si="22"/>
        <v>-0.14299000000000001</v>
      </c>
      <c r="I57" s="341">
        <v>0</v>
      </c>
      <c r="J57" s="323">
        <f t="shared" si="23"/>
        <v>0</v>
      </c>
      <c r="K57" s="342">
        <f t="shared" si="24"/>
        <v>0</v>
      </c>
      <c r="L57" s="341">
        <v>1</v>
      </c>
      <c r="M57" s="323">
        <f t="shared" si="25"/>
        <v>201896.54594079489</v>
      </c>
      <c r="N57" s="342">
        <f t="shared" si="26"/>
        <v>-3.1469999999999998E-2</v>
      </c>
      <c r="O57" s="341">
        <v>0</v>
      </c>
      <c r="P57" s="323">
        <f t="shared" si="27"/>
        <v>0</v>
      </c>
      <c r="Q57" s="342">
        <f t="shared" si="28"/>
        <v>0</v>
      </c>
      <c r="R57" s="341">
        <v>0</v>
      </c>
      <c r="S57" s="323">
        <f t="shared" si="29"/>
        <v>0</v>
      </c>
      <c r="T57" s="342">
        <f t="shared" si="30"/>
        <v>0</v>
      </c>
      <c r="U57" s="341">
        <v>1</v>
      </c>
      <c r="V57" s="323">
        <v>205609</v>
      </c>
      <c r="W57" s="340">
        <f t="shared" si="39"/>
        <v>0.24073</v>
      </c>
      <c r="AA57" s="322">
        <f t="shared" si="31"/>
        <v>-28869.187104074263</v>
      </c>
      <c r="AB57" s="322">
        <f t="shared" si="32"/>
        <v>0</v>
      </c>
      <c r="AC57" s="322">
        <f t="shared" si="33"/>
        <v>-6353.684300756815</v>
      </c>
      <c r="AD57" s="322">
        <f t="shared" si="34"/>
        <v>0</v>
      </c>
      <c r="AE57" s="322">
        <f t="shared" si="35"/>
        <v>0</v>
      </c>
      <c r="AF57" s="322">
        <f t="shared" si="36"/>
        <v>48602.555504327553</v>
      </c>
      <c r="AG57" s="322">
        <f t="shared" si="37"/>
        <v>-35222.871404831079</v>
      </c>
      <c r="AI57" s="325">
        <f>'[9]Allocation = % of margin'!P57+'[9]Allocation = % of margin'!S57+'[9]Allocation = % of margin'!V57+'[9]Allocation = % of margin'!Y57+'[9]Allocation = % of margin'!AB57+'[9]Allocation = % of margin'!AE57+'[9]Allocation = % of margin'!AH57+'[9]Allocation = % of margin'!AK57+'[9]Allocation = % of margin'!AN57+' Increments  equal ¢ per therm'!H57+' Increments  equal ¢ per therm'!K57+' Increments  equal ¢ per therm'!N57+' Increments  equal ¢ per therm'!Q57+' Increments  equal ¢ per therm'!T57+' Increments  equal ¢ per therm'!W57+'[9]Allocation = % of revenue'!M57</f>
        <v>8.7819999999999995E-2</v>
      </c>
      <c r="AJ57" s="224">
        <f>'Summary of Temporaries '!W57</f>
        <v>8.7799999999999989E-2</v>
      </c>
      <c r="AK57" s="244">
        <f>[9]Permanents!F57</f>
        <v>2.0000000000000002E-5</v>
      </c>
      <c r="AL57" s="325">
        <f t="shared" si="38"/>
        <v>6.1223541427540829E-18</v>
      </c>
    </row>
    <row r="58" spans="1:38" x14ac:dyDescent="0.35">
      <c r="A58" s="234">
        <f t="shared" si="20"/>
        <v>52</v>
      </c>
      <c r="B58" s="234"/>
      <c r="C58" s="344" t="s">
        <v>70</v>
      </c>
      <c r="D58" s="323">
        <f>'[9]Washington volumes'!J58</f>
        <v>59595.669906477466</v>
      </c>
      <c r="E58" s="343"/>
      <c r="F58" s="341">
        <v>1</v>
      </c>
      <c r="G58" s="323">
        <f t="shared" si="21"/>
        <v>59595.669906477466</v>
      </c>
      <c r="H58" s="342">
        <f t="shared" si="22"/>
        <v>-0.14299000000000001</v>
      </c>
      <c r="I58" s="341">
        <v>0</v>
      </c>
      <c r="J58" s="323">
        <f t="shared" si="23"/>
        <v>0</v>
      </c>
      <c r="K58" s="342">
        <f t="shared" si="24"/>
        <v>0</v>
      </c>
      <c r="L58" s="341">
        <v>1</v>
      </c>
      <c r="M58" s="323">
        <f t="shared" si="25"/>
        <v>59595.669906477466</v>
      </c>
      <c r="N58" s="342">
        <f t="shared" si="26"/>
        <v>-3.1469999999999998E-2</v>
      </c>
      <c r="O58" s="341">
        <v>0</v>
      </c>
      <c r="P58" s="323">
        <f t="shared" si="27"/>
        <v>0</v>
      </c>
      <c r="Q58" s="342">
        <f t="shared" si="28"/>
        <v>0</v>
      </c>
      <c r="R58" s="341">
        <v>0</v>
      </c>
      <c r="S58" s="323">
        <f t="shared" si="29"/>
        <v>0</v>
      </c>
      <c r="T58" s="342">
        <f t="shared" si="30"/>
        <v>0</v>
      </c>
      <c r="U58" s="341">
        <v>1</v>
      </c>
      <c r="V58" s="323">
        <v>31562</v>
      </c>
      <c r="W58" s="340">
        <f t="shared" si="39"/>
        <v>0.24073</v>
      </c>
      <c r="AA58" s="322">
        <f t="shared" si="31"/>
        <v>-8521.5848399272127</v>
      </c>
      <c r="AB58" s="322">
        <f t="shared" si="32"/>
        <v>0</v>
      </c>
      <c r="AC58" s="322">
        <f t="shared" si="33"/>
        <v>-1875.4757319568457</v>
      </c>
      <c r="AD58" s="322">
        <f t="shared" si="34"/>
        <v>0</v>
      </c>
      <c r="AE58" s="322">
        <f t="shared" si="35"/>
        <v>0</v>
      </c>
      <c r="AF58" s="322">
        <f t="shared" si="36"/>
        <v>14346.46561658632</v>
      </c>
      <c r="AG58" s="322">
        <f t="shared" si="37"/>
        <v>-10397.060571884058</v>
      </c>
      <c r="AI58" s="325">
        <f>'[9]Allocation = % of margin'!P58+'[9]Allocation = % of margin'!S58+'[9]Allocation = % of margin'!V58+'[9]Allocation = % of margin'!Y58+'[9]Allocation = % of margin'!AB58+'[9]Allocation = % of margin'!AE58+'[9]Allocation = % of margin'!AH58+'[9]Allocation = % of margin'!AK58+'[9]Allocation = % of margin'!AN58+' Increments  equal ¢ per therm'!H58+' Increments  equal ¢ per therm'!K58+' Increments  equal ¢ per therm'!N58+' Increments  equal ¢ per therm'!Q58+' Increments  equal ¢ per therm'!T58+' Increments  equal ¢ per therm'!W58+'[9]Allocation = % of revenue'!M58</f>
        <v>8.3509999999999987E-2</v>
      </c>
      <c r="AJ58" s="224">
        <f>'Summary of Temporaries '!W58</f>
        <v>8.3490000000000009E-2</v>
      </c>
      <c r="AK58" s="244">
        <f>[9]Permanents!F58</f>
        <v>2.0000000000000002E-5</v>
      </c>
      <c r="AL58" s="325">
        <f t="shared" si="38"/>
        <v>-2.1633221472874831E-17</v>
      </c>
    </row>
    <row r="59" spans="1:38" x14ac:dyDescent="0.35">
      <c r="A59" s="234">
        <f t="shared" si="20"/>
        <v>53</v>
      </c>
      <c r="B59" s="234"/>
      <c r="C59" s="344" t="s">
        <v>71</v>
      </c>
      <c r="D59" s="323">
        <f>'[9]Washington volumes'!J59</f>
        <v>0</v>
      </c>
      <c r="E59" s="343"/>
      <c r="F59" s="341">
        <v>1</v>
      </c>
      <c r="G59" s="323">
        <f t="shared" si="21"/>
        <v>0</v>
      </c>
      <c r="H59" s="342">
        <f t="shared" si="22"/>
        <v>-0.14299000000000001</v>
      </c>
      <c r="I59" s="341">
        <v>0</v>
      </c>
      <c r="J59" s="323">
        <f t="shared" si="23"/>
        <v>0</v>
      </c>
      <c r="K59" s="342">
        <f t="shared" si="24"/>
        <v>0</v>
      </c>
      <c r="L59" s="341">
        <v>1</v>
      </c>
      <c r="M59" s="323">
        <f t="shared" si="25"/>
        <v>0</v>
      </c>
      <c r="N59" s="342">
        <f t="shared" si="26"/>
        <v>-3.1469999999999998E-2</v>
      </c>
      <c r="O59" s="341">
        <v>0</v>
      </c>
      <c r="P59" s="323">
        <f t="shared" si="27"/>
        <v>0</v>
      </c>
      <c r="Q59" s="342">
        <f t="shared" si="28"/>
        <v>0</v>
      </c>
      <c r="R59" s="341">
        <v>0</v>
      </c>
      <c r="S59" s="323">
        <f t="shared" si="29"/>
        <v>0</v>
      </c>
      <c r="T59" s="342">
        <f t="shared" si="30"/>
        <v>0</v>
      </c>
      <c r="U59" s="341">
        <v>1</v>
      </c>
      <c r="V59" s="323">
        <v>0</v>
      </c>
      <c r="W59" s="340">
        <f t="shared" si="39"/>
        <v>0.24073</v>
      </c>
      <c r="AA59" s="322">
        <f t="shared" si="31"/>
        <v>0</v>
      </c>
      <c r="AB59" s="322">
        <f t="shared" si="32"/>
        <v>0</v>
      </c>
      <c r="AC59" s="322">
        <f t="shared" si="33"/>
        <v>0</v>
      </c>
      <c r="AD59" s="322">
        <f t="shared" si="34"/>
        <v>0</v>
      </c>
      <c r="AE59" s="322">
        <f t="shared" si="35"/>
        <v>0</v>
      </c>
      <c r="AF59" s="322">
        <f t="shared" si="36"/>
        <v>0</v>
      </c>
      <c r="AG59" s="322">
        <f t="shared" si="37"/>
        <v>0</v>
      </c>
      <c r="AI59" s="325">
        <f>'[9]Allocation = % of margin'!P59+'[9]Allocation = % of margin'!S59+'[9]Allocation = % of margin'!V59+'[9]Allocation = % of margin'!Y59+'[9]Allocation = % of margin'!AB59+'[9]Allocation = % of margin'!AE59+'[9]Allocation = % of margin'!AH59+'[9]Allocation = % of margin'!AK59+'[9]Allocation = % of margin'!AN59+' Increments  equal ¢ per therm'!H59+' Increments  equal ¢ per therm'!K59+' Increments  equal ¢ per therm'!N59+' Increments  equal ¢ per therm'!Q59+' Increments  equal ¢ per therm'!T59+' Increments  equal ¢ per therm'!W59+'[9]Allocation = % of revenue'!M59</f>
        <v>7.7769999999999992E-2</v>
      </c>
      <c r="AJ59" s="224">
        <f>'Summary of Temporaries '!W59</f>
        <v>7.7759999999999996E-2</v>
      </c>
      <c r="AK59" s="244">
        <f>[9]Permanents!F59</f>
        <v>1.0000000000000001E-5</v>
      </c>
      <c r="AL59" s="325">
        <f t="shared" si="38"/>
        <v>-3.877716832530187E-18</v>
      </c>
    </row>
    <row r="60" spans="1:38" x14ac:dyDescent="0.35">
      <c r="A60" s="234">
        <f t="shared" si="20"/>
        <v>54</v>
      </c>
      <c r="B60" s="338"/>
      <c r="C60" s="339" t="s">
        <v>72</v>
      </c>
      <c r="D60" s="333">
        <f>'[9]Washington volumes'!J60</f>
        <v>0</v>
      </c>
      <c r="E60" s="336"/>
      <c r="F60" s="334">
        <v>1</v>
      </c>
      <c r="G60" s="333">
        <f t="shared" si="21"/>
        <v>0</v>
      </c>
      <c r="H60" s="335">
        <f t="shared" si="22"/>
        <v>-0.14299000000000001</v>
      </c>
      <c r="I60" s="334">
        <v>0</v>
      </c>
      <c r="J60" s="333">
        <f t="shared" si="23"/>
        <v>0</v>
      </c>
      <c r="K60" s="335">
        <f t="shared" si="24"/>
        <v>0</v>
      </c>
      <c r="L60" s="334">
        <v>1</v>
      </c>
      <c r="M60" s="333">
        <f t="shared" si="25"/>
        <v>0</v>
      </c>
      <c r="N60" s="335">
        <f t="shared" si="26"/>
        <v>-3.1469999999999998E-2</v>
      </c>
      <c r="O60" s="334">
        <v>0</v>
      </c>
      <c r="P60" s="333">
        <f t="shared" si="27"/>
        <v>0</v>
      </c>
      <c r="Q60" s="335">
        <f t="shared" si="28"/>
        <v>0</v>
      </c>
      <c r="R60" s="334">
        <v>0</v>
      </c>
      <c r="S60" s="333">
        <f t="shared" si="29"/>
        <v>0</v>
      </c>
      <c r="T60" s="335">
        <f t="shared" si="30"/>
        <v>0</v>
      </c>
      <c r="U60" s="334">
        <v>1</v>
      </c>
      <c r="V60" s="333">
        <v>0</v>
      </c>
      <c r="W60" s="332">
        <f t="shared" si="39"/>
        <v>0.24073</v>
      </c>
      <c r="AA60" s="322">
        <f t="shared" si="31"/>
        <v>0</v>
      </c>
      <c r="AB60" s="322">
        <f t="shared" si="32"/>
        <v>0</v>
      </c>
      <c r="AC60" s="322">
        <f t="shared" si="33"/>
        <v>0</v>
      </c>
      <c r="AD60" s="322">
        <f t="shared" si="34"/>
        <v>0</v>
      </c>
      <c r="AE60" s="322">
        <f t="shared" si="35"/>
        <v>0</v>
      </c>
      <c r="AF60" s="322">
        <f t="shared" si="36"/>
        <v>0</v>
      </c>
      <c r="AG60" s="322">
        <f t="shared" si="37"/>
        <v>0</v>
      </c>
      <c r="AI60" s="325">
        <f>'[9]Allocation = % of margin'!P60+'[9]Allocation = % of margin'!S60+'[9]Allocation = % of margin'!V60+'[9]Allocation = % of margin'!Y60+'[9]Allocation = % of margin'!AB60+'[9]Allocation = % of margin'!AE60+'[9]Allocation = % of margin'!AH60+'[9]Allocation = % of margin'!AK60+'[9]Allocation = % of margin'!AN60+' Increments  equal ¢ per therm'!H60+' Increments  equal ¢ per therm'!K60+' Increments  equal ¢ per therm'!N60+' Increments  equal ¢ per therm'!Q60+' Increments  equal ¢ per therm'!T60+' Increments  equal ¢ per therm'!W60+'[9]Allocation = % of revenue'!M60</f>
        <v>7.059E-2</v>
      </c>
      <c r="AJ60" s="224">
        <f>'Summary of Temporaries '!W60</f>
        <v>7.0589999999999986E-2</v>
      </c>
      <c r="AK60" s="244">
        <f>[9]Permanents!F60</f>
        <v>0</v>
      </c>
      <c r="AL60" s="325">
        <f t="shared" si="38"/>
        <v>1.3877787807814457E-17</v>
      </c>
    </row>
    <row r="61" spans="1:38" x14ac:dyDescent="0.35">
      <c r="A61" s="234">
        <f t="shared" si="20"/>
        <v>55</v>
      </c>
      <c r="B61" s="234" t="s">
        <v>77</v>
      </c>
      <c r="C61" s="344" t="s">
        <v>61</v>
      </c>
      <c r="D61" s="323">
        <f>'[9]Washington volumes'!J61</f>
        <v>171532.62817612645</v>
      </c>
      <c r="E61" s="343"/>
      <c r="F61" s="341">
        <v>1</v>
      </c>
      <c r="G61" s="323">
        <f t="shared" si="21"/>
        <v>171532.62817612645</v>
      </c>
      <c r="H61" s="342">
        <f t="shared" si="22"/>
        <v>-0.14299000000000001</v>
      </c>
      <c r="I61" s="341">
        <v>0</v>
      </c>
      <c r="J61" s="323">
        <f t="shared" si="23"/>
        <v>0</v>
      </c>
      <c r="K61" s="342">
        <f t="shared" si="24"/>
        <v>0</v>
      </c>
      <c r="L61" s="341">
        <v>1</v>
      </c>
      <c r="M61" s="323">
        <f t="shared" si="25"/>
        <v>171532.62817612645</v>
      </c>
      <c r="N61" s="342">
        <f t="shared" si="26"/>
        <v>-3.1469999999999998E-2</v>
      </c>
      <c r="O61" s="341">
        <v>0</v>
      </c>
      <c r="P61" s="323">
        <f t="shared" si="27"/>
        <v>0</v>
      </c>
      <c r="Q61" s="342">
        <f t="shared" si="28"/>
        <v>0</v>
      </c>
      <c r="R61" s="341">
        <v>1</v>
      </c>
      <c r="S61" s="323">
        <f t="shared" si="29"/>
        <v>171532.62817612645</v>
      </c>
      <c r="T61" s="342">
        <f t="shared" si="30"/>
        <v>3.5E-4</v>
      </c>
      <c r="U61" s="341">
        <v>1</v>
      </c>
      <c r="V61" s="323">
        <v>120000</v>
      </c>
      <c r="W61" s="340">
        <f t="shared" si="39"/>
        <v>0.24073</v>
      </c>
      <c r="AA61" s="322">
        <f t="shared" si="31"/>
        <v>-24527.450502904321</v>
      </c>
      <c r="AB61" s="322">
        <f t="shared" si="32"/>
        <v>0</v>
      </c>
      <c r="AC61" s="322">
        <f t="shared" si="33"/>
        <v>-5398.1318087026993</v>
      </c>
      <c r="AD61" s="322">
        <f t="shared" si="34"/>
        <v>0</v>
      </c>
      <c r="AE61" s="322">
        <f t="shared" si="35"/>
        <v>60.036419861644255</v>
      </c>
      <c r="AF61" s="322">
        <f t="shared" si="36"/>
        <v>41293.049580838924</v>
      </c>
      <c r="AG61" s="322">
        <f t="shared" si="37"/>
        <v>-29865.545891745376</v>
      </c>
      <c r="AI61" s="325">
        <f>'[9]Allocation = % of margin'!P61+'[9]Allocation = % of margin'!S61+'[9]Allocation = % of margin'!V61+'[9]Allocation = % of margin'!Y61+'[9]Allocation = % of margin'!AB61+'[9]Allocation = % of margin'!AE61+'[9]Allocation = % of margin'!AH61+'[9]Allocation = % of margin'!AK61+'[9]Allocation = % of margin'!AN61+' Increments  equal ¢ per therm'!H61+' Increments  equal ¢ per therm'!K61+' Increments  equal ¢ per therm'!N61+' Increments  equal ¢ per therm'!Q61+' Increments  equal ¢ per therm'!T61+' Increments  equal ¢ per therm'!W61+'[9]Allocation = % of revenue'!M61</f>
        <v>8.093999999999997E-2</v>
      </c>
      <c r="AJ61" s="224">
        <f>'Summary of Temporaries '!W61</f>
        <v>8.0899999999999972E-2</v>
      </c>
      <c r="AK61" s="244">
        <f>[9]Permanents!F61</f>
        <v>4.0000000000000003E-5</v>
      </c>
      <c r="AL61" s="325">
        <f t="shared" si="38"/>
        <v>-1.6330795223062911E-18</v>
      </c>
    </row>
    <row r="62" spans="1:38" x14ac:dyDescent="0.35">
      <c r="A62" s="234">
        <f t="shared" si="20"/>
        <v>56</v>
      </c>
      <c r="B62" s="234"/>
      <c r="C62" s="344" t="s">
        <v>62</v>
      </c>
      <c r="D62" s="323">
        <f>'[9]Washington volumes'!J62</f>
        <v>27036.058789873507</v>
      </c>
      <c r="E62" s="343"/>
      <c r="F62" s="341">
        <v>1</v>
      </c>
      <c r="G62" s="323">
        <f t="shared" si="21"/>
        <v>27036.058789873507</v>
      </c>
      <c r="H62" s="342">
        <f t="shared" si="22"/>
        <v>-0.14299000000000001</v>
      </c>
      <c r="I62" s="341">
        <v>0</v>
      </c>
      <c r="J62" s="323">
        <f t="shared" si="23"/>
        <v>0</v>
      </c>
      <c r="K62" s="342">
        <f t="shared" si="24"/>
        <v>0</v>
      </c>
      <c r="L62" s="341">
        <v>1</v>
      </c>
      <c r="M62" s="323">
        <f t="shared" si="25"/>
        <v>27036.058789873507</v>
      </c>
      <c r="N62" s="342">
        <f t="shared" si="26"/>
        <v>-3.1469999999999998E-2</v>
      </c>
      <c r="O62" s="341">
        <v>0</v>
      </c>
      <c r="P62" s="323">
        <f t="shared" si="27"/>
        <v>0</v>
      </c>
      <c r="Q62" s="342">
        <f t="shared" si="28"/>
        <v>0</v>
      </c>
      <c r="R62" s="341">
        <v>1</v>
      </c>
      <c r="S62" s="323">
        <f t="shared" si="29"/>
        <v>27036.058789873507</v>
      </c>
      <c r="T62" s="342">
        <f t="shared" si="30"/>
        <v>3.5E-4</v>
      </c>
      <c r="U62" s="341">
        <v>1</v>
      </c>
      <c r="V62" s="323">
        <v>76352</v>
      </c>
      <c r="W62" s="340">
        <f t="shared" si="39"/>
        <v>0.24073</v>
      </c>
      <c r="AA62" s="322">
        <f t="shared" si="31"/>
        <v>-3865.8860463640131</v>
      </c>
      <c r="AB62" s="322">
        <f t="shared" si="32"/>
        <v>0</v>
      </c>
      <c r="AC62" s="322">
        <f t="shared" si="33"/>
        <v>-850.82477011731919</v>
      </c>
      <c r="AD62" s="322">
        <f t="shared" si="34"/>
        <v>0</v>
      </c>
      <c r="AE62" s="322">
        <f t="shared" si="35"/>
        <v>9.462620576455727</v>
      </c>
      <c r="AF62" s="322">
        <f t="shared" si="36"/>
        <v>6508.3904324862497</v>
      </c>
      <c r="AG62" s="322">
        <f t="shared" si="37"/>
        <v>-4707.2481959048764</v>
      </c>
      <c r="AI62" s="325">
        <f>'[9]Allocation = % of margin'!P62+'[9]Allocation = % of margin'!S62+'[9]Allocation = % of margin'!V62+'[9]Allocation = % of margin'!Y62+'[9]Allocation = % of margin'!AB62+'[9]Allocation = % of margin'!AE62+'[9]Allocation = % of margin'!AH62+'[9]Allocation = % of margin'!AK62+'[9]Allocation = % of margin'!AN62+' Increments  equal ¢ per therm'!H62+' Increments  equal ¢ per therm'!K62+' Increments  equal ¢ per therm'!N62+' Increments  equal ¢ per therm'!Q62+' Increments  equal ¢ per therm'!T62+' Increments  equal ¢ per therm'!W62+'[9]Allocation = % of revenue'!M62</f>
        <v>7.9429999999999973E-2</v>
      </c>
      <c r="AJ62" s="224">
        <f>'Summary of Temporaries '!W62</f>
        <v>7.9390000000000016E-2</v>
      </c>
      <c r="AK62" s="244">
        <f>[9]Permanents!F62</f>
        <v>4.0000000000000003E-5</v>
      </c>
      <c r="AL62" s="325">
        <f t="shared" si="38"/>
        <v>-4.3266442945749661E-17</v>
      </c>
    </row>
    <row r="63" spans="1:38" x14ac:dyDescent="0.35">
      <c r="A63" s="234">
        <f t="shared" si="20"/>
        <v>57</v>
      </c>
      <c r="B63" s="234"/>
      <c r="C63" s="344" t="s">
        <v>69</v>
      </c>
      <c r="D63" s="323">
        <f>'[9]Washington volumes'!J63</f>
        <v>0</v>
      </c>
      <c r="E63" s="343"/>
      <c r="F63" s="341">
        <v>1</v>
      </c>
      <c r="G63" s="323">
        <f t="shared" si="21"/>
        <v>0</v>
      </c>
      <c r="H63" s="342">
        <f t="shared" si="22"/>
        <v>-0.14299000000000001</v>
      </c>
      <c r="I63" s="341">
        <v>0</v>
      </c>
      <c r="J63" s="323">
        <f t="shared" si="23"/>
        <v>0</v>
      </c>
      <c r="K63" s="342">
        <f t="shared" si="24"/>
        <v>0</v>
      </c>
      <c r="L63" s="341">
        <v>1</v>
      </c>
      <c r="M63" s="323">
        <f t="shared" si="25"/>
        <v>0</v>
      </c>
      <c r="N63" s="342">
        <f t="shared" si="26"/>
        <v>-3.1469999999999998E-2</v>
      </c>
      <c r="O63" s="341">
        <v>0</v>
      </c>
      <c r="P63" s="323">
        <f t="shared" si="27"/>
        <v>0</v>
      </c>
      <c r="Q63" s="342">
        <f t="shared" si="28"/>
        <v>0</v>
      </c>
      <c r="R63" s="341">
        <v>1</v>
      </c>
      <c r="S63" s="323">
        <f t="shared" si="29"/>
        <v>0</v>
      </c>
      <c r="T63" s="342">
        <f t="shared" si="30"/>
        <v>3.5E-4</v>
      </c>
      <c r="U63" s="341">
        <v>1</v>
      </c>
      <c r="V63" s="323">
        <v>0</v>
      </c>
      <c r="W63" s="340">
        <f t="shared" si="39"/>
        <v>0.24073</v>
      </c>
      <c r="AA63" s="322">
        <f t="shared" si="31"/>
        <v>0</v>
      </c>
      <c r="AB63" s="322">
        <f t="shared" si="32"/>
        <v>0</v>
      </c>
      <c r="AC63" s="322">
        <f t="shared" si="33"/>
        <v>0</v>
      </c>
      <c r="AD63" s="322">
        <f t="shared" si="34"/>
        <v>0</v>
      </c>
      <c r="AE63" s="322">
        <f t="shared" si="35"/>
        <v>0</v>
      </c>
      <c r="AF63" s="322">
        <f t="shared" si="36"/>
        <v>0</v>
      </c>
      <c r="AG63" s="322">
        <f t="shared" si="37"/>
        <v>0</v>
      </c>
      <c r="AI63" s="325">
        <f>'[9]Allocation = % of margin'!P63+'[9]Allocation = % of margin'!S63+'[9]Allocation = % of margin'!V63+'[9]Allocation = % of margin'!Y63+'[9]Allocation = % of margin'!AB63+'[9]Allocation = % of margin'!AE63+'[9]Allocation = % of margin'!AH63+'[9]Allocation = % of margin'!AK63+'[9]Allocation = % of margin'!AN63+' Increments  equal ¢ per therm'!H63+' Increments  equal ¢ per therm'!K63+' Increments  equal ¢ per therm'!N63+' Increments  equal ¢ per therm'!Q63+' Increments  equal ¢ per therm'!T63+' Increments  equal ¢ per therm'!W63+'[9]Allocation = % of revenue'!M63</f>
        <v>7.643999999999998E-2</v>
      </c>
      <c r="AJ63" s="224">
        <f>'Summary of Temporaries '!W63</f>
        <v>7.6409999999999978E-2</v>
      </c>
      <c r="AK63" s="244">
        <f>[9]Permanents!F63</f>
        <v>3.0000000000000001E-5</v>
      </c>
      <c r="AL63" s="325">
        <f t="shared" si="38"/>
        <v>2.2463313761184045E-18</v>
      </c>
    </row>
    <row r="64" spans="1:38" x14ac:dyDescent="0.35">
      <c r="A64" s="234">
        <f t="shared" si="20"/>
        <v>58</v>
      </c>
      <c r="B64" s="234"/>
      <c r="C64" s="344" t="s">
        <v>70</v>
      </c>
      <c r="D64" s="323">
        <f>'[9]Washington volumes'!J64</f>
        <v>0</v>
      </c>
      <c r="E64" s="343"/>
      <c r="F64" s="341">
        <v>1</v>
      </c>
      <c r="G64" s="323">
        <f t="shared" si="21"/>
        <v>0</v>
      </c>
      <c r="H64" s="342">
        <f t="shared" si="22"/>
        <v>-0.14299000000000001</v>
      </c>
      <c r="I64" s="341">
        <v>0</v>
      </c>
      <c r="J64" s="323">
        <f t="shared" si="23"/>
        <v>0</v>
      </c>
      <c r="K64" s="342">
        <f t="shared" si="24"/>
        <v>0</v>
      </c>
      <c r="L64" s="341">
        <v>1</v>
      </c>
      <c r="M64" s="323">
        <f t="shared" si="25"/>
        <v>0</v>
      </c>
      <c r="N64" s="342">
        <f t="shared" si="26"/>
        <v>-3.1469999999999998E-2</v>
      </c>
      <c r="O64" s="341">
        <v>0</v>
      </c>
      <c r="P64" s="323">
        <f t="shared" si="27"/>
        <v>0</v>
      </c>
      <c r="Q64" s="342">
        <f t="shared" si="28"/>
        <v>0</v>
      </c>
      <c r="R64" s="341">
        <v>1</v>
      </c>
      <c r="S64" s="323">
        <f t="shared" si="29"/>
        <v>0</v>
      </c>
      <c r="T64" s="342">
        <f t="shared" si="30"/>
        <v>3.5E-4</v>
      </c>
      <c r="U64" s="341">
        <v>1</v>
      </c>
      <c r="V64" s="323">
        <v>0</v>
      </c>
      <c r="W64" s="340">
        <f t="shared" si="39"/>
        <v>0.24073</v>
      </c>
      <c r="AA64" s="322">
        <f t="shared" si="31"/>
        <v>0</v>
      </c>
      <c r="AB64" s="322">
        <f t="shared" si="32"/>
        <v>0</v>
      </c>
      <c r="AC64" s="322">
        <f t="shared" si="33"/>
        <v>0</v>
      </c>
      <c r="AD64" s="322">
        <f t="shared" si="34"/>
        <v>0</v>
      </c>
      <c r="AE64" s="322">
        <f t="shared" si="35"/>
        <v>0</v>
      </c>
      <c r="AF64" s="322">
        <f t="shared" si="36"/>
        <v>0</v>
      </c>
      <c r="AG64" s="322">
        <f t="shared" si="37"/>
        <v>0</v>
      </c>
      <c r="AI64" s="325">
        <f>'[9]Allocation = % of margin'!P64+'[9]Allocation = % of margin'!S64+'[9]Allocation = % of margin'!V64+'[9]Allocation = % of margin'!Y64+'[9]Allocation = % of margin'!AB64+'[9]Allocation = % of margin'!AE64+'[9]Allocation = % of margin'!AH64+'[9]Allocation = % of margin'!AK64+'[9]Allocation = % of margin'!AN64+' Increments  equal ¢ per therm'!H64+' Increments  equal ¢ per therm'!K64+' Increments  equal ¢ per therm'!N64+' Increments  equal ¢ per therm'!Q64+' Increments  equal ¢ per therm'!T64+' Increments  equal ¢ per therm'!W64+'[9]Allocation = % of revenue'!M64</f>
        <v>7.4469999999999981E-2</v>
      </c>
      <c r="AJ64" s="224">
        <f>'Summary of Temporaries '!W64</f>
        <v>7.4449999999999988E-2</v>
      </c>
      <c r="AK64" s="244">
        <f>[9]Permanents!F64</f>
        <v>2.0000000000000002E-5</v>
      </c>
      <c r="AL64" s="325">
        <f t="shared" si="38"/>
        <v>-7.7554336650603739E-18</v>
      </c>
    </row>
    <row r="65" spans="1:38" x14ac:dyDescent="0.35">
      <c r="A65" s="234">
        <f t="shared" si="20"/>
        <v>59</v>
      </c>
      <c r="B65" s="234"/>
      <c r="C65" s="344" t="s">
        <v>71</v>
      </c>
      <c r="D65" s="323">
        <f>'[9]Washington volumes'!J65</f>
        <v>0</v>
      </c>
      <c r="E65" s="343"/>
      <c r="F65" s="341">
        <v>1</v>
      </c>
      <c r="G65" s="323">
        <f t="shared" si="21"/>
        <v>0</v>
      </c>
      <c r="H65" s="342">
        <f t="shared" si="22"/>
        <v>-0.14299000000000001</v>
      </c>
      <c r="I65" s="341">
        <v>0</v>
      </c>
      <c r="J65" s="323">
        <f t="shared" si="23"/>
        <v>0</v>
      </c>
      <c r="K65" s="342">
        <f t="shared" si="24"/>
        <v>0</v>
      </c>
      <c r="L65" s="341">
        <v>1</v>
      </c>
      <c r="M65" s="323">
        <f t="shared" si="25"/>
        <v>0</v>
      </c>
      <c r="N65" s="342">
        <f t="shared" si="26"/>
        <v>-3.1469999999999998E-2</v>
      </c>
      <c r="O65" s="341">
        <v>0</v>
      </c>
      <c r="P65" s="323">
        <f t="shared" si="27"/>
        <v>0</v>
      </c>
      <c r="Q65" s="342">
        <f t="shared" si="28"/>
        <v>0</v>
      </c>
      <c r="R65" s="341">
        <v>1</v>
      </c>
      <c r="S65" s="323">
        <f t="shared" si="29"/>
        <v>0</v>
      </c>
      <c r="T65" s="342">
        <f t="shared" si="30"/>
        <v>3.5E-4</v>
      </c>
      <c r="U65" s="341">
        <v>1</v>
      </c>
      <c r="V65" s="323">
        <v>0</v>
      </c>
      <c r="W65" s="340">
        <f t="shared" si="39"/>
        <v>0.24073</v>
      </c>
      <c r="AA65" s="322">
        <f t="shared" si="31"/>
        <v>0</v>
      </c>
      <c r="AB65" s="322">
        <f t="shared" si="32"/>
        <v>0</v>
      </c>
      <c r="AC65" s="322">
        <f t="shared" si="33"/>
        <v>0</v>
      </c>
      <c r="AD65" s="322">
        <f t="shared" si="34"/>
        <v>0</v>
      </c>
      <c r="AE65" s="322">
        <f t="shared" si="35"/>
        <v>0</v>
      </c>
      <c r="AF65" s="322">
        <f t="shared" si="36"/>
        <v>0</v>
      </c>
      <c r="AG65" s="322">
        <f t="shared" si="37"/>
        <v>0</v>
      </c>
      <c r="AI65" s="325">
        <f>'[9]Allocation = % of margin'!P65+'[9]Allocation = % of margin'!S65+'[9]Allocation = % of margin'!V65+'[9]Allocation = % of margin'!Y65+'[9]Allocation = % of margin'!AB65+'[9]Allocation = % of margin'!AE65+'[9]Allocation = % of margin'!AH65+'[9]Allocation = % of margin'!AK65+'[9]Allocation = % of margin'!AN65+' Increments  equal ¢ per therm'!H65+' Increments  equal ¢ per therm'!K65+' Increments  equal ¢ per therm'!N65+' Increments  equal ¢ per therm'!Q65+' Increments  equal ¢ per therm'!T65+' Increments  equal ¢ per therm'!W65+'[9]Allocation = % of revenue'!M65</f>
        <v>7.1849999999999997E-2</v>
      </c>
      <c r="AJ65" s="224">
        <f>'Summary of Temporaries '!W65</f>
        <v>7.1839999999999987E-2</v>
      </c>
      <c r="AK65" s="244">
        <f>[9]Permanents!F65</f>
        <v>1.0000000000000001E-5</v>
      </c>
      <c r="AL65" s="325">
        <f t="shared" si="38"/>
        <v>1.000007097528427E-17</v>
      </c>
    </row>
    <row r="66" spans="1:38" x14ac:dyDescent="0.35">
      <c r="A66" s="234">
        <f t="shared" si="20"/>
        <v>60</v>
      </c>
      <c r="B66" s="338"/>
      <c r="C66" s="339" t="s">
        <v>72</v>
      </c>
      <c r="D66" s="333">
        <f>'[9]Washington volumes'!J66</f>
        <v>0</v>
      </c>
      <c r="E66" s="336"/>
      <c r="F66" s="334">
        <v>1</v>
      </c>
      <c r="G66" s="333">
        <f t="shared" si="21"/>
        <v>0</v>
      </c>
      <c r="H66" s="335">
        <f t="shared" si="22"/>
        <v>-0.14299000000000001</v>
      </c>
      <c r="I66" s="334">
        <v>0</v>
      </c>
      <c r="J66" s="333">
        <f t="shared" si="23"/>
        <v>0</v>
      </c>
      <c r="K66" s="335">
        <f t="shared" si="24"/>
        <v>0</v>
      </c>
      <c r="L66" s="334">
        <v>1</v>
      </c>
      <c r="M66" s="333">
        <f t="shared" si="25"/>
        <v>0</v>
      </c>
      <c r="N66" s="335">
        <f t="shared" si="26"/>
        <v>-3.1469999999999998E-2</v>
      </c>
      <c r="O66" s="334">
        <v>0</v>
      </c>
      <c r="P66" s="333">
        <f t="shared" si="27"/>
        <v>0</v>
      </c>
      <c r="Q66" s="335">
        <f t="shared" si="28"/>
        <v>0</v>
      </c>
      <c r="R66" s="334">
        <v>1</v>
      </c>
      <c r="S66" s="333">
        <f t="shared" si="29"/>
        <v>0</v>
      </c>
      <c r="T66" s="335">
        <f t="shared" si="30"/>
        <v>3.5E-4</v>
      </c>
      <c r="U66" s="334">
        <v>1</v>
      </c>
      <c r="V66" s="333">
        <v>0</v>
      </c>
      <c r="W66" s="332">
        <f t="shared" si="39"/>
        <v>0.24073</v>
      </c>
      <c r="AA66" s="322">
        <f t="shared" si="31"/>
        <v>0</v>
      </c>
      <c r="AB66" s="322">
        <f t="shared" si="32"/>
        <v>0</v>
      </c>
      <c r="AC66" s="322">
        <f t="shared" si="33"/>
        <v>0</v>
      </c>
      <c r="AD66" s="322">
        <f t="shared" si="34"/>
        <v>0</v>
      </c>
      <c r="AE66" s="322">
        <f t="shared" si="35"/>
        <v>0</v>
      </c>
      <c r="AF66" s="322">
        <f t="shared" si="36"/>
        <v>0</v>
      </c>
      <c r="AG66" s="322">
        <f t="shared" si="37"/>
        <v>0</v>
      </c>
      <c r="AI66" s="325">
        <f>'[9]Allocation = % of margin'!P66+'[9]Allocation = % of margin'!S66+'[9]Allocation = % of margin'!V66+'[9]Allocation = % of margin'!Y66+'[9]Allocation = % of margin'!AB66+'[9]Allocation = % of margin'!AE66+'[9]Allocation = % of margin'!AH66+'[9]Allocation = % of margin'!AK66+'[9]Allocation = % of margin'!AN66+' Increments  equal ¢ per therm'!H66+' Increments  equal ¢ per therm'!K66+' Increments  equal ¢ per therm'!N66+' Increments  equal ¢ per therm'!Q66+' Increments  equal ¢ per therm'!T66+' Increments  equal ¢ per therm'!W66+'[9]Allocation = % of revenue'!M66</f>
        <v>6.8599999999999994E-2</v>
      </c>
      <c r="AJ66" s="224">
        <f>'Summary of Temporaries '!W66</f>
        <v>6.8589999999999984E-2</v>
      </c>
      <c r="AK66" s="244">
        <f>[9]Permanents!F66</f>
        <v>1.0000000000000001E-5</v>
      </c>
      <c r="AL66" s="325">
        <f t="shared" si="38"/>
        <v>1.000007097528427E-17</v>
      </c>
    </row>
    <row r="67" spans="1:38" x14ac:dyDescent="0.35">
      <c r="A67" s="234">
        <f t="shared" si="20"/>
        <v>61</v>
      </c>
      <c r="B67" s="234" t="s">
        <v>78</v>
      </c>
      <c r="C67" s="344" t="s">
        <v>61</v>
      </c>
      <c r="D67" s="323">
        <f>'[9]Washington volumes'!J67</f>
        <v>0</v>
      </c>
      <c r="E67" s="343"/>
      <c r="F67" s="341">
        <v>0</v>
      </c>
      <c r="G67" s="323">
        <f t="shared" si="21"/>
        <v>0</v>
      </c>
      <c r="H67" s="342">
        <f t="shared" si="22"/>
        <v>0</v>
      </c>
      <c r="I67" s="341">
        <v>0</v>
      </c>
      <c r="J67" s="323">
        <f t="shared" si="23"/>
        <v>0</v>
      </c>
      <c r="K67" s="342">
        <f t="shared" si="24"/>
        <v>0</v>
      </c>
      <c r="L67" s="341">
        <v>0</v>
      </c>
      <c r="M67" s="323">
        <f t="shared" si="25"/>
        <v>0</v>
      </c>
      <c r="N67" s="342">
        <f t="shared" si="26"/>
        <v>0</v>
      </c>
      <c r="O67" s="341">
        <v>0</v>
      </c>
      <c r="P67" s="323">
        <f t="shared" si="27"/>
        <v>0</v>
      </c>
      <c r="Q67" s="342">
        <f t="shared" si="28"/>
        <v>0</v>
      </c>
      <c r="R67" s="341">
        <v>1</v>
      </c>
      <c r="S67" s="323">
        <f t="shared" si="29"/>
        <v>0</v>
      </c>
      <c r="T67" s="342">
        <f t="shared" si="30"/>
        <v>3.5E-4</v>
      </c>
      <c r="U67" s="341">
        <v>1</v>
      </c>
      <c r="V67" s="323">
        <v>0</v>
      </c>
      <c r="W67" s="340">
        <f t="shared" si="39"/>
        <v>0.24073</v>
      </c>
      <c r="AA67" s="322">
        <f t="shared" si="31"/>
        <v>0</v>
      </c>
      <c r="AB67" s="322">
        <f t="shared" si="32"/>
        <v>0</v>
      </c>
      <c r="AC67" s="322">
        <f t="shared" si="33"/>
        <v>0</v>
      </c>
      <c r="AD67" s="322">
        <f t="shared" si="34"/>
        <v>0</v>
      </c>
      <c r="AE67" s="322">
        <f t="shared" si="35"/>
        <v>0</v>
      </c>
      <c r="AF67" s="322">
        <f t="shared" si="36"/>
        <v>0</v>
      </c>
      <c r="AG67" s="322">
        <f t="shared" si="37"/>
        <v>0</v>
      </c>
      <c r="AI67" s="325">
        <f>'[9]Allocation = % of margin'!P67+'[9]Allocation = % of margin'!S67+'[9]Allocation = % of margin'!V67+'[9]Allocation = % of margin'!Y67+'[9]Allocation = % of margin'!AB67+'[9]Allocation = % of margin'!AE67+'[9]Allocation = % of margin'!AH67+'[9]Allocation = % of margin'!AK67+'[9]Allocation = % of margin'!AN67+' Increments  equal ¢ per therm'!H67+' Increments  equal ¢ per therm'!K67+' Increments  equal ¢ per therm'!N67+' Increments  equal ¢ per therm'!Q67+' Increments  equal ¢ per therm'!T67+' Increments  equal ¢ per therm'!W67+'[9]Allocation = % of revenue'!M67</f>
        <v>0.24864</v>
      </c>
      <c r="AJ67" s="224">
        <f>'Summary of Temporaries '!W67</f>
        <v>0.24864</v>
      </c>
      <c r="AK67" s="244">
        <f>[9]Permanents!F67</f>
        <v>0</v>
      </c>
      <c r="AL67" s="325">
        <f t="shared" si="38"/>
        <v>0</v>
      </c>
    </row>
    <row r="68" spans="1:38" x14ac:dyDescent="0.35">
      <c r="A68" s="234">
        <f t="shared" si="20"/>
        <v>62</v>
      </c>
      <c r="B68" s="234"/>
      <c r="C68" s="344" t="s">
        <v>62</v>
      </c>
      <c r="D68" s="323">
        <f>'[9]Washington volumes'!J68</f>
        <v>0</v>
      </c>
      <c r="E68" s="343"/>
      <c r="F68" s="341">
        <v>0</v>
      </c>
      <c r="G68" s="323">
        <f t="shared" si="21"/>
        <v>0</v>
      </c>
      <c r="H68" s="342">
        <f t="shared" si="22"/>
        <v>0</v>
      </c>
      <c r="I68" s="341">
        <v>0</v>
      </c>
      <c r="J68" s="323">
        <f t="shared" si="23"/>
        <v>0</v>
      </c>
      <c r="K68" s="342">
        <f t="shared" si="24"/>
        <v>0</v>
      </c>
      <c r="L68" s="341">
        <v>0</v>
      </c>
      <c r="M68" s="323">
        <f t="shared" si="25"/>
        <v>0</v>
      </c>
      <c r="N68" s="342">
        <f t="shared" si="26"/>
        <v>0</v>
      </c>
      <c r="O68" s="341">
        <v>0</v>
      </c>
      <c r="P68" s="323">
        <f t="shared" si="27"/>
        <v>0</v>
      </c>
      <c r="Q68" s="342">
        <f t="shared" si="28"/>
        <v>0</v>
      </c>
      <c r="R68" s="341">
        <v>1</v>
      </c>
      <c r="S68" s="323">
        <f t="shared" si="29"/>
        <v>0</v>
      </c>
      <c r="T68" s="342">
        <f t="shared" si="30"/>
        <v>3.5E-4</v>
      </c>
      <c r="U68" s="341">
        <v>1</v>
      </c>
      <c r="V68" s="323">
        <v>0</v>
      </c>
      <c r="W68" s="340">
        <f t="shared" si="39"/>
        <v>0.24073</v>
      </c>
      <c r="AA68" s="322">
        <f t="shared" si="31"/>
        <v>0</v>
      </c>
      <c r="AB68" s="322">
        <f t="shared" si="32"/>
        <v>0</v>
      </c>
      <c r="AC68" s="322">
        <f t="shared" si="33"/>
        <v>0</v>
      </c>
      <c r="AD68" s="322">
        <f t="shared" si="34"/>
        <v>0</v>
      </c>
      <c r="AE68" s="322">
        <f t="shared" si="35"/>
        <v>0</v>
      </c>
      <c r="AF68" s="322">
        <f t="shared" si="36"/>
        <v>0</v>
      </c>
      <c r="AG68" s="322">
        <f t="shared" si="37"/>
        <v>0</v>
      </c>
      <c r="AI68" s="325">
        <f>'[9]Allocation = % of margin'!P68+'[9]Allocation = % of margin'!S68+'[9]Allocation = % of margin'!V68+'[9]Allocation = % of margin'!Y68+'[9]Allocation = % of margin'!AB68+'[9]Allocation = % of margin'!AE68+'[9]Allocation = % of margin'!AH68+'[9]Allocation = % of margin'!AK68+'[9]Allocation = % of margin'!AN68+' Increments  equal ¢ per therm'!H68+' Increments  equal ¢ per therm'!K68+' Increments  equal ¢ per therm'!N68+' Increments  equal ¢ per therm'!Q68+' Increments  equal ¢ per therm'!T68+' Increments  equal ¢ per therm'!W68+'[9]Allocation = % of revenue'!M68</f>
        <v>0.24786</v>
      </c>
      <c r="AJ68" s="224">
        <f>'Summary of Temporaries '!W68</f>
        <v>0.24786</v>
      </c>
      <c r="AK68" s="244">
        <f>[9]Permanents!F68</f>
        <v>0</v>
      </c>
      <c r="AL68" s="325">
        <f t="shared" si="38"/>
        <v>0</v>
      </c>
    </row>
    <row r="69" spans="1:38" x14ac:dyDescent="0.35">
      <c r="A69" s="234">
        <f t="shared" si="20"/>
        <v>63</v>
      </c>
      <c r="B69" s="234"/>
      <c r="C69" s="344" t="s">
        <v>69</v>
      </c>
      <c r="D69" s="323">
        <f>'[9]Washington volumes'!J69</f>
        <v>0</v>
      </c>
      <c r="E69" s="343"/>
      <c r="F69" s="341">
        <v>0</v>
      </c>
      <c r="G69" s="323">
        <f t="shared" si="21"/>
        <v>0</v>
      </c>
      <c r="H69" s="342">
        <f t="shared" si="22"/>
        <v>0</v>
      </c>
      <c r="I69" s="341">
        <v>0</v>
      </c>
      <c r="J69" s="323">
        <f t="shared" si="23"/>
        <v>0</v>
      </c>
      <c r="K69" s="342">
        <f t="shared" si="24"/>
        <v>0</v>
      </c>
      <c r="L69" s="341">
        <v>0</v>
      </c>
      <c r="M69" s="323">
        <f t="shared" si="25"/>
        <v>0</v>
      </c>
      <c r="N69" s="342">
        <f t="shared" si="26"/>
        <v>0</v>
      </c>
      <c r="O69" s="341">
        <v>0</v>
      </c>
      <c r="P69" s="323">
        <f t="shared" si="27"/>
        <v>0</v>
      </c>
      <c r="Q69" s="342">
        <f t="shared" si="28"/>
        <v>0</v>
      </c>
      <c r="R69" s="341">
        <v>1</v>
      </c>
      <c r="S69" s="323">
        <f t="shared" si="29"/>
        <v>0</v>
      </c>
      <c r="T69" s="342">
        <f t="shared" si="30"/>
        <v>3.5E-4</v>
      </c>
      <c r="U69" s="341">
        <v>1</v>
      </c>
      <c r="V69" s="323">
        <v>0</v>
      </c>
      <c r="W69" s="340">
        <f t="shared" si="39"/>
        <v>0.24073</v>
      </c>
      <c r="AA69" s="322">
        <f t="shared" si="31"/>
        <v>0</v>
      </c>
      <c r="AB69" s="322">
        <f t="shared" si="32"/>
        <v>0</v>
      </c>
      <c r="AC69" s="322">
        <f t="shared" si="33"/>
        <v>0</v>
      </c>
      <c r="AD69" s="322">
        <f t="shared" si="34"/>
        <v>0</v>
      </c>
      <c r="AE69" s="322">
        <f t="shared" si="35"/>
        <v>0</v>
      </c>
      <c r="AF69" s="322">
        <f t="shared" si="36"/>
        <v>0</v>
      </c>
      <c r="AG69" s="322">
        <f t="shared" si="37"/>
        <v>0</v>
      </c>
      <c r="AI69" s="325">
        <f>'[9]Allocation = % of margin'!P69+'[9]Allocation = % of margin'!S69+'[9]Allocation = % of margin'!V69+'[9]Allocation = % of margin'!Y69+'[9]Allocation = % of margin'!AB69+'[9]Allocation = % of margin'!AE69+'[9]Allocation = % of margin'!AH69+'[9]Allocation = % of margin'!AK69+'[9]Allocation = % of margin'!AN69+' Increments  equal ¢ per therm'!H69+' Increments  equal ¢ per therm'!K69+' Increments  equal ¢ per therm'!N69+' Increments  equal ¢ per therm'!Q69+' Increments  equal ¢ per therm'!T69+' Increments  equal ¢ per therm'!W69+'[9]Allocation = % of revenue'!M69</f>
        <v>0.24626999999999999</v>
      </c>
      <c r="AJ69" s="224">
        <f>'Summary of Temporaries '!W69</f>
        <v>0.24626999999999999</v>
      </c>
      <c r="AK69" s="244">
        <f>[9]Permanents!F69</f>
        <v>0</v>
      </c>
      <c r="AL69" s="325">
        <f t="shared" si="38"/>
        <v>0</v>
      </c>
    </row>
    <row r="70" spans="1:38" x14ac:dyDescent="0.35">
      <c r="A70" s="234">
        <f t="shared" si="20"/>
        <v>64</v>
      </c>
      <c r="B70" s="234"/>
      <c r="C70" s="344" t="s">
        <v>70</v>
      </c>
      <c r="D70" s="323">
        <f>'[9]Washington volumes'!J70</f>
        <v>0</v>
      </c>
      <c r="E70" s="343"/>
      <c r="F70" s="341">
        <v>0</v>
      </c>
      <c r="G70" s="323">
        <f t="shared" si="21"/>
        <v>0</v>
      </c>
      <c r="H70" s="342">
        <f t="shared" si="22"/>
        <v>0</v>
      </c>
      <c r="I70" s="341">
        <v>0</v>
      </c>
      <c r="J70" s="323">
        <f t="shared" si="23"/>
        <v>0</v>
      </c>
      <c r="K70" s="342">
        <f t="shared" si="24"/>
        <v>0</v>
      </c>
      <c r="L70" s="341">
        <v>0</v>
      </c>
      <c r="M70" s="323">
        <f t="shared" si="25"/>
        <v>0</v>
      </c>
      <c r="N70" s="342">
        <f t="shared" si="26"/>
        <v>0</v>
      </c>
      <c r="O70" s="341">
        <v>0</v>
      </c>
      <c r="P70" s="323">
        <f t="shared" si="27"/>
        <v>0</v>
      </c>
      <c r="Q70" s="342">
        <f t="shared" si="28"/>
        <v>0</v>
      </c>
      <c r="R70" s="341">
        <v>1</v>
      </c>
      <c r="S70" s="323">
        <f t="shared" si="29"/>
        <v>0</v>
      </c>
      <c r="T70" s="342">
        <f t="shared" si="30"/>
        <v>3.5E-4</v>
      </c>
      <c r="U70" s="341">
        <v>1</v>
      </c>
      <c r="V70" s="323">
        <v>0</v>
      </c>
      <c r="W70" s="340">
        <f t="shared" si="39"/>
        <v>0.24073</v>
      </c>
      <c r="AA70" s="322">
        <f t="shared" si="31"/>
        <v>0</v>
      </c>
      <c r="AB70" s="322">
        <f t="shared" si="32"/>
        <v>0</v>
      </c>
      <c r="AC70" s="322">
        <f t="shared" si="33"/>
        <v>0</v>
      </c>
      <c r="AD70" s="322">
        <f t="shared" si="34"/>
        <v>0</v>
      </c>
      <c r="AE70" s="322">
        <f t="shared" si="35"/>
        <v>0</v>
      </c>
      <c r="AF70" s="322">
        <f t="shared" si="36"/>
        <v>0</v>
      </c>
      <c r="AG70" s="322">
        <f t="shared" si="37"/>
        <v>0</v>
      </c>
      <c r="AI70" s="325">
        <f>'[9]Allocation = % of margin'!P70+'[9]Allocation = % of margin'!S70+'[9]Allocation = % of margin'!V70+'[9]Allocation = % of margin'!Y70+'[9]Allocation = % of margin'!AB70+'[9]Allocation = % of margin'!AE70+'[9]Allocation = % of margin'!AH70+'[9]Allocation = % of margin'!AK70+'[9]Allocation = % of margin'!AN70+' Increments  equal ¢ per therm'!H70+' Increments  equal ¢ per therm'!K70+' Increments  equal ¢ per therm'!N70+' Increments  equal ¢ per therm'!Q70+' Increments  equal ¢ per therm'!T70+' Increments  equal ¢ per therm'!W70+'[9]Allocation = % of revenue'!M70</f>
        <v>0.24524000000000001</v>
      </c>
      <c r="AJ70" s="224">
        <f>'Summary of Temporaries '!W70</f>
        <v>0.24524000000000001</v>
      </c>
      <c r="AK70" s="244">
        <f>[9]Permanents!F70</f>
        <v>0</v>
      </c>
      <c r="AL70" s="325">
        <f t="shared" si="38"/>
        <v>0</v>
      </c>
    </row>
    <row r="71" spans="1:38" x14ac:dyDescent="0.35">
      <c r="A71" s="234">
        <f t="shared" si="20"/>
        <v>65</v>
      </c>
      <c r="B71" s="234"/>
      <c r="C71" s="344" t="s">
        <v>71</v>
      </c>
      <c r="D71" s="323">
        <f>'[9]Washington volumes'!J71</f>
        <v>0</v>
      </c>
      <c r="E71" s="343"/>
      <c r="F71" s="341">
        <v>0</v>
      </c>
      <c r="G71" s="323">
        <f t="shared" si="21"/>
        <v>0</v>
      </c>
      <c r="H71" s="342">
        <f t="shared" si="22"/>
        <v>0</v>
      </c>
      <c r="I71" s="341">
        <v>0</v>
      </c>
      <c r="J71" s="323">
        <f t="shared" si="23"/>
        <v>0</v>
      </c>
      <c r="K71" s="342">
        <f t="shared" si="24"/>
        <v>0</v>
      </c>
      <c r="L71" s="341">
        <v>0</v>
      </c>
      <c r="M71" s="323">
        <f t="shared" si="25"/>
        <v>0</v>
      </c>
      <c r="N71" s="342">
        <f t="shared" si="26"/>
        <v>0</v>
      </c>
      <c r="O71" s="341">
        <v>0</v>
      </c>
      <c r="P71" s="323">
        <f t="shared" si="27"/>
        <v>0</v>
      </c>
      <c r="Q71" s="342">
        <f t="shared" si="28"/>
        <v>0</v>
      </c>
      <c r="R71" s="341">
        <v>1</v>
      </c>
      <c r="S71" s="323">
        <f t="shared" si="29"/>
        <v>0</v>
      </c>
      <c r="T71" s="342">
        <f t="shared" si="30"/>
        <v>3.5E-4</v>
      </c>
      <c r="U71" s="341">
        <v>1</v>
      </c>
      <c r="V71" s="323">
        <v>0</v>
      </c>
      <c r="W71" s="340">
        <f t="shared" si="39"/>
        <v>0.24073</v>
      </c>
      <c r="AA71" s="322">
        <f t="shared" si="31"/>
        <v>0</v>
      </c>
      <c r="AB71" s="322">
        <f t="shared" si="32"/>
        <v>0</v>
      </c>
      <c r="AC71" s="322">
        <f t="shared" si="33"/>
        <v>0</v>
      </c>
      <c r="AD71" s="322">
        <f t="shared" si="34"/>
        <v>0</v>
      </c>
      <c r="AE71" s="322">
        <f t="shared" si="35"/>
        <v>0</v>
      </c>
      <c r="AF71" s="322">
        <f t="shared" si="36"/>
        <v>0</v>
      </c>
      <c r="AG71" s="322">
        <f t="shared" si="37"/>
        <v>0</v>
      </c>
      <c r="AI71" s="325">
        <f>'[9]Allocation = % of margin'!P71+'[9]Allocation = % of margin'!S71+'[9]Allocation = % of margin'!V71+'[9]Allocation = % of margin'!Y71+'[9]Allocation = % of margin'!AB71+'[9]Allocation = % of margin'!AE71+'[9]Allocation = % of margin'!AH71+'[9]Allocation = % of margin'!AK71+'[9]Allocation = % of margin'!AN71+' Increments  equal ¢ per therm'!H71+' Increments  equal ¢ per therm'!K71+' Increments  equal ¢ per therm'!N71+' Increments  equal ¢ per therm'!Q71+' Increments  equal ¢ per therm'!T71+' Increments  equal ¢ per therm'!W71+'[9]Allocation = % of revenue'!M71</f>
        <v>0.24385000000000001</v>
      </c>
      <c r="AJ71" s="224">
        <f>'Summary of Temporaries '!W71</f>
        <v>0.24385000000000001</v>
      </c>
      <c r="AK71" s="244">
        <f>[9]Permanents!F71</f>
        <v>0</v>
      </c>
      <c r="AL71" s="325">
        <f t="shared" si="38"/>
        <v>0</v>
      </c>
    </row>
    <row r="72" spans="1:38" x14ac:dyDescent="0.35">
      <c r="A72" s="234">
        <f t="shared" ref="A72:A88" si="40">+A71+1</f>
        <v>66</v>
      </c>
      <c r="B72" s="338"/>
      <c r="C72" s="339" t="s">
        <v>72</v>
      </c>
      <c r="D72" s="333">
        <f>'[9]Washington volumes'!J72</f>
        <v>0</v>
      </c>
      <c r="E72" s="336"/>
      <c r="F72" s="334">
        <v>0</v>
      </c>
      <c r="G72" s="333">
        <f t="shared" si="21"/>
        <v>0</v>
      </c>
      <c r="H72" s="335">
        <f t="shared" si="22"/>
        <v>0</v>
      </c>
      <c r="I72" s="334">
        <v>0</v>
      </c>
      <c r="J72" s="333">
        <f t="shared" si="23"/>
        <v>0</v>
      </c>
      <c r="K72" s="335">
        <f t="shared" si="24"/>
        <v>0</v>
      </c>
      <c r="L72" s="334">
        <v>0</v>
      </c>
      <c r="M72" s="333">
        <f t="shared" si="25"/>
        <v>0</v>
      </c>
      <c r="N72" s="335">
        <f t="shared" si="26"/>
        <v>0</v>
      </c>
      <c r="O72" s="334">
        <v>0</v>
      </c>
      <c r="P72" s="333">
        <f t="shared" si="27"/>
        <v>0</v>
      </c>
      <c r="Q72" s="335">
        <f t="shared" si="28"/>
        <v>0</v>
      </c>
      <c r="R72" s="334">
        <v>1</v>
      </c>
      <c r="S72" s="333">
        <f t="shared" si="29"/>
        <v>0</v>
      </c>
      <c r="T72" s="335">
        <f t="shared" si="30"/>
        <v>3.5E-4</v>
      </c>
      <c r="U72" s="334">
        <v>1</v>
      </c>
      <c r="V72" s="333">
        <v>0</v>
      </c>
      <c r="W72" s="332">
        <f t="shared" si="39"/>
        <v>0.24073</v>
      </c>
      <c r="AA72" s="322">
        <f t="shared" si="31"/>
        <v>0</v>
      </c>
      <c r="AB72" s="322">
        <f t="shared" si="32"/>
        <v>0</v>
      </c>
      <c r="AC72" s="322">
        <f t="shared" si="33"/>
        <v>0</v>
      </c>
      <c r="AD72" s="322">
        <f t="shared" si="34"/>
        <v>0</v>
      </c>
      <c r="AE72" s="322">
        <f t="shared" si="35"/>
        <v>0</v>
      </c>
      <c r="AF72" s="322">
        <f t="shared" si="36"/>
        <v>0</v>
      </c>
      <c r="AG72" s="322">
        <f t="shared" si="37"/>
        <v>0</v>
      </c>
      <c r="AI72" s="325">
        <f>'[9]Allocation = % of margin'!P72+'[9]Allocation = % of margin'!S72+'[9]Allocation = % of margin'!V72+'[9]Allocation = % of margin'!Y72+'[9]Allocation = % of margin'!AB72+'[9]Allocation = % of margin'!AE72+'[9]Allocation = % of margin'!AH72+'[9]Allocation = % of margin'!AK72+'[9]Allocation = % of margin'!AN72+' Increments  equal ¢ per therm'!H72+' Increments  equal ¢ per therm'!K72+' Increments  equal ¢ per therm'!N72+' Increments  equal ¢ per therm'!Q72+' Increments  equal ¢ per therm'!T72+' Increments  equal ¢ per therm'!W72+'[9]Allocation = % of revenue'!M72</f>
        <v>0.24212</v>
      </c>
      <c r="AJ72" s="224">
        <f>'Summary of Temporaries '!W72</f>
        <v>0.24212</v>
      </c>
      <c r="AK72" s="244">
        <f>[9]Permanents!F72</f>
        <v>0</v>
      </c>
      <c r="AL72" s="325">
        <f t="shared" si="38"/>
        <v>0</v>
      </c>
    </row>
    <row r="73" spans="1:38" x14ac:dyDescent="0.35">
      <c r="A73" s="234">
        <f t="shared" si="40"/>
        <v>67</v>
      </c>
      <c r="B73" s="234" t="s">
        <v>79</v>
      </c>
      <c r="C73" s="344" t="s">
        <v>61</v>
      </c>
      <c r="D73" s="323">
        <f>'[9]Washington volumes'!J73</f>
        <v>952237.06746634038</v>
      </c>
      <c r="E73" s="343"/>
      <c r="F73" s="341">
        <v>0</v>
      </c>
      <c r="G73" s="323">
        <f t="shared" si="21"/>
        <v>0</v>
      </c>
      <c r="H73" s="342">
        <f t="shared" si="22"/>
        <v>0</v>
      </c>
      <c r="I73" s="341">
        <v>0</v>
      </c>
      <c r="J73" s="323">
        <f t="shared" si="23"/>
        <v>0</v>
      </c>
      <c r="K73" s="342">
        <f t="shared" si="24"/>
        <v>0</v>
      </c>
      <c r="L73" s="341">
        <v>0</v>
      </c>
      <c r="M73" s="323">
        <f t="shared" si="25"/>
        <v>0</v>
      </c>
      <c r="N73" s="342">
        <f t="shared" si="26"/>
        <v>0</v>
      </c>
      <c r="O73" s="341">
        <v>0</v>
      </c>
      <c r="P73" s="323">
        <f t="shared" si="27"/>
        <v>0</v>
      </c>
      <c r="Q73" s="342">
        <f t="shared" si="28"/>
        <v>0</v>
      </c>
      <c r="R73" s="341">
        <v>1</v>
      </c>
      <c r="S73" s="323">
        <f t="shared" si="29"/>
        <v>952237.06746634038</v>
      </c>
      <c r="T73" s="342">
        <f t="shared" si="30"/>
        <v>3.5E-4</v>
      </c>
      <c r="U73" s="341">
        <v>1</v>
      </c>
      <c r="V73" s="323">
        <v>788698</v>
      </c>
      <c r="W73" s="340">
        <f t="shared" si="39"/>
        <v>0.24073</v>
      </c>
      <c r="AA73" s="322">
        <f t="shared" si="31"/>
        <v>0</v>
      </c>
      <c r="AB73" s="322">
        <f t="shared" si="32"/>
        <v>0</v>
      </c>
      <c r="AC73" s="322">
        <f t="shared" si="33"/>
        <v>0</v>
      </c>
      <c r="AD73" s="322">
        <f t="shared" si="34"/>
        <v>0</v>
      </c>
      <c r="AE73" s="322">
        <f t="shared" si="35"/>
        <v>333.28297361321916</v>
      </c>
      <c r="AF73" s="322">
        <f t="shared" si="36"/>
        <v>229232.02925117212</v>
      </c>
      <c r="AG73" s="322">
        <f t="shared" si="37"/>
        <v>333.28297361321916</v>
      </c>
      <c r="AI73" s="325">
        <f>'[9]Allocation = % of margin'!P73+'[9]Allocation = % of margin'!S73+'[9]Allocation = % of margin'!V73+'[9]Allocation = % of margin'!Y73+'[9]Allocation = % of margin'!AB73+'[9]Allocation = % of margin'!AE73+'[9]Allocation = % of margin'!AH73+'[9]Allocation = % of margin'!AK73+'[9]Allocation = % of margin'!AN73+' Increments  equal ¢ per therm'!H73+' Increments  equal ¢ per therm'!K73+' Increments  equal ¢ per therm'!N73+' Increments  equal ¢ per therm'!Q73+' Increments  equal ¢ per therm'!T73+' Increments  equal ¢ per therm'!W73+'[9]Allocation = % of revenue'!M73</f>
        <v>0.24863000000000002</v>
      </c>
      <c r="AJ73" s="224">
        <f>'Summary of Temporaries '!W73</f>
        <v>0.24862999999999999</v>
      </c>
      <c r="AK73" s="244">
        <f>[9]Permanents!F73</f>
        <v>0</v>
      </c>
      <c r="AL73" s="325">
        <f t="shared" si="38"/>
        <v>2.7755575615628914E-17</v>
      </c>
    </row>
    <row r="74" spans="1:38" x14ac:dyDescent="0.35">
      <c r="A74" s="234">
        <f t="shared" si="40"/>
        <v>68</v>
      </c>
      <c r="B74" s="234"/>
      <c r="C74" s="344" t="s">
        <v>62</v>
      </c>
      <c r="D74" s="323">
        <f>'[9]Washington volumes'!J74</f>
        <v>1827774.6796347289</v>
      </c>
      <c r="E74" s="343"/>
      <c r="F74" s="341">
        <v>0</v>
      </c>
      <c r="G74" s="323">
        <f t="shared" si="21"/>
        <v>0</v>
      </c>
      <c r="H74" s="342">
        <f t="shared" si="22"/>
        <v>0</v>
      </c>
      <c r="I74" s="341">
        <v>0</v>
      </c>
      <c r="J74" s="323">
        <f t="shared" si="23"/>
        <v>0</v>
      </c>
      <c r="K74" s="342">
        <f t="shared" si="24"/>
        <v>0</v>
      </c>
      <c r="L74" s="341">
        <v>0</v>
      </c>
      <c r="M74" s="323">
        <f t="shared" si="25"/>
        <v>0</v>
      </c>
      <c r="N74" s="342">
        <f t="shared" si="26"/>
        <v>0</v>
      </c>
      <c r="O74" s="341">
        <v>0</v>
      </c>
      <c r="P74" s="323">
        <f t="shared" si="27"/>
        <v>0</v>
      </c>
      <c r="Q74" s="342">
        <f t="shared" si="28"/>
        <v>0</v>
      </c>
      <c r="R74" s="341">
        <v>1</v>
      </c>
      <c r="S74" s="323">
        <f t="shared" si="29"/>
        <v>1827774.6796347289</v>
      </c>
      <c r="T74" s="342">
        <f t="shared" si="30"/>
        <v>3.5E-4</v>
      </c>
      <c r="U74" s="341">
        <v>1</v>
      </c>
      <c r="V74" s="323">
        <v>1380850</v>
      </c>
      <c r="W74" s="340">
        <f t="shared" si="39"/>
        <v>0.24073</v>
      </c>
      <c r="AA74" s="322">
        <f t="shared" si="31"/>
        <v>0</v>
      </c>
      <c r="AB74" s="322">
        <f t="shared" si="32"/>
        <v>0</v>
      </c>
      <c r="AC74" s="322">
        <f t="shared" si="33"/>
        <v>0</v>
      </c>
      <c r="AD74" s="322">
        <f t="shared" si="34"/>
        <v>0</v>
      </c>
      <c r="AE74" s="322">
        <f t="shared" si="35"/>
        <v>639.72113787215517</v>
      </c>
      <c r="AF74" s="322">
        <f t="shared" si="36"/>
        <v>440000.19862846832</v>
      </c>
      <c r="AG74" s="322">
        <f t="shared" si="37"/>
        <v>639.72113787215517</v>
      </c>
      <c r="AI74" s="325">
        <f>'[9]Allocation = % of margin'!P74+'[9]Allocation = % of margin'!S74+'[9]Allocation = % of margin'!V74+'[9]Allocation = % of margin'!Y74+'[9]Allocation = % of margin'!AB74+'[9]Allocation = % of margin'!AE74+'[9]Allocation = % of margin'!AH74+'[9]Allocation = % of margin'!AK74+'[9]Allocation = % of margin'!AN74+' Increments  equal ¢ per therm'!H74+' Increments  equal ¢ per therm'!K74+' Increments  equal ¢ per therm'!N74+' Increments  equal ¢ per therm'!Q74+' Increments  equal ¢ per therm'!T74+' Increments  equal ¢ per therm'!W74+'[9]Allocation = % of revenue'!M74</f>
        <v>0.24785000000000001</v>
      </c>
      <c r="AJ74" s="224">
        <f>'Summary of Temporaries '!W74</f>
        <v>0.24784999999999999</v>
      </c>
      <c r="AK74" s="244">
        <f>[9]Permanents!F74</f>
        <v>0</v>
      </c>
      <c r="AL74" s="325">
        <f t="shared" si="38"/>
        <v>2.7755575615628914E-17</v>
      </c>
    </row>
    <row r="75" spans="1:38" x14ac:dyDescent="0.35">
      <c r="A75" s="234">
        <f t="shared" si="40"/>
        <v>69</v>
      </c>
      <c r="B75" s="234"/>
      <c r="C75" s="344" t="s">
        <v>69</v>
      </c>
      <c r="D75" s="323">
        <f>'[9]Washington volumes'!J75</f>
        <v>1364375.8495009863</v>
      </c>
      <c r="E75" s="343"/>
      <c r="F75" s="341">
        <v>0</v>
      </c>
      <c r="G75" s="323">
        <f t="shared" si="21"/>
        <v>0</v>
      </c>
      <c r="H75" s="342">
        <f t="shared" si="22"/>
        <v>0</v>
      </c>
      <c r="I75" s="341">
        <v>0</v>
      </c>
      <c r="J75" s="323">
        <f t="shared" si="23"/>
        <v>0</v>
      </c>
      <c r="K75" s="342">
        <f t="shared" si="24"/>
        <v>0</v>
      </c>
      <c r="L75" s="341">
        <v>0</v>
      </c>
      <c r="M75" s="323">
        <f t="shared" si="25"/>
        <v>0</v>
      </c>
      <c r="N75" s="342">
        <f t="shared" si="26"/>
        <v>0</v>
      </c>
      <c r="O75" s="341">
        <v>0</v>
      </c>
      <c r="P75" s="323">
        <f t="shared" si="27"/>
        <v>0</v>
      </c>
      <c r="Q75" s="342">
        <f t="shared" si="28"/>
        <v>0</v>
      </c>
      <c r="R75" s="341">
        <v>1</v>
      </c>
      <c r="S75" s="323">
        <f t="shared" si="29"/>
        <v>1364375.8495009863</v>
      </c>
      <c r="T75" s="342">
        <f t="shared" si="30"/>
        <v>3.5E-4</v>
      </c>
      <c r="U75" s="341">
        <v>1</v>
      </c>
      <c r="V75" s="323">
        <v>1072385</v>
      </c>
      <c r="W75" s="340">
        <f t="shared" si="39"/>
        <v>0.24073</v>
      </c>
      <c r="AA75" s="322">
        <f t="shared" si="31"/>
        <v>0</v>
      </c>
      <c r="AB75" s="322">
        <f t="shared" si="32"/>
        <v>0</v>
      </c>
      <c r="AC75" s="322">
        <f t="shared" si="33"/>
        <v>0</v>
      </c>
      <c r="AD75" s="322">
        <f t="shared" si="34"/>
        <v>0</v>
      </c>
      <c r="AE75" s="322">
        <f t="shared" si="35"/>
        <v>477.53154732534517</v>
      </c>
      <c r="AF75" s="322">
        <f t="shared" si="36"/>
        <v>328446.19825037243</v>
      </c>
      <c r="AG75" s="322">
        <f t="shared" si="37"/>
        <v>477.53154732534517</v>
      </c>
      <c r="AI75" s="325">
        <f>'[9]Allocation = % of margin'!P75+'[9]Allocation = % of margin'!S75+'[9]Allocation = % of margin'!V75+'[9]Allocation = % of margin'!Y75+'[9]Allocation = % of margin'!AB75+'[9]Allocation = % of margin'!AE75+'[9]Allocation = % of margin'!AH75+'[9]Allocation = % of margin'!AK75+'[9]Allocation = % of margin'!AN75+' Increments  equal ¢ per therm'!H75+' Increments  equal ¢ per therm'!K75+' Increments  equal ¢ per therm'!N75+' Increments  equal ¢ per therm'!Q75+' Increments  equal ¢ per therm'!T75+' Increments  equal ¢ per therm'!W75+'[9]Allocation = % of revenue'!M75</f>
        <v>0.24627000000000002</v>
      </c>
      <c r="AJ75" s="224">
        <f>'Summary of Temporaries '!W75</f>
        <v>0.24626999999999999</v>
      </c>
      <c r="AK75" s="244">
        <f>[9]Permanents!F75</f>
        <v>0</v>
      </c>
      <c r="AL75" s="325">
        <f t="shared" si="38"/>
        <v>2.7755575615628914E-17</v>
      </c>
    </row>
    <row r="76" spans="1:38" x14ac:dyDescent="0.35">
      <c r="A76" s="234">
        <f t="shared" si="40"/>
        <v>70</v>
      </c>
      <c r="B76" s="234"/>
      <c r="C76" s="344" t="s">
        <v>70</v>
      </c>
      <c r="D76" s="323">
        <f>'[9]Washington volumes'!J76</f>
        <v>4116253.0789308902</v>
      </c>
      <c r="E76" s="343"/>
      <c r="F76" s="341">
        <v>0</v>
      </c>
      <c r="G76" s="323">
        <f t="shared" si="21"/>
        <v>0</v>
      </c>
      <c r="H76" s="342">
        <f t="shared" si="22"/>
        <v>0</v>
      </c>
      <c r="I76" s="341">
        <v>0</v>
      </c>
      <c r="J76" s="323">
        <f t="shared" si="23"/>
        <v>0</v>
      </c>
      <c r="K76" s="342">
        <f t="shared" si="24"/>
        <v>0</v>
      </c>
      <c r="L76" s="341">
        <v>0</v>
      </c>
      <c r="M76" s="323">
        <f t="shared" si="25"/>
        <v>0</v>
      </c>
      <c r="N76" s="342">
        <f t="shared" si="26"/>
        <v>0</v>
      </c>
      <c r="O76" s="341">
        <v>0</v>
      </c>
      <c r="P76" s="323">
        <f t="shared" si="27"/>
        <v>0</v>
      </c>
      <c r="Q76" s="342">
        <f t="shared" si="28"/>
        <v>0</v>
      </c>
      <c r="R76" s="341">
        <v>1</v>
      </c>
      <c r="S76" s="323">
        <f t="shared" si="29"/>
        <v>4116253.0789308902</v>
      </c>
      <c r="T76" s="342">
        <f t="shared" si="30"/>
        <v>3.5E-4</v>
      </c>
      <c r="U76" s="341">
        <v>1</v>
      </c>
      <c r="V76" s="323">
        <v>3072884</v>
      </c>
      <c r="W76" s="340">
        <f t="shared" si="39"/>
        <v>0.24073</v>
      </c>
      <c r="AA76" s="322">
        <f t="shared" si="31"/>
        <v>0</v>
      </c>
      <c r="AB76" s="322">
        <f t="shared" si="32"/>
        <v>0</v>
      </c>
      <c r="AC76" s="322">
        <f t="shared" si="33"/>
        <v>0</v>
      </c>
      <c r="AD76" s="322">
        <f t="shared" si="34"/>
        <v>0</v>
      </c>
      <c r="AE76" s="322">
        <f t="shared" si="35"/>
        <v>1440.6885776258116</v>
      </c>
      <c r="AF76" s="322">
        <f t="shared" si="36"/>
        <v>990905.6036910332</v>
      </c>
      <c r="AG76" s="322">
        <f t="shared" si="37"/>
        <v>1440.6885776258116</v>
      </c>
      <c r="AI76" s="325">
        <f>'[9]Allocation = % of margin'!P76+'[9]Allocation = % of margin'!S76+'[9]Allocation = % of margin'!V76+'[9]Allocation = % of margin'!Y76+'[9]Allocation = % of margin'!AB76+'[9]Allocation = % of margin'!AE76+'[9]Allocation = % of margin'!AH76+'[9]Allocation = % of margin'!AK76+'[9]Allocation = % of margin'!AN76+' Increments  equal ¢ per therm'!H76+' Increments  equal ¢ per therm'!K76+' Increments  equal ¢ per therm'!N76+' Increments  equal ¢ per therm'!Q76+' Increments  equal ¢ per therm'!T76+' Increments  equal ¢ per therm'!W76+'[9]Allocation = % of revenue'!M76</f>
        <v>0.24524000000000001</v>
      </c>
      <c r="AJ76" s="224">
        <f>'Summary of Temporaries '!W76</f>
        <v>0.24524000000000001</v>
      </c>
      <c r="AK76" s="244">
        <f>[9]Permanents!F76</f>
        <v>0</v>
      </c>
      <c r="AL76" s="325">
        <f t="shared" si="38"/>
        <v>0</v>
      </c>
    </row>
    <row r="77" spans="1:38" x14ac:dyDescent="0.35">
      <c r="A77" s="234">
        <f t="shared" si="40"/>
        <v>71</v>
      </c>
      <c r="B77" s="234"/>
      <c r="C77" s="344" t="s">
        <v>71</v>
      </c>
      <c r="D77" s="323">
        <f>'[9]Washington volumes'!J77</f>
        <v>1831129.0067156893</v>
      </c>
      <c r="E77" s="343"/>
      <c r="F77" s="341">
        <v>0</v>
      </c>
      <c r="G77" s="323">
        <f t="shared" ref="G77:G80" si="41">+$D77*F77</f>
        <v>0</v>
      </c>
      <c r="H77" s="342">
        <f t="shared" si="22"/>
        <v>0</v>
      </c>
      <c r="I77" s="341">
        <v>0</v>
      </c>
      <c r="J77" s="323">
        <f t="shared" ref="J77:J80" si="42">+$D77*I77</f>
        <v>0</v>
      </c>
      <c r="K77" s="342">
        <f t="shared" si="24"/>
        <v>0</v>
      </c>
      <c r="L77" s="341">
        <v>0</v>
      </c>
      <c r="M77" s="323">
        <f t="shared" ref="M77:M80" si="43">+$D77*L77</f>
        <v>0</v>
      </c>
      <c r="N77" s="342">
        <f t="shared" si="26"/>
        <v>0</v>
      </c>
      <c r="O77" s="341">
        <v>0</v>
      </c>
      <c r="P77" s="323">
        <f t="shared" ref="P77:P80" si="44">+$D77*O77</f>
        <v>0</v>
      </c>
      <c r="Q77" s="342">
        <f t="shared" si="28"/>
        <v>0</v>
      </c>
      <c r="R77" s="341">
        <v>1</v>
      </c>
      <c r="S77" s="323">
        <f t="shared" ref="S77:S80" si="45">+$D77*R77</f>
        <v>1831129.0067156893</v>
      </c>
      <c r="T77" s="342">
        <f t="shared" si="30"/>
        <v>3.5E-4</v>
      </c>
      <c r="U77" s="341">
        <v>1</v>
      </c>
      <c r="V77" s="323">
        <v>1567654</v>
      </c>
      <c r="W77" s="340">
        <f t="shared" si="39"/>
        <v>0.24073</v>
      </c>
      <c r="AA77" s="322">
        <f t="shared" si="31"/>
        <v>0</v>
      </c>
      <c r="AB77" s="322">
        <f t="shared" si="32"/>
        <v>0</v>
      </c>
      <c r="AC77" s="322">
        <f t="shared" si="33"/>
        <v>0</v>
      </c>
      <c r="AD77" s="322">
        <f t="shared" si="34"/>
        <v>0</v>
      </c>
      <c r="AE77" s="322">
        <f t="shared" si="35"/>
        <v>640.89515235049123</v>
      </c>
      <c r="AF77" s="322">
        <f t="shared" si="36"/>
        <v>440807.68578666786</v>
      </c>
      <c r="AG77" s="322">
        <f t="shared" si="37"/>
        <v>640.89515235049123</v>
      </c>
      <c r="AI77" s="325">
        <f>'[9]Allocation = % of margin'!P77+'[9]Allocation = % of margin'!S77+'[9]Allocation = % of margin'!V77+'[9]Allocation = % of margin'!Y77+'[9]Allocation = % of margin'!AB77+'[9]Allocation = % of margin'!AE77+'[9]Allocation = % of margin'!AH77+'[9]Allocation = % of margin'!AK77+'[9]Allocation = % of margin'!AN77+' Increments  equal ¢ per therm'!H77+' Increments  equal ¢ per therm'!K77+' Increments  equal ¢ per therm'!N77+' Increments  equal ¢ per therm'!Q77+' Increments  equal ¢ per therm'!T77+' Increments  equal ¢ per therm'!W77+'[9]Allocation = % of revenue'!M77</f>
        <v>0.24385000000000001</v>
      </c>
      <c r="AJ77" s="224">
        <f>'Summary of Temporaries '!W77</f>
        <v>0.24385000000000001</v>
      </c>
      <c r="AK77" s="244">
        <f>[9]Permanents!F77</f>
        <v>0</v>
      </c>
      <c r="AL77" s="325">
        <f t="shared" ref="AL77:AL80" si="46">AI77-AJ77-AK77</f>
        <v>0</v>
      </c>
    </row>
    <row r="78" spans="1:38" x14ac:dyDescent="0.35">
      <c r="A78" s="234">
        <f t="shared" si="40"/>
        <v>72</v>
      </c>
      <c r="B78" s="338"/>
      <c r="C78" s="339" t="s">
        <v>72</v>
      </c>
      <c r="D78" s="333">
        <f>'[9]Washington volumes'!J78</f>
        <v>0</v>
      </c>
      <c r="E78" s="336"/>
      <c r="F78" s="334">
        <v>0</v>
      </c>
      <c r="G78" s="333">
        <f t="shared" si="41"/>
        <v>0</v>
      </c>
      <c r="H78" s="335">
        <f t="shared" si="22"/>
        <v>0</v>
      </c>
      <c r="I78" s="334">
        <v>0</v>
      </c>
      <c r="J78" s="333">
        <f t="shared" si="42"/>
        <v>0</v>
      </c>
      <c r="K78" s="335">
        <f t="shared" si="24"/>
        <v>0</v>
      </c>
      <c r="L78" s="334">
        <v>0</v>
      </c>
      <c r="M78" s="333">
        <f t="shared" si="43"/>
        <v>0</v>
      </c>
      <c r="N78" s="335">
        <f t="shared" si="26"/>
        <v>0</v>
      </c>
      <c r="O78" s="334">
        <v>0</v>
      </c>
      <c r="P78" s="333">
        <f t="shared" si="44"/>
        <v>0</v>
      </c>
      <c r="Q78" s="335">
        <f t="shared" si="28"/>
        <v>0</v>
      </c>
      <c r="R78" s="334">
        <v>1</v>
      </c>
      <c r="S78" s="333">
        <f t="shared" si="45"/>
        <v>0</v>
      </c>
      <c r="T78" s="335">
        <f t="shared" si="30"/>
        <v>3.5E-4</v>
      </c>
      <c r="U78" s="334">
        <v>1</v>
      </c>
      <c r="V78" s="333">
        <v>0</v>
      </c>
      <c r="W78" s="332">
        <f t="shared" si="39"/>
        <v>0.24073</v>
      </c>
      <c r="AA78" s="322">
        <f t="shared" si="31"/>
        <v>0</v>
      </c>
      <c r="AB78" s="322">
        <f t="shared" si="32"/>
        <v>0</v>
      </c>
      <c r="AC78" s="322">
        <f t="shared" si="33"/>
        <v>0</v>
      </c>
      <c r="AD78" s="322">
        <f t="shared" si="34"/>
        <v>0</v>
      </c>
      <c r="AE78" s="322">
        <f t="shared" si="35"/>
        <v>0</v>
      </c>
      <c r="AF78" s="322">
        <f t="shared" si="36"/>
        <v>0</v>
      </c>
      <c r="AG78" s="322">
        <f t="shared" si="37"/>
        <v>0</v>
      </c>
      <c r="AI78" s="325">
        <f>'[9]Allocation = % of margin'!P78+'[9]Allocation = % of margin'!S78+'[9]Allocation = % of margin'!V78+'[9]Allocation = % of margin'!Y78+'[9]Allocation = % of margin'!AB78+'[9]Allocation = % of margin'!AE78+'[9]Allocation = % of margin'!AH78+'[9]Allocation = % of margin'!AK78+'[9]Allocation = % of margin'!AN78+' Increments  equal ¢ per therm'!H78+' Increments  equal ¢ per therm'!K78+' Increments  equal ¢ per therm'!N78+' Increments  equal ¢ per therm'!Q78+' Increments  equal ¢ per therm'!T78+' Increments  equal ¢ per therm'!W78+'[9]Allocation = % of revenue'!M78</f>
        <v>0.24212</v>
      </c>
      <c r="AJ78" s="224">
        <f>'Summary of Temporaries '!W78</f>
        <v>0.24212</v>
      </c>
      <c r="AK78" s="244">
        <f>[9]Permanents!F78</f>
        <v>0</v>
      </c>
      <c r="AL78" s="325">
        <f t="shared" si="46"/>
        <v>0</v>
      </c>
    </row>
    <row r="79" spans="1:38" x14ac:dyDescent="0.35">
      <c r="A79" s="234">
        <f t="shared" si="40"/>
        <v>73</v>
      </c>
      <c r="B79" s="338" t="s">
        <v>80</v>
      </c>
      <c r="C79" s="338"/>
      <c r="D79" s="333">
        <f>+'[9]Washington volumes'!J79</f>
        <v>0</v>
      </c>
      <c r="E79" s="336"/>
      <c r="F79" s="334">
        <v>0</v>
      </c>
      <c r="G79" s="333">
        <f t="shared" si="41"/>
        <v>0</v>
      </c>
      <c r="H79" s="335">
        <f t="shared" si="22"/>
        <v>0</v>
      </c>
      <c r="I79" s="334">
        <v>0</v>
      </c>
      <c r="J79" s="333">
        <f t="shared" si="42"/>
        <v>0</v>
      </c>
      <c r="K79" s="335">
        <f t="shared" si="24"/>
        <v>0</v>
      </c>
      <c r="L79" s="334">
        <v>0</v>
      </c>
      <c r="M79" s="333">
        <f t="shared" si="43"/>
        <v>0</v>
      </c>
      <c r="N79" s="335">
        <f t="shared" si="26"/>
        <v>0</v>
      </c>
      <c r="O79" s="334">
        <v>0</v>
      </c>
      <c r="P79" s="333">
        <f t="shared" si="44"/>
        <v>0</v>
      </c>
      <c r="Q79" s="335">
        <f t="shared" si="28"/>
        <v>0</v>
      </c>
      <c r="R79" s="334">
        <v>1</v>
      </c>
      <c r="S79" s="333">
        <f t="shared" si="45"/>
        <v>0</v>
      </c>
      <c r="T79" s="335">
        <f t="shared" si="30"/>
        <v>3.5E-4</v>
      </c>
      <c r="U79" s="334">
        <v>1</v>
      </c>
      <c r="V79" s="333">
        <v>0</v>
      </c>
      <c r="W79" s="332">
        <f t="shared" si="39"/>
        <v>0.24073</v>
      </c>
      <c r="AA79" s="322">
        <f t="shared" si="31"/>
        <v>0</v>
      </c>
      <c r="AB79" s="322">
        <f t="shared" si="32"/>
        <v>0</v>
      </c>
      <c r="AC79" s="322">
        <f t="shared" si="33"/>
        <v>0</v>
      </c>
      <c r="AD79" s="322">
        <f t="shared" si="34"/>
        <v>0</v>
      </c>
      <c r="AE79" s="322">
        <f t="shared" si="35"/>
        <v>0</v>
      </c>
      <c r="AF79" s="322">
        <f t="shared" si="36"/>
        <v>0</v>
      </c>
      <c r="AG79" s="322">
        <f t="shared" si="37"/>
        <v>0</v>
      </c>
      <c r="AI79" s="325">
        <f>'[9]Allocation = % of margin'!P79+'[9]Allocation = % of margin'!S79+'[9]Allocation = % of margin'!V79+'[9]Allocation = % of margin'!Y79+'[9]Allocation = % of margin'!AB79+'[9]Allocation = % of margin'!AE79+'[9]Allocation = % of margin'!AH79+'[9]Allocation = % of margin'!AK79+'[9]Allocation = % of margin'!AN79+' Increments  equal ¢ per therm'!H79+' Increments  equal ¢ per therm'!K79+' Increments  equal ¢ per therm'!N79+' Increments  equal ¢ per therm'!Q79+' Increments  equal ¢ per therm'!T79+' Increments  equal ¢ per therm'!W79+'[9]Allocation = % of revenue'!M79</f>
        <v>0.24127000000000001</v>
      </c>
      <c r="AJ79" s="224">
        <f>'Summary of Temporaries '!W79</f>
        <v>0.24127000000000001</v>
      </c>
      <c r="AK79" s="244">
        <f>[9]Permanents!F79</f>
        <v>0</v>
      </c>
      <c r="AL79" s="325">
        <f t="shared" si="46"/>
        <v>0</v>
      </c>
    </row>
    <row r="80" spans="1:38" x14ac:dyDescent="0.35">
      <c r="A80" s="234">
        <f t="shared" si="40"/>
        <v>74</v>
      </c>
      <c r="B80" s="337" t="s">
        <v>81</v>
      </c>
      <c r="C80" s="337"/>
      <c r="D80" s="333">
        <f>+'[9]Washington volumes'!J80</f>
        <v>0</v>
      </c>
      <c r="E80" s="336"/>
      <c r="F80" s="334">
        <v>0</v>
      </c>
      <c r="G80" s="333">
        <f t="shared" si="41"/>
        <v>0</v>
      </c>
      <c r="H80" s="335">
        <f t="shared" si="22"/>
        <v>0</v>
      </c>
      <c r="I80" s="334">
        <v>0</v>
      </c>
      <c r="J80" s="333">
        <f t="shared" si="42"/>
        <v>0</v>
      </c>
      <c r="K80" s="335">
        <f t="shared" si="24"/>
        <v>0</v>
      </c>
      <c r="L80" s="334">
        <v>0</v>
      </c>
      <c r="M80" s="333">
        <f t="shared" si="43"/>
        <v>0</v>
      </c>
      <c r="N80" s="335">
        <f t="shared" si="26"/>
        <v>0</v>
      </c>
      <c r="O80" s="334">
        <v>0</v>
      </c>
      <c r="P80" s="333">
        <f t="shared" si="44"/>
        <v>0</v>
      </c>
      <c r="Q80" s="335">
        <f t="shared" si="28"/>
        <v>0</v>
      </c>
      <c r="R80" s="334">
        <v>1</v>
      </c>
      <c r="S80" s="333">
        <f t="shared" si="45"/>
        <v>0</v>
      </c>
      <c r="T80" s="335">
        <f t="shared" si="30"/>
        <v>3.5E-4</v>
      </c>
      <c r="U80" s="334">
        <v>1</v>
      </c>
      <c r="V80" s="333">
        <v>0</v>
      </c>
      <c r="W80" s="332">
        <f t="shared" si="39"/>
        <v>0.24073</v>
      </c>
      <c r="AA80" s="322">
        <f t="shared" si="31"/>
        <v>0</v>
      </c>
      <c r="AB80" s="322">
        <f t="shared" si="32"/>
        <v>0</v>
      </c>
      <c r="AC80" s="322">
        <f t="shared" si="33"/>
        <v>0</v>
      </c>
      <c r="AD80" s="322">
        <f t="shared" si="34"/>
        <v>0</v>
      </c>
      <c r="AE80" s="322">
        <f t="shared" si="35"/>
        <v>0</v>
      </c>
      <c r="AF80" s="322">
        <f t="shared" si="36"/>
        <v>0</v>
      </c>
      <c r="AG80" s="322">
        <f t="shared" si="37"/>
        <v>0</v>
      </c>
      <c r="AI80" s="325">
        <f>'[9]Allocation = % of margin'!P80+'[9]Allocation = % of margin'!S80+'[9]Allocation = % of margin'!V80+'[9]Allocation = % of margin'!Y80+'[9]Allocation = % of margin'!AB80+'[9]Allocation = % of margin'!AE80+'[9]Allocation = % of margin'!AH80+'[9]Allocation = % of margin'!AK80+'[9]Allocation = % of margin'!AN80+' Increments  equal ¢ per therm'!H80+' Increments  equal ¢ per therm'!K80+' Increments  equal ¢ per therm'!N80+' Increments  equal ¢ per therm'!Q80+' Increments  equal ¢ per therm'!T80+' Increments  equal ¢ per therm'!W80+'[9]Allocation = % of revenue'!M80</f>
        <v>0.24127000000000001</v>
      </c>
      <c r="AJ80" s="224">
        <f>'Summary of Temporaries '!W80</f>
        <v>0.24127000000000001</v>
      </c>
      <c r="AK80" s="244">
        <f>[9]Permanents!F80</f>
        <v>0</v>
      </c>
      <c r="AL80" s="325">
        <f t="shared" si="46"/>
        <v>0</v>
      </c>
    </row>
    <row r="81" spans="1:33" x14ac:dyDescent="0.35">
      <c r="A81" s="234">
        <f t="shared" si="40"/>
        <v>75</v>
      </c>
      <c r="B81" s="337" t="s">
        <v>82</v>
      </c>
      <c r="C81" s="337"/>
      <c r="D81" s="333"/>
      <c r="E81" s="336"/>
      <c r="F81" s="334"/>
      <c r="G81" s="333"/>
      <c r="H81" s="335"/>
      <c r="I81" s="334"/>
      <c r="J81" s="333"/>
      <c r="K81" s="335"/>
      <c r="L81" s="334"/>
      <c r="M81" s="333"/>
      <c r="N81" s="335"/>
      <c r="O81" s="334"/>
      <c r="P81" s="333"/>
      <c r="Q81" s="332"/>
      <c r="R81" s="334"/>
      <c r="S81" s="333"/>
      <c r="T81" s="332"/>
      <c r="U81" s="331">
        <v>1</v>
      </c>
      <c r="V81" s="330"/>
      <c r="W81" s="329"/>
      <c r="AA81" s="328">
        <f t="shared" si="31"/>
        <v>0</v>
      </c>
      <c r="AB81" s="328">
        <f t="shared" si="32"/>
        <v>0</v>
      </c>
      <c r="AC81" s="328">
        <f t="shared" si="33"/>
        <v>0</v>
      </c>
      <c r="AD81" s="328">
        <f t="shared" si="34"/>
        <v>0</v>
      </c>
      <c r="AE81" s="328">
        <f t="shared" si="35"/>
        <v>0</v>
      </c>
      <c r="AF81" s="322">
        <f t="shared" si="36"/>
        <v>0</v>
      </c>
      <c r="AG81" s="322">
        <f t="shared" si="37"/>
        <v>0</v>
      </c>
    </row>
    <row r="82" spans="1:33" x14ac:dyDescent="0.35">
      <c r="A82" s="234">
        <f t="shared" si="40"/>
        <v>76</v>
      </c>
      <c r="F82" s="317"/>
      <c r="H82" s="325"/>
      <c r="K82" s="325"/>
      <c r="N82" s="325"/>
      <c r="U82" s="317"/>
      <c r="V82" s="323"/>
      <c r="W82" s="325"/>
      <c r="AA82" s="322"/>
      <c r="AB82" s="322"/>
      <c r="AC82" s="322"/>
      <c r="AD82" s="322"/>
      <c r="AE82" s="322"/>
      <c r="AF82" s="327"/>
      <c r="AG82" s="327"/>
    </row>
    <row r="83" spans="1:33" x14ac:dyDescent="0.35">
      <c r="A83" s="234">
        <f t="shared" si="40"/>
        <v>77</v>
      </c>
      <c r="B83" s="224" t="s">
        <v>83</v>
      </c>
      <c r="D83" s="326">
        <f>SUM(D13:D82)</f>
        <v>110817104.48625472</v>
      </c>
      <c r="F83" s="317"/>
      <c r="G83" s="326">
        <f>SUM(G13:G81)</f>
        <v>92056529.453026026</v>
      </c>
      <c r="H83" s="325">
        <f>ROUND(+F10/G83,5)</f>
        <v>-0.14299000000000001</v>
      </c>
      <c r="J83" s="326">
        <f>SUM(J13:J81)</f>
        <v>90908754.476872012</v>
      </c>
      <c r="K83" s="325">
        <f>ROUND(+I10/J83,5)</f>
        <v>-2.7019999999999999E-2</v>
      </c>
      <c r="M83" s="326">
        <f>SUM(M13:M81)</f>
        <v>1147774.976154</v>
      </c>
      <c r="N83" s="325">
        <f>ROUND(+L10/M83,5)</f>
        <v>-3.1469999999999998E-2</v>
      </c>
      <c r="P83" s="323">
        <f>SUM(P13:P82)</f>
        <v>59991191.600000001</v>
      </c>
      <c r="Q83" s="243">
        <f>ROUND(+O10/P83,5)</f>
        <v>3.2000000000000003E-4</v>
      </c>
      <c r="S83" s="323">
        <f>SUM(S13:S82)</f>
        <v>21764709.697066709</v>
      </c>
      <c r="T83" s="243">
        <f>ROUND(+R10/S83,5)</f>
        <v>3.5E-4</v>
      </c>
      <c r="U83" s="317"/>
      <c r="V83" s="323">
        <f>SUM(V13:V82)</f>
        <v>99229975.100000024</v>
      </c>
      <c r="W83" s="243"/>
      <c r="X83" s="265" t="s">
        <v>84</v>
      </c>
      <c r="Y83" s="265"/>
      <c r="Z83" s="265"/>
      <c r="AA83" s="324">
        <f t="shared" ref="AA83:AF83" si="47">SUM(AA13:AA82)</f>
        <v>-13163163.146488188</v>
      </c>
      <c r="AB83" s="324">
        <f t="shared" si="47"/>
        <v>-2456354.545965082</v>
      </c>
      <c r="AC83" s="324">
        <f t="shared" si="47"/>
        <v>-36120.478499566372</v>
      </c>
      <c r="AD83" s="324">
        <f t="shared" si="47"/>
        <v>19197.181312000001</v>
      </c>
      <c r="AE83" s="324">
        <f t="shared" si="47"/>
        <v>7617.6483939733471</v>
      </c>
      <c r="AF83" s="324">
        <f t="shared" si="47"/>
        <v>26677001.562976081</v>
      </c>
      <c r="AG83" s="324">
        <f>SUM(AA83:AE83)</f>
        <v>-15628823.341246862</v>
      </c>
    </row>
    <row r="84" spans="1:33" x14ac:dyDescent="0.35">
      <c r="A84" s="234">
        <f t="shared" si="40"/>
        <v>78</v>
      </c>
      <c r="D84" s="323"/>
      <c r="F84" s="317"/>
      <c r="AA84" s="322">
        <f>AA83-F10</f>
        <v>-156.14648818783462</v>
      </c>
      <c r="AB84" s="322">
        <f>AB83-I10</f>
        <v>-220.54596508201212</v>
      </c>
      <c r="AC84" s="322">
        <f>AC83-L10</f>
        <v>3.5215004336278071</v>
      </c>
      <c r="AD84" s="322">
        <f>AD83-O10</f>
        <v>-201.81868799999938</v>
      </c>
      <c r="AE84" s="322">
        <f>AE83-R10</f>
        <v>14.648393973347083</v>
      </c>
      <c r="AF84" s="322"/>
      <c r="AG84" s="322">
        <f>SUM(AA84:AE84)</f>
        <v>-560.34124686287123</v>
      </c>
    </row>
    <row r="85" spans="1:33" ht="15" thickBot="1" x14ac:dyDescent="0.4">
      <c r="A85" s="234">
        <f t="shared" si="40"/>
        <v>79</v>
      </c>
      <c r="B85" s="321" t="s">
        <v>85</v>
      </c>
      <c r="F85" s="317"/>
    </row>
    <row r="86" spans="1:33" ht="15" thickBot="1" x14ac:dyDescent="0.4">
      <c r="A86" s="234">
        <f t="shared" si="40"/>
        <v>80</v>
      </c>
      <c r="B86" s="320" t="s">
        <v>86</v>
      </c>
      <c r="C86" s="241"/>
      <c r="D86" s="227"/>
      <c r="E86" s="227"/>
      <c r="F86" s="319" t="s">
        <v>87</v>
      </c>
      <c r="G86" s="227"/>
      <c r="H86" s="227"/>
      <c r="I86" s="319" t="s">
        <v>88</v>
      </c>
      <c r="J86" s="227"/>
      <c r="K86" s="227"/>
      <c r="L86" s="319" t="s">
        <v>89</v>
      </c>
      <c r="M86" s="227"/>
      <c r="N86" s="227"/>
      <c r="O86" s="319" t="s">
        <v>90</v>
      </c>
      <c r="P86" s="227"/>
      <c r="Q86" s="227"/>
      <c r="R86" s="319" t="s">
        <v>91</v>
      </c>
      <c r="S86" s="227"/>
      <c r="T86" s="226"/>
      <c r="U86" s="227"/>
      <c r="V86" s="227"/>
      <c r="W86" s="226"/>
    </row>
    <row r="87" spans="1:33" ht="15" thickBot="1" x14ac:dyDescent="0.4">
      <c r="A87" s="234">
        <f t="shared" si="40"/>
        <v>81</v>
      </c>
      <c r="B87" s="321" t="s">
        <v>92</v>
      </c>
      <c r="F87" s="317"/>
    </row>
    <row r="88" spans="1:33" ht="15" thickBot="1" x14ac:dyDescent="0.4">
      <c r="A88" s="234">
        <f t="shared" si="40"/>
        <v>82</v>
      </c>
      <c r="B88" s="320" t="s">
        <v>93</v>
      </c>
      <c r="C88" s="241"/>
      <c r="D88" s="227"/>
      <c r="E88" s="227"/>
      <c r="F88" s="319" t="s">
        <v>94</v>
      </c>
      <c r="G88" s="227"/>
      <c r="H88" s="227"/>
      <c r="I88" s="319" t="s">
        <v>94</v>
      </c>
      <c r="J88" s="227"/>
      <c r="K88" s="227"/>
      <c r="L88" s="319" t="s">
        <v>94</v>
      </c>
      <c r="M88" s="227"/>
      <c r="N88" s="227"/>
      <c r="O88" s="318" t="s">
        <v>90</v>
      </c>
      <c r="P88" s="227"/>
      <c r="Q88" s="227"/>
      <c r="R88" s="318" t="s">
        <v>91</v>
      </c>
      <c r="S88" s="227"/>
      <c r="T88" s="226"/>
      <c r="U88" s="227"/>
      <c r="V88" s="229" t="s">
        <v>95</v>
      </c>
      <c r="W88" s="226"/>
    </row>
    <row r="89" spans="1:33" x14ac:dyDescent="0.35">
      <c r="A89" s="234"/>
      <c r="F89" s="317"/>
    </row>
    <row r="90" spans="1:33" x14ac:dyDescent="0.35">
      <c r="A90" s="234"/>
      <c r="F90" s="317"/>
    </row>
  </sheetData>
  <mergeCells count="4">
    <mergeCell ref="O7:Q7"/>
    <mergeCell ref="R7:T7"/>
    <mergeCell ref="AI11:AL11"/>
    <mergeCell ref="U7:W7"/>
  </mergeCells>
  <pageMargins left="0.7" right="0.7" top="0.75" bottom="0.75" header="0.3" footer="0.3"/>
  <pageSetup scale="41" orientation="portrait" r:id="rId1"/>
  <headerFooter alignWithMargins="0">
    <oddHeader>&amp;R&amp;"Arial,Regular"UG-250717 - NWN WUTC Advice 25-08A
Exhibit A - Supporting Materials
Page &amp;P of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4B165-98AE-4560-B6F9-16962A5E8C73}">
  <sheetPr>
    <tabColor theme="0" tint="-0.14999847407452621"/>
    <pageSetUpPr fitToPage="1"/>
  </sheetPr>
  <dimension ref="A1:BE108"/>
  <sheetViews>
    <sheetView tabSelected="1" topLeftCell="A30" zoomScale="99" zoomScaleNormal="99" workbookViewId="0">
      <selection activeCell="I13" sqref="I13:I80"/>
    </sheetView>
  </sheetViews>
  <sheetFormatPr defaultColWidth="9.296875" defaultRowHeight="14.5" x14ac:dyDescent="0.35"/>
  <cols>
    <col min="1" max="1" width="6.796875" style="224" customWidth="1"/>
    <col min="2" max="2" width="17.796875" style="224" customWidth="1"/>
    <col min="3" max="3" width="9.296875" style="224"/>
    <col min="4" max="4" width="16.296875" style="224" hidden="1" customWidth="1"/>
    <col min="5" max="5" width="13.296875" style="224" customWidth="1"/>
    <col min="6" max="8" width="13.69921875" style="224" customWidth="1"/>
    <col min="9" max="9" width="14.296875" style="224" bestFit="1" customWidth="1"/>
    <col min="10" max="11" width="13.296875" style="224" customWidth="1"/>
    <col min="12" max="12" width="11.796875" style="224" customWidth="1"/>
    <col min="13" max="13" width="17.5" style="224" customWidth="1"/>
    <col min="14" max="15" width="16" style="224" hidden="1" customWidth="1"/>
    <col min="16" max="16" width="17.69921875" style="224" hidden="1" customWidth="1"/>
    <col min="17" max="18" width="14.796875" style="224" hidden="1" customWidth="1"/>
    <col min="19" max="19" width="15.296875" style="224" hidden="1" customWidth="1"/>
    <col min="20" max="20" width="15.296875" style="629" hidden="1" customWidth="1"/>
    <col min="21" max="21" width="29.69921875" style="629" hidden="1" customWidth="1"/>
    <col min="22" max="22" width="15.296875" style="629" hidden="1" customWidth="1"/>
    <col min="23" max="24" width="15.296875" style="224" hidden="1" customWidth="1"/>
    <col min="25" max="25" width="17.69921875" style="224" hidden="1" customWidth="1"/>
    <col min="26" max="27" width="15.296875" style="224" hidden="1" customWidth="1"/>
    <col min="28" max="28" width="17.69921875" style="224" hidden="1" customWidth="1"/>
    <col min="29" max="29" width="15.296875" style="494" hidden="1" customWidth="1"/>
    <col min="30" max="30" width="24.69921875" style="494" hidden="1" customWidth="1"/>
    <col min="31" max="31" width="17.69921875" style="494" hidden="1" customWidth="1"/>
    <col min="32" max="34" width="17.69921875" style="224" hidden="1" customWidth="1"/>
    <col min="35" max="35" width="12.296875" style="224" customWidth="1" collapsed="1"/>
    <col min="36" max="36" width="14.296875" style="224" customWidth="1"/>
    <col min="37" max="37" width="16.69921875" style="224" customWidth="1"/>
    <col min="38" max="38" width="11.796875" style="224" hidden="1" customWidth="1"/>
    <col min="39" max="39" width="14.796875" style="224" hidden="1" customWidth="1"/>
    <col min="40" max="40" width="15.796875" style="224" hidden="1" customWidth="1"/>
    <col min="41" max="46" width="22.796875" style="224" hidden="1" customWidth="1"/>
    <col min="47" max="49" width="16.296875" style="224" hidden="1" customWidth="1"/>
    <col min="50" max="52" width="11.69921875" style="224" hidden="1" customWidth="1"/>
    <col min="53" max="53" width="19.19921875" style="495" hidden="1" customWidth="1"/>
    <col min="54" max="54" width="15.296875" style="496" hidden="1" customWidth="1"/>
    <col min="55" max="55" width="15.69921875" style="497" hidden="1" customWidth="1"/>
    <col min="56" max="56" width="16.296875" style="497" hidden="1" customWidth="1"/>
    <col min="57" max="57" width="12" style="497" hidden="1" customWidth="1"/>
    <col min="58" max="16384" width="9.296875" style="224"/>
  </cols>
  <sheetData>
    <row r="1" spans="1:57" x14ac:dyDescent="0.35">
      <c r="A1" s="377" t="str">
        <f>+'[10]Washington volumes'!A1</f>
        <v>NW Natural</v>
      </c>
      <c r="O1" s="493"/>
      <c r="R1" s="493"/>
      <c r="T1" s="235"/>
      <c r="U1" s="391"/>
      <c r="V1" s="235"/>
      <c r="AJ1" s="493"/>
      <c r="AM1" s="493"/>
    </row>
    <row r="2" spans="1:57" x14ac:dyDescent="0.35">
      <c r="A2" s="377" t="str">
        <f>+'[10]Washington volumes'!A2</f>
        <v>Rates &amp; Regulatory Affairs</v>
      </c>
      <c r="G2" s="498" t="s">
        <v>182</v>
      </c>
      <c r="H2" s="499"/>
      <c r="O2" s="493"/>
      <c r="R2" s="493"/>
      <c r="T2" s="235"/>
      <c r="U2" s="391"/>
      <c r="V2" s="235"/>
      <c r="AJ2" s="493"/>
      <c r="AK2" s="500"/>
      <c r="AM2" s="493"/>
      <c r="AN2" s="377" t="s">
        <v>104</v>
      </c>
    </row>
    <row r="3" spans="1:57" x14ac:dyDescent="0.35">
      <c r="A3" s="377" t="str">
        <f>'[10]Washington volumes'!A3</f>
        <v>2025-2026 PGA Filing - Washington: September Filing</v>
      </c>
      <c r="G3" s="501" t="s">
        <v>183</v>
      </c>
      <c r="H3" s="499">
        <f>'[10]Allocation equal ¢ per therm'!W13</f>
        <v>0.24073</v>
      </c>
      <c r="M3" s="500"/>
      <c r="N3" s="500"/>
      <c r="O3" s="493"/>
      <c r="P3" s="502"/>
      <c r="Q3" s="503"/>
      <c r="R3" s="493"/>
      <c r="S3" s="493"/>
      <c r="T3" s="391"/>
      <c r="U3" s="391"/>
      <c r="V3" s="391"/>
      <c r="W3" s="493"/>
      <c r="X3" s="493"/>
      <c r="Y3" s="493"/>
      <c r="Z3" s="493"/>
      <c r="AA3" s="493"/>
      <c r="AB3" s="493"/>
      <c r="AC3" s="504"/>
      <c r="AD3" s="504"/>
      <c r="AE3" s="504"/>
      <c r="AF3" s="493"/>
      <c r="AG3" s="493"/>
      <c r="AH3" s="493"/>
      <c r="AI3" s="325"/>
      <c r="AJ3" s="493"/>
      <c r="AK3" s="493"/>
      <c r="AL3" s="493"/>
      <c r="AM3" s="493"/>
      <c r="AN3" s="502" t="e">
        <f>AN15-AK15-AB15-Y15-V15-#REF!-S15-P15-AE15-AH15</f>
        <v>#REF!</v>
      </c>
    </row>
    <row r="4" spans="1:57" x14ac:dyDescent="0.35">
      <c r="A4" s="377" t="s">
        <v>184</v>
      </c>
      <c r="G4" s="501" t="s">
        <v>185</v>
      </c>
      <c r="H4" s="499">
        <f>'[10]Allocation equal ¢ per therm'!W13</f>
        <v>0.24073</v>
      </c>
      <c r="N4" s="500"/>
      <c r="O4" s="493"/>
      <c r="P4" s="502"/>
      <c r="R4" s="493"/>
      <c r="T4" s="379"/>
      <c r="U4" s="391"/>
      <c r="V4" s="235"/>
      <c r="AJ4" s="493"/>
      <c r="AM4" s="493"/>
      <c r="AN4" s="493"/>
    </row>
    <row r="5" spans="1:57" ht="23.5" x14ac:dyDescent="0.55000000000000004">
      <c r="A5" s="505" t="s">
        <v>186</v>
      </c>
      <c r="J5" s="506"/>
      <c r="K5" s="506"/>
      <c r="L5" s="506"/>
      <c r="M5" s="506"/>
      <c r="N5" s="507"/>
      <c r="O5" s="493"/>
      <c r="P5" s="508"/>
      <c r="Q5" s="508"/>
      <c r="R5" s="508"/>
      <c r="S5" s="508"/>
      <c r="T5" s="379"/>
      <c r="U5" s="639"/>
      <c r="V5" s="407"/>
      <c r="W5" s="508"/>
      <c r="X5" s="508"/>
      <c r="Y5" s="508"/>
      <c r="Z5" s="508"/>
      <c r="AA5" s="508"/>
      <c r="AB5" s="508"/>
      <c r="AC5" s="509"/>
      <c r="AD5" s="509"/>
      <c r="AE5" s="509"/>
      <c r="AF5" s="508"/>
      <c r="AG5" s="508"/>
      <c r="AH5" s="508"/>
      <c r="AI5" s="508"/>
      <c r="AJ5" s="510"/>
      <c r="AK5" s="508"/>
      <c r="AL5" s="508"/>
      <c r="AM5" s="493"/>
      <c r="AN5" s="507"/>
      <c r="AU5" s="638" t="s">
        <v>187</v>
      </c>
      <c r="AV5" s="638"/>
      <c r="AW5" s="638"/>
    </row>
    <row r="6" spans="1:57" ht="15" thickBot="1" x14ac:dyDescent="0.4">
      <c r="I6" s="234" t="s">
        <v>183</v>
      </c>
      <c r="K6" s="234" t="s">
        <v>185</v>
      </c>
      <c r="O6" s="508"/>
      <c r="P6" s="508"/>
      <c r="Q6" s="508"/>
      <c r="R6" s="508"/>
      <c r="S6" s="508"/>
      <c r="T6" s="379"/>
      <c r="U6" s="407"/>
      <c r="V6" s="407"/>
      <c r="W6" s="508"/>
      <c r="X6" s="508"/>
      <c r="Y6" s="508"/>
      <c r="Z6" s="508"/>
      <c r="AA6" s="508"/>
      <c r="AB6" s="508"/>
      <c r="AC6" s="509"/>
      <c r="AD6" s="509"/>
      <c r="AE6" s="509"/>
      <c r="AF6" s="508"/>
      <c r="AG6" s="508"/>
      <c r="AH6" s="508"/>
      <c r="AI6" s="508"/>
      <c r="AJ6" s="510"/>
      <c r="AK6" s="508"/>
      <c r="AL6" s="508"/>
      <c r="AM6" s="508"/>
    </row>
    <row r="7" spans="1:57" x14ac:dyDescent="0.35">
      <c r="A7" s="234">
        <v>1</v>
      </c>
      <c r="D7" s="234" t="s">
        <v>2</v>
      </c>
      <c r="F7" s="511" t="s">
        <v>188</v>
      </c>
      <c r="H7" s="511" t="s">
        <v>183</v>
      </c>
      <c r="I7" s="234" t="s">
        <v>189</v>
      </c>
      <c r="J7" s="511" t="s">
        <v>185</v>
      </c>
      <c r="K7" s="234" t="s">
        <v>189</v>
      </c>
      <c r="L7" s="234" t="s">
        <v>183</v>
      </c>
      <c r="M7" s="511"/>
      <c r="N7" s="511" t="s">
        <v>185</v>
      </c>
      <c r="O7" s="511" t="s">
        <v>185</v>
      </c>
      <c r="P7" s="512" t="s">
        <v>185</v>
      </c>
      <c r="Q7" s="511" t="s">
        <v>185</v>
      </c>
      <c r="R7" s="511" t="s">
        <v>185</v>
      </c>
      <c r="S7" s="512" t="s">
        <v>185</v>
      </c>
      <c r="T7" s="405" t="s">
        <v>185</v>
      </c>
      <c r="U7" s="405" t="s">
        <v>185</v>
      </c>
      <c r="V7" s="406" t="s">
        <v>185</v>
      </c>
      <c r="W7" s="511" t="s">
        <v>185</v>
      </c>
      <c r="X7" s="511" t="s">
        <v>185</v>
      </c>
      <c r="Y7" s="512" t="s">
        <v>185</v>
      </c>
      <c r="Z7" s="511" t="s">
        <v>185</v>
      </c>
      <c r="AA7" s="511" t="s">
        <v>185</v>
      </c>
      <c r="AB7" s="512" t="s">
        <v>185</v>
      </c>
      <c r="AC7" s="513" t="s">
        <v>185</v>
      </c>
      <c r="AD7" s="513" t="s">
        <v>185</v>
      </c>
      <c r="AE7" s="514" t="s">
        <v>185</v>
      </c>
      <c r="AF7" s="511" t="s">
        <v>185</v>
      </c>
      <c r="AG7" s="511" t="s">
        <v>185</v>
      </c>
      <c r="AH7" s="512" t="s">
        <v>185</v>
      </c>
      <c r="AI7" s="511" t="s">
        <v>185</v>
      </c>
      <c r="AJ7" s="511" t="s">
        <v>185</v>
      </c>
      <c r="AK7" s="512" t="s">
        <v>185</v>
      </c>
      <c r="AL7" s="234" t="s">
        <v>185</v>
      </c>
      <c r="AM7" s="234" t="s">
        <v>185</v>
      </c>
      <c r="AN7" s="515" t="s">
        <v>185</v>
      </c>
      <c r="AO7" s="516"/>
      <c r="AP7" s="516"/>
      <c r="AQ7" s="516"/>
      <c r="AR7" s="516"/>
      <c r="AS7" s="516"/>
      <c r="AT7" s="516"/>
      <c r="AU7" s="234" t="s">
        <v>185</v>
      </c>
      <c r="AV7" s="234" t="s">
        <v>185</v>
      </c>
      <c r="AW7" s="517" t="s">
        <v>185</v>
      </c>
    </row>
    <row r="8" spans="1:57" x14ac:dyDescent="0.35">
      <c r="A8" s="234">
        <f t="shared" ref="A8:A39" si="0">+A7+1</f>
        <v>2</v>
      </c>
      <c r="D8" s="234" t="s">
        <v>190</v>
      </c>
      <c r="E8" s="511"/>
      <c r="F8" s="511" t="s">
        <v>191</v>
      </c>
      <c r="G8" s="234" t="s">
        <v>192</v>
      </c>
      <c r="H8" s="511" t="s">
        <v>26</v>
      </c>
      <c r="I8" s="234" t="s">
        <v>192</v>
      </c>
      <c r="J8" s="511" t="s">
        <v>26</v>
      </c>
      <c r="K8" s="234" t="s">
        <v>192</v>
      </c>
      <c r="L8" s="511">
        <v>45658</v>
      </c>
      <c r="M8" s="511">
        <f t="shared" ref="M8:AK8" si="1">$AL$8</f>
        <v>46327</v>
      </c>
      <c r="N8" s="511">
        <f t="shared" si="1"/>
        <v>46327</v>
      </c>
      <c r="O8" s="511">
        <f t="shared" si="1"/>
        <v>46327</v>
      </c>
      <c r="P8" s="518">
        <f t="shared" si="1"/>
        <v>46327</v>
      </c>
      <c r="Q8" s="511">
        <f t="shared" si="1"/>
        <v>46327</v>
      </c>
      <c r="R8" s="511">
        <f t="shared" si="1"/>
        <v>46327</v>
      </c>
      <c r="S8" s="518">
        <f t="shared" si="1"/>
        <v>46327</v>
      </c>
      <c r="T8" s="405">
        <f t="shared" si="1"/>
        <v>46327</v>
      </c>
      <c r="U8" s="405">
        <f t="shared" si="1"/>
        <v>46327</v>
      </c>
      <c r="V8" s="404">
        <f t="shared" si="1"/>
        <v>46327</v>
      </c>
      <c r="W8" s="511">
        <f t="shared" si="1"/>
        <v>46327</v>
      </c>
      <c r="X8" s="511">
        <f t="shared" si="1"/>
        <v>46327</v>
      </c>
      <c r="Y8" s="518">
        <f t="shared" si="1"/>
        <v>46327</v>
      </c>
      <c r="Z8" s="511">
        <f t="shared" si="1"/>
        <v>46327</v>
      </c>
      <c r="AA8" s="511">
        <f t="shared" si="1"/>
        <v>46327</v>
      </c>
      <c r="AB8" s="518">
        <f t="shared" si="1"/>
        <v>46327</v>
      </c>
      <c r="AC8" s="513">
        <f t="shared" si="1"/>
        <v>46327</v>
      </c>
      <c r="AD8" s="513">
        <f t="shared" si="1"/>
        <v>46327</v>
      </c>
      <c r="AE8" s="519">
        <f t="shared" si="1"/>
        <v>46327</v>
      </c>
      <c r="AF8" s="511">
        <f t="shared" si="1"/>
        <v>46327</v>
      </c>
      <c r="AG8" s="511">
        <f t="shared" si="1"/>
        <v>46327</v>
      </c>
      <c r="AH8" s="518">
        <f t="shared" si="1"/>
        <v>46327</v>
      </c>
      <c r="AI8" s="511">
        <f t="shared" si="1"/>
        <v>46327</v>
      </c>
      <c r="AJ8" s="511">
        <f t="shared" si="1"/>
        <v>46327</v>
      </c>
      <c r="AK8" s="518">
        <f t="shared" si="1"/>
        <v>46327</v>
      </c>
      <c r="AL8" s="511">
        <v>46327</v>
      </c>
      <c r="AM8" s="511">
        <f>+AL8</f>
        <v>46327</v>
      </c>
      <c r="AN8" s="518">
        <f>+AM8</f>
        <v>46327</v>
      </c>
      <c r="AU8" s="511">
        <f>+AN8</f>
        <v>46327</v>
      </c>
      <c r="AV8" s="511">
        <f>+AU8</f>
        <v>46327</v>
      </c>
      <c r="AW8" s="520">
        <f>+AV8</f>
        <v>46327</v>
      </c>
    </row>
    <row r="9" spans="1:57" ht="58" x14ac:dyDescent="0.35">
      <c r="A9" s="234">
        <f t="shared" si="0"/>
        <v>3</v>
      </c>
      <c r="D9" s="234" t="s">
        <v>9</v>
      </c>
      <c r="E9" s="234" t="s">
        <v>193</v>
      </c>
      <c r="F9" s="234" t="s">
        <v>194</v>
      </c>
      <c r="G9" s="234" t="s">
        <v>194</v>
      </c>
      <c r="H9" s="234" t="s">
        <v>195</v>
      </c>
      <c r="I9" s="234" t="s">
        <v>194</v>
      </c>
      <c r="J9" s="234" t="s">
        <v>195</v>
      </c>
      <c r="K9" s="234" t="s">
        <v>194</v>
      </c>
      <c r="L9" s="234" t="s">
        <v>196</v>
      </c>
      <c r="M9" s="234" t="s">
        <v>183</v>
      </c>
      <c r="N9" s="234"/>
      <c r="O9" s="234" t="s">
        <v>197</v>
      </c>
      <c r="P9" s="521"/>
      <c r="Q9" s="234"/>
      <c r="R9" s="234" t="s">
        <v>198</v>
      </c>
      <c r="S9" s="521"/>
      <c r="T9" s="233"/>
      <c r="U9" s="403" t="s">
        <v>199</v>
      </c>
      <c r="V9" s="402"/>
      <c r="W9" s="234"/>
      <c r="X9" s="234" t="s">
        <v>156</v>
      </c>
      <c r="Y9" s="521"/>
      <c r="Z9" s="323"/>
      <c r="AA9" s="323" t="s">
        <v>200</v>
      </c>
      <c r="AB9" s="522"/>
      <c r="AC9" s="523"/>
      <c r="AD9" s="280" t="str">
        <f>'[10]Allocation = % of margin'!AJ7</f>
        <v xml:space="preserve">Residental Bill Discount Program </v>
      </c>
      <c r="AE9" s="524"/>
      <c r="AF9" s="323"/>
      <c r="AG9" s="525" t="s">
        <v>201</v>
      </c>
      <c r="AH9" s="522"/>
      <c r="AI9" s="234" t="s">
        <v>202</v>
      </c>
      <c r="AJ9" s="234" t="s">
        <v>202</v>
      </c>
      <c r="AK9" s="521" t="s">
        <v>202</v>
      </c>
      <c r="AL9" s="269" t="s">
        <v>145</v>
      </c>
      <c r="AM9" s="269" t="s">
        <v>145</v>
      </c>
      <c r="AN9" s="521" t="s">
        <v>145</v>
      </c>
      <c r="AU9" s="234" t="s">
        <v>203</v>
      </c>
      <c r="AV9" s="234" t="str">
        <f>+AU9</f>
        <v>R&amp;C EE Total</v>
      </c>
      <c r="AW9" s="526" t="str">
        <f>+AV9</f>
        <v>R&amp;C EE Total</v>
      </c>
    </row>
    <row r="10" spans="1:57" s="265" customFormat="1" ht="15" thickBot="1" x14ac:dyDescent="0.4">
      <c r="A10" s="234">
        <f t="shared" si="0"/>
        <v>4</v>
      </c>
      <c r="B10" s="224"/>
      <c r="C10" s="224"/>
      <c r="D10" s="367" t="s">
        <v>204</v>
      </c>
      <c r="E10" s="367" t="s">
        <v>30</v>
      </c>
      <c r="F10" s="367" t="s">
        <v>205</v>
      </c>
      <c r="G10" s="367" t="s">
        <v>206</v>
      </c>
      <c r="H10" s="367" t="s">
        <v>207</v>
      </c>
      <c r="I10" s="367" t="s">
        <v>206</v>
      </c>
      <c r="J10" s="367" t="s">
        <v>207</v>
      </c>
      <c r="K10" s="367" t="s">
        <v>206</v>
      </c>
      <c r="L10" s="367" t="s">
        <v>208</v>
      </c>
      <c r="M10" s="367" t="s">
        <v>209</v>
      </c>
      <c r="N10" s="367" t="s">
        <v>210</v>
      </c>
      <c r="O10" s="367" t="s">
        <v>211</v>
      </c>
      <c r="P10" s="527" t="s">
        <v>212</v>
      </c>
      <c r="Q10" s="528" t="s">
        <v>208</v>
      </c>
      <c r="R10" s="367" t="s">
        <v>211</v>
      </c>
      <c r="S10" s="527" t="s">
        <v>212</v>
      </c>
      <c r="T10" s="401" t="s">
        <v>208</v>
      </c>
      <c r="U10" s="400" t="s">
        <v>211</v>
      </c>
      <c r="V10" s="399" t="s">
        <v>212</v>
      </c>
      <c r="W10" s="528" t="s">
        <v>208</v>
      </c>
      <c r="X10" s="367" t="s">
        <v>211</v>
      </c>
      <c r="Y10" s="527" t="s">
        <v>212</v>
      </c>
      <c r="Z10" s="528" t="s">
        <v>208</v>
      </c>
      <c r="AA10" s="367" t="s">
        <v>211</v>
      </c>
      <c r="AB10" s="527" t="s">
        <v>212</v>
      </c>
      <c r="AC10" s="529" t="s">
        <v>208</v>
      </c>
      <c r="AD10" s="530" t="s">
        <v>211</v>
      </c>
      <c r="AE10" s="531" t="s">
        <v>212</v>
      </c>
      <c r="AF10" s="528" t="s">
        <v>208</v>
      </c>
      <c r="AG10" s="367" t="s">
        <v>211</v>
      </c>
      <c r="AH10" s="527" t="s">
        <v>212</v>
      </c>
      <c r="AI10" s="528" t="s">
        <v>208</v>
      </c>
      <c r="AJ10" s="367" t="s">
        <v>211</v>
      </c>
      <c r="AK10" s="527" t="s">
        <v>212</v>
      </c>
      <c r="AL10" s="528" t="s">
        <v>208</v>
      </c>
      <c r="AM10" s="367" t="s">
        <v>211</v>
      </c>
      <c r="AN10" s="527" t="s">
        <v>212</v>
      </c>
      <c r="AU10" s="528" t="s">
        <v>213</v>
      </c>
      <c r="AV10" s="367" t="s">
        <v>214</v>
      </c>
      <c r="AW10" s="532" t="s">
        <v>212</v>
      </c>
      <c r="BA10" s="533"/>
      <c r="BB10" s="534"/>
      <c r="BC10" s="535"/>
      <c r="BD10" s="535"/>
      <c r="BE10" s="535"/>
    </row>
    <row r="11" spans="1:57" s="265" customFormat="1" x14ac:dyDescent="0.35">
      <c r="A11" s="234">
        <f t="shared" si="0"/>
        <v>5</v>
      </c>
      <c r="B11" s="224"/>
      <c r="C11" s="224"/>
      <c r="M11" s="269" t="s">
        <v>215</v>
      </c>
      <c r="O11" s="269" t="s">
        <v>216</v>
      </c>
      <c r="P11" s="521"/>
      <c r="Q11" s="269"/>
      <c r="R11" s="269" t="s">
        <v>217</v>
      </c>
      <c r="S11" s="536"/>
      <c r="T11" s="275"/>
      <c r="U11" s="275" t="s">
        <v>218</v>
      </c>
      <c r="V11" s="398"/>
      <c r="W11" s="269"/>
      <c r="X11" s="269" t="s">
        <v>219</v>
      </c>
      <c r="Y11" s="537"/>
      <c r="Z11" s="269"/>
      <c r="AA11" s="269" t="s">
        <v>219</v>
      </c>
      <c r="AB11" s="537"/>
      <c r="AC11" s="538"/>
      <c r="AD11" s="538" t="s">
        <v>219</v>
      </c>
      <c r="AE11" s="539"/>
      <c r="AF11" s="269"/>
      <c r="AG11" s="269" t="s">
        <v>219</v>
      </c>
      <c r="AH11" s="537"/>
      <c r="AI11" s="269"/>
      <c r="AJ11" s="540" t="s">
        <v>220</v>
      </c>
      <c r="AK11" s="541"/>
      <c r="AL11" s="269"/>
      <c r="AM11" s="269" t="s">
        <v>221</v>
      </c>
      <c r="AN11" s="521" t="s">
        <v>222</v>
      </c>
      <c r="AQ11" s="269" t="s">
        <v>223</v>
      </c>
      <c r="AR11" s="269" t="s">
        <v>26</v>
      </c>
      <c r="AS11" s="269" t="s">
        <v>224</v>
      </c>
      <c r="AU11" s="269"/>
      <c r="AV11" s="269" t="s">
        <v>225</v>
      </c>
      <c r="AW11" s="526" t="s">
        <v>226</v>
      </c>
      <c r="BA11" s="542"/>
      <c r="BB11" s="543" t="s">
        <v>183</v>
      </c>
      <c r="BC11" s="544" t="s">
        <v>185</v>
      </c>
      <c r="BD11" s="545" t="s">
        <v>227</v>
      </c>
      <c r="BE11" s="545" t="s">
        <v>228</v>
      </c>
    </row>
    <row r="12" spans="1:57" s="265" customFormat="1" x14ac:dyDescent="0.35">
      <c r="A12" s="234">
        <f t="shared" si="0"/>
        <v>6</v>
      </c>
      <c r="B12" s="353" t="s">
        <v>29</v>
      </c>
      <c r="C12" s="353" t="s">
        <v>30</v>
      </c>
      <c r="D12" s="271" t="s">
        <v>31</v>
      </c>
      <c r="E12" s="271" t="s">
        <v>32</v>
      </c>
      <c r="F12" s="271" t="s">
        <v>33</v>
      </c>
      <c r="G12" s="271"/>
      <c r="H12" s="271"/>
      <c r="I12" s="271" t="s">
        <v>34</v>
      </c>
      <c r="J12" s="271"/>
      <c r="K12" s="271"/>
      <c r="L12" s="271" t="s">
        <v>35</v>
      </c>
      <c r="M12" s="271" t="s">
        <v>36</v>
      </c>
      <c r="N12" s="271" t="s">
        <v>37</v>
      </c>
      <c r="O12" s="271" t="s">
        <v>38</v>
      </c>
      <c r="P12" s="546" t="s">
        <v>39</v>
      </c>
      <c r="Q12" s="271" t="s">
        <v>40</v>
      </c>
      <c r="R12" s="271" t="s">
        <v>41</v>
      </c>
      <c r="S12" s="546" t="s">
        <v>42</v>
      </c>
      <c r="T12" s="272" t="s">
        <v>46</v>
      </c>
      <c r="U12" s="272" t="s">
        <v>47</v>
      </c>
      <c r="V12" s="397" t="s">
        <v>48</v>
      </c>
      <c r="W12" s="271" t="s">
        <v>49</v>
      </c>
      <c r="X12" s="271" t="s">
        <v>229</v>
      </c>
      <c r="Y12" s="546" t="s">
        <v>230</v>
      </c>
      <c r="Z12" s="271" t="s">
        <v>49</v>
      </c>
      <c r="AA12" s="271" t="s">
        <v>229</v>
      </c>
      <c r="AB12" s="546" t="s">
        <v>230</v>
      </c>
      <c r="AC12" s="547" t="s">
        <v>49</v>
      </c>
      <c r="AD12" s="547" t="s">
        <v>229</v>
      </c>
      <c r="AE12" s="548" t="s">
        <v>230</v>
      </c>
      <c r="AF12" s="271" t="s">
        <v>49</v>
      </c>
      <c r="AG12" s="271" t="s">
        <v>229</v>
      </c>
      <c r="AH12" s="546" t="s">
        <v>230</v>
      </c>
      <c r="AI12" s="271" t="s">
        <v>231</v>
      </c>
      <c r="AJ12" s="271" t="s">
        <v>232</v>
      </c>
      <c r="AK12" s="546" t="s">
        <v>233</v>
      </c>
      <c r="AL12" s="271" t="s">
        <v>234</v>
      </c>
      <c r="AM12" s="271" t="s">
        <v>235</v>
      </c>
      <c r="AN12" s="546" t="s">
        <v>236</v>
      </c>
      <c r="AU12" s="271" t="s">
        <v>40</v>
      </c>
      <c r="AV12" s="271" t="s">
        <v>41</v>
      </c>
      <c r="AW12" s="549" t="s">
        <v>42</v>
      </c>
      <c r="BA12" s="542" t="s">
        <v>237</v>
      </c>
      <c r="BB12" s="543" t="s">
        <v>238</v>
      </c>
      <c r="BC12" s="545" t="s">
        <v>239</v>
      </c>
      <c r="BD12" s="545" t="s">
        <v>240</v>
      </c>
      <c r="BE12" s="545" t="s">
        <v>241</v>
      </c>
    </row>
    <row r="13" spans="1:57" x14ac:dyDescent="0.35">
      <c r="A13" s="234">
        <f t="shared" si="0"/>
        <v>7</v>
      </c>
      <c r="B13" s="337" t="s">
        <v>55</v>
      </c>
      <c r="C13" s="337"/>
      <c r="D13" s="333">
        <f>+'[10]Washington volumes'!J13</f>
        <v>179824.1</v>
      </c>
      <c r="E13" s="550" t="s">
        <v>179</v>
      </c>
      <c r="F13" s="611">
        <v>20</v>
      </c>
      <c r="G13" s="551">
        <v>5.5</v>
      </c>
      <c r="H13" s="551">
        <f>'[33]Aver Bill by RS'!$J13</f>
        <v>1.816614207786148</v>
      </c>
      <c r="I13" s="551">
        <f>G13-(IF(H13&gt;($F13*$H$3),($F13*$H$3),H13))</f>
        <v>3.6833857922138522</v>
      </c>
      <c r="J13" s="551">
        <f>'[33]Aver Bill by RS'!$J13</f>
        <v>1.816614207786148</v>
      </c>
      <c r="K13" s="551">
        <f t="shared" ref="K13:K19" si="2">G13-(IF(J13&gt;($F13*$H$4),($F13*$H$4),J13))</f>
        <v>3.6833857922138522</v>
      </c>
      <c r="L13" s="250">
        <f>+'[10]Rates in summary'!D13</f>
        <v>1.6683000000000003</v>
      </c>
      <c r="M13" s="551">
        <f t="shared" ref="M13:M18" si="3">ROUND(+$I13+(L13*$F13),2)</f>
        <v>37.049999999999997</v>
      </c>
      <c r="N13" s="250">
        <f>'[10]Rates in summary'!D13+[10]Temporaries!K13+[10]Temporaries!L13+[10]Temporaries!M13-[10]Temporaries!AX13</f>
        <v>1.6999500000000005</v>
      </c>
      <c r="O13" s="551">
        <f t="shared" ref="O13:O18" si="4">ROUND(I13+(F13*N13), 2)</f>
        <v>37.68</v>
      </c>
      <c r="P13" s="552">
        <f t="shared" ref="P13:P18" si="5">ROUND((O13-M13)/M13,3)</f>
        <v>1.7000000000000001E-2</v>
      </c>
      <c r="Q13" s="250">
        <f>'[10]Rates in summary'!D13+[10]Temporaries!N13+[10]Temporaries!O13-[10]Temporaries!AY13</f>
        <v>1.6715100000000003</v>
      </c>
      <c r="R13" s="551">
        <f t="shared" ref="R13:R18" si="6">ROUND(I13+(F13*Q13),2)</f>
        <v>37.11</v>
      </c>
      <c r="S13" s="552">
        <f t="shared" ref="S13:S18" si="7">ROUND((R13-M13)/M13,3)</f>
        <v>2E-3</v>
      </c>
      <c r="T13" s="252">
        <f>'[10]Rates in detail'!D13+[10]Temporaries!T13-[10]Temporaries!BD13+[10]Temporaries!S13-[10]Temporaries!BC13+[10]Temporaries!P13-[10]Temporaries!BB13++[10]Temporaries!Q13-[10]Temporaries!AW13</f>
        <v>1.6687900000000002</v>
      </c>
      <c r="U13" s="385">
        <f t="shared" ref="U13:U18" si="8">ROUND(I13+(F13*T13),2)</f>
        <v>37.06</v>
      </c>
      <c r="V13" s="384">
        <f t="shared" ref="V13:V18" si="9">ROUND((U13-M13)/M13,3)</f>
        <v>0</v>
      </c>
      <c r="W13" s="250">
        <f>'[10]Rates in summary'!D13+[10]Temporaries!R13-[10]Temporaries!AZ13</f>
        <v>1.6729200000000004</v>
      </c>
      <c r="X13" s="551">
        <f t="shared" ref="X13:X18" si="10">I13+(F13*W13)</f>
        <v>37.141785792213867</v>
      </c>
      <c r="Y13" s="552">
        <f t="shared" ref="Y13:Y18" si="11">(X13-M13)/M13</f>
        <v>2.4773493175133444E-3</v>
      </c>
      <c r="Z13" s="250">
        <f>'[10]Rates in summary'!D13+[10]Permanents!F13</f>
        <v>1.6685400000000004</v>
      </c>
      <c r="AA13" s="551">
        <f t="shared" ref="AA13:AA18" si="12">I13+(F13*Z13)</f>
        <v>37.054185792213865</v>
      </c>
      <c r="AB13" s="552">
        <f t="shared" ref="AB13:AB18" si="13">(AA13-M13)/M13</f>
        <v>1.1297684787766535E-4</v>
      </c>
      <c r="AC13" s="553">
        <f>'[10]Rates in summary'!D13+[10]Temporaries!U13-[10]Temporaries!BE13</f>
        <v>1.6683000000000003</v>
      </c>
      <c r="AD13" s="554">
        <f t="shared" ref="AD13:AD18" si="14">I13+(F13*AC13)</f>
        <v>37.049385792213862</v>
      </c>
      <c r="AE13" s="555">
        <f t="shared" ref="AE13:AE18" si="15">(AD13-M13)/M13</f>
        <v>-1.6577807992861627E-5</v>
      </c>
      <c r="AF13" s="250">
        <f>'[10]Rates in summary'!D13+[10]Temporaries!V13-[10]Temporaries!BF13</f>
        <v>1.6683000000000003</v>
      </c>
      <c r="AG13" s="551">
        <f t="shared" ref="AG13:AG18" si="16">K13+(F13*AF13)</f>
        <v>37.049385792213862</v>
      </c>
      <c r="AH13" s="552">
        <f t="shared" ref="AH13:AH18" si="17">(AG13-M13)/M13</f>
        <v>-1.6577807992861627E-5</v>
      </c>
      <c r="AI13" s="250">
        <f>'[10]Rates in summary'!G13+[10]Temporaries!J13</f>
        <v>1.5938900000000005</v>
      </c>
      <c r="AJ13" s="551">
        <f t="shared" ref="AJ13:AJ18" si="18">ROUND(I13+(F13*AI13),2)</f>
        <v>35.56</v>
      </c>
      <c r="AK13" s="556">
        <f t="shared" ref="AK13:AK18" si="19">ROUND((AJ13-M13)/M13,3)</f>
        <v>-0.04</v>
      </c>
      <c r="AL13" s="250">
        <f>+'[10]Rates in summary'!Q13</f>
        <v>1.6341000000000003</v>
      </c>
      <c r="AM13" s="551">
        <f t="shared" ref="AM13:AM18" si="20">ROUND(+$K13+(AL13*$F13),2)</f>
        <v>36.369999999999997</v>
      </c>
      <c r="AN13" s="556">
        <f t="shared" ref="AN13:AN18" si="21">ROUND((AM13-M13)/M13,3)</f>
        <v>-1.7999999999999999E-2</v>
      </c>
      <c r="AO13" s="496"/>
      <c r="AP13" s="557"/>
      <c r="AQ13" s="495">
        <f t="shared" ref="AQ13:AQ44" si="22">AC13-L13</f>
        <v>0</v>
      </c>
      <c r="AR13" s="495">
        <f t="shared" ref="AR13:AR44" si="23">AF13-L13</f>
        <v>0</v>
      </c>
      <c r="AS13" s="495">
        <f t="shared" ref="AS13:AS44" si="24">AL13-L13</f>
        <v>-3.4200000000000008E-2</v>
      </c>
      <c r="AT13" s="495">
        <f t="shared" ref="AT13:AT44" si="25">AS13-(AQ13+AR13)</f>
        <v>-3.4200000000000008E-2</v>
      </c>
      <c r="AU13" s="249">
        <f>+'[10]Rates in summary'!D13+[10]Temporaries!K13+[10]Temporaries!M13+[10]Temporaries!L13-[10]Temporaries!AX13</f>
        <v>1.6999500000000005</v>
      </c>
      <c r="AV13" s="558">
        <f t="shared" ref="AV13:AV18" si="26">ROUND(+$I13+(AU13*$F13),2)</f>
        <v>37.68</v>
      </c>
      <c r="AW13" s="559">
        <f t="shared" ref="AW13:AW18" si="27">ROUND((AV13-M13)/M13,3)</f>
        <v>1.7000000000000001E-2</v>
      </c>
      <c r="AX13" s="325"/>
      <c r="AY13" s="325"/>
      <c r="AZ13" s="325"/>
      <c r="BA13" s="560" t="s">
        <v>55</v>
      </c>
      <c r="BB13" s="561">
        <f t="shared" ref="BB13:BB18" si="28">M13</f>
        <v>37.049999999999997</v>
      </c>
      <c r="BC13" s="562">
        <f t="shared" ref="BC13:BC18" si="29">U13</f>
        <v>37.06</v>
      </c>
      <c r="BD13" s="561">
        <f t="shared" ref="BD13:BD34" si="30">BC13-BB13</f>
        <v>1.0000000000005116E-2</v>
      </c>
      <c r="BE13" s="635">
        <f t="shared" ref="BE13:BE34" si="31">ROUND((BC13-BB13)/BB13,3)</f>
        <v>0</v>
      </c>
    </row>
    <row r="14" spans="1:57" x14ac:dyDescent="0.35">
      <c r="A14" s="234">
        <f t="shared" si="0"/>
        <v>8</v>
      </c>
      <c r="B14" s="337" t="s">
        <v>56</v>
      </c>
      <c r="C14" s="337"/>
      <c r="D14" s="333">
        <f>+'[10]Washington volumes'!J14</f>
        <v>18807.400000000001</v>
      </c>
      <c r="E14" s="550" t="s">
        <v>179</v>
      </c>
      <c r="F14" s="611">
        <v>114</v>
      </c>
      <c r="G14" s="551">
        <v>7</v>
      </c>
      <c r="H14" s="551">
        <f>'[33]Aver Bill by RS'!$J14</f>
        <v>5.3425825423278139</v>
      </c>
      <c r="I14" s="551">
        <f t="shared" ref="I14:I19" si="32">G14-(IF(H14&gt;(F14*$H$3),(F14*$H$3),H14))</f>
        <v>1.6574174576721861</v>
      </c>
      <c r="J14" s="551">
        <f>'[33]Aver Bill by RS'!$J14</f>
        <v>5.3425825423278139</v>
      </c>
      <c r="K14" s="551">
        <f t="shared" si="2"/>
        <v>1.6574174576721861</v>
      </c>
      <c r="L14" s="250">
        <f>+'[10]Rates in summary'!D14</f>
        <v>1.672639999999999</v>
      </c>
      <c r="M14" s="551">
        <f t="shared" si="3"/>
        <v>192.34</v>
      </c>
      <c r="N14" s="250">
        <f>'[10]Rates in summary'!D14+[10]Temporaries!K14+[10]Temporaries!L14+[10]Temporaries!M14-[10]Temporaries!AX14</f>
        <v>1.6721499999999991</v>
      </c>
      <c r="O14" s="551">
        <f t="shared" si="4"/>
        <v>192.28</v>
      </c>
      <c r="P14" s="552">
        <f t="shared" si="5"/>
        <v>0</v>
      </c>
      <c r="Q14" s="250">
        <f>'[10]Rates in summary'!D14+[10]Temporaries!N14+[10]Temporaries!O14-[10]Temporaries!AY14</f>
        <v>1.670869999999999</v>
      </c>
      <c r="R14" s="551">
        <f t="shared" si="6"/>
        <v>192.14</v>
      </c>
      <c r="S14" s="552">
        <f t="shared" si="7"/>
        <v>-1E-3</v>
      </c>
      <c r="T14" s="252">
        <f>'[10]Rates in detail'!D14+[10]Temporaries!T14-[10]Temporaries!BD14+[10]Temporaries!S14-[10]Temporaries!BC14+[10]Temporaries!P14-[10]Temporaries!BB14++[10]Temporaries!Q14-[10]Temporaries!AW14</f>
        <v>1.6730599999999991</v>
      </c>
      <c r="U14" s="385">
        <f t="shared" si="8"/>
        <v>192.39</v>
      </c>
      <c r="V14" s="384">
        <f t="shared" si="9"/>
        <v>0</v>
      </c>
      <c r="W14" s="250">
        <f>'[10]Rates in summary'!D14+[10]Temporaries!R14-[10]Temporaries!AZ14</f>
        <v>1.672969999999999</v>
      </c>
      <c r="X14" s="551">
        <f t="shared" si="10"/>
        <v>192.37599745767207</v>
      </c>
      <c r="Y14" s="552">
        <f t="shared" si="11"/>
        <v>1.8715533779800047E-4</v>
      </c>
      <c r="Z14" s="250">
        <f>'[10]Rates in summary'!D14+[10]Permanents!F14</f>
        <v>1.672799999999999</v>
      </c>
      <c r="AA14" s="551">
        <f t="shared" si="12"/>
        <v>192.35661745767206</v>
      </c>
      <c r="AB14" s="552">
        <f t="shared" si="13"/>
        <v>8.6396265322112009E-5</v>
      </c>
      <c r="AC14" s="553">
        <f>'[10]Rates in summary'!D14+[10]Temporaries!U14-[10]Temporaries!BE14</f>
        <v>1.672639999999999</v>
      </c>
      <c r="AD14" s="554">
        <f t="shared" si="14"/>
        <v>192.33837745767207</v>
      </c>
      <c r="AE14" s="555">
        <f t="shared" si="15"/>
        <v>-8.4358028903845867E-6</v>
      </c>
      <c r="AF14" s="250">
        <f>'[10]Rates in summary'!D14+[10]Temporaries!V14-[10]Temporaries!BF14</f>
        <v>1.672639999999999</v>
      </c>
      <c r="AG14" s="551">
        <f t="shared" si="16"/>
        <v>192.33837745767207</v>
      </c>
      <c r="AH14" s="552">
        <f t="shared" si="17"/>
        <v>-8.4358028903845867E-6</v>
      </c>
      <c r="AI14" s="250">
        <f>'[10]Rates in summary'!G14+[10]Temporaries!J14</f>
        <v>1.5982299999999992</v>
      </c>
      <c r="AJ14" s="551">
        <f t="shared" si="18"/>
        <v>183.86</v>
      </c>
      <c r="AK14" s="556">
        <f t="shared" si="19"/>
        <v>-4.3999999999999997E-2</v>
      </c>
      <c r="AL14" s="250">
        <f>+'[10]Rates in summary'!Q14</f>
        <v>1.5968799999999992</v>
      </c>
      <c r="AM14" s="551">
        <f t="shared" si="20"/>
        <v>183.7</v>
      </c>
      <c r="AN14" s="556">
        <f t="shared" si="21"/>
        <v>-4.4999999999999998E-2</v>
      </c>
      <c r="AO14" s="496"/>
      <c r="AP14" s="557"/>
      <c r="AQ14" s="495">
        <f t="shared" si="22"/>
        <v>0</v>
      </c>
      <c r="AR14" s="495">
        <f t="shared" si="23"/>
        <v>0</v>
      </c>
      <c r="AS14" s="495">
        <f t="shared" si="24"/>
        <v>-7.5759999999999827E-2</v>
      </c>
      <c r="AT14" s="495">
        <f t="shared" si="25"/>
        <v>-7.5759999999999827E-2</v>
      </c>
      <c r="AU14" s="249">
        <f>+'[10]Rates in summary'!D14+[10]Temporaries!K14+[10]Temporaries!M14+[10]Temporaries!L14-[10]Temporaries!AZ14</f>
        <v>1.7558699999999992</v>
      </c>
      <c r="AV14" s="558">
        <f t="shared" si="26"/>
        <v>201.83</v>
      </c>
      <c r="AW14" s="559">
        <f t="shared" si="27"/>
        <v>4.9000000000000002E-2</v>
      </c>
      <c r="AX14" s="325"/>
      <c r="AY14" s="325"/>
      <c r="AZ14" s="325"/>
      <c r="BA14" s="560" t="s">
        <v>56</v>
      </c>
      <c r="BB14" s="561">
        <f t="shared" si="28"/>
        <v>192.34</v>
      </c>
      <c r="BC14" s="562">
        <f t="shared" si="29"/>
        <v>192.39</v>
      </c>
      <c r="BD14" s="561">
        <f t="shared" si="30"/>
        <v>4.9999999999982947E-2</v>
      </c>
      <c r="BE14" s="635">
        <f t="shared" si="31"/>
        <v>0</v>
      </c>
    </row>
    <row r="15" spans="1:57" x14ac:dyDescent="0.35">
      <c r="A15" s="234">
        <f t="shared" si="0"/>
        <v>9</v>
      </c>
      <c r="B15" s="337" t="s">
        <v>57</v>
      </c>
      <c r="C15" s="337"/>
      <c r="D15" s="333">
        <f>+'[10]Washington volumes'!J15</f>
        <v>59991191.600000001</v>
      </c>
      <c r="E15" s="550" t="s">
        <v>179</v>
      </c>
      <c r="F15" s="611">
        <v>56</v>
      </c>
      <c r="G15" s="551">
        <v>8</v>
      </c>
      <c r="H15" s="551">
        <f>'[33]Aver Bill by RS'!$J15</f>
        <v>10.540904108741115</v>
      </c>
      <c r="I15" s="551">
        <f t="shared" si="32"/>
        <v>-2.5409041087411151</v>
      </c>
      <c r="J15" s="551">
        <f>'[33]Aver Bill by RS'!$J15</f>
        <v>10.540904108741115</v>
      </c>
      <c r="K15" s="551">
        <f t="shared" si="2"/>
        <v>-2.5409041087411151</v>
      </c>
      <c r="L15" s="250">
        <f>+'[10]Rates in summary'!D15</f>
        <v>1.3152700000000002</v>
      </c>
      <c r="M15" s="551">
        <f t="shared" si="3"/>
        <v>71.11</v>
      </c>
      <c r="N15" s="250">
        <f>'[10]Rates in summary'!D15+[10]Temporaries!K15+[10]Temporaries!L15+[10]Temporaries!M15-[10]Temporaries!AX15</f>
        <v>1.3168600000000001</v>
      </c>
      <c r="O15" s="551">
        <f t="shared" si="4"/>
        <v>71.2</v>
      </c>
      <c r="P15" s="552">
        <f t="shared" si="5"/>
        <v>1E-3</v>
      </c>
      <c r="Q15" s="250">
        <f>'[10]Rates in summary'!D15+[10]Temporaries!N15+[10]Temporaries!O15-[10]Temporaries!AY15</f>
        <v>1.3143899999999999</v>
      </c>
      <c r="R15" s="551">
        <f t="shared" si="6"/>
        <v>71.06</v>
      </c>
      <c r="S15" s="552">
        <f t="shared" si="7"/>
        <v>-1E-3</v>
      </c>
      <c r="T15" s="252">
        <f>'[10]Rates in detail'!D15+[10]Temporaries!T15-[10]Temporaries!BD15+[10]Temporaries!S15-[10]Temporaries!BC15+[10]Temporaries!P15-[10]Temporaries!BB15++[10]Temporaries!Q15-[10]Temporaries!AW15</f>
        <v>1.3154700000000001</v>
      </c>
      <c r="U15" s="385">
        <f t="shared" si="8"/>
        <v>71.13</v>
      </c>
      <c r="V15" s="384">
        <f t="shared" si="9"/>
        <v>0</v>
      </c>
      <c r="W15" s="250">
        <f>'[10]Rates in summary'!D15+[10]Temporaries!R15-[10]Temporaries!AZ15</f>
        <v>1.3157500000000002</v>
      </c>
      <c r="X15" s="551">
        <f t="shared" si="10"/>
        <v>71.1410958912589</v>
      </c>
      <c r="Y15" s="552">
        <f t="shared" si="11"/>
        <v>4.3729280352833793E-4</v>
      </c>
      <c r="Z15" s="250">
        <f>'[10]Rates in summary'!D15+[10]Permanents!F15</f>
        <v>1.3153800000000002</v>
      </c>
      <c r="AA15" s="551">
        <f t="shared" si="12"/>
        <v>71.120375891258888</v>
      </c>
      <c r="AB15" s="552">
        <f t="shared" si="13"/>
        <v>1.4591325072266508E-4</v>
      </c>
      <c r="AC15" s="553">
        <f>'[10]Rates in summary'!D15+[10]Temporaries!U15-[10]Temporaries!BE15</f>
        <v>1.3152700000000002</v>
      </c>
      <c r="AD15" s="554">
        <f t="shared" si="14"/>
        <v>71.114215891258894</v>
      </c>
      <c r="AE15" s="555">
        <f t="shared" si="15"/>
        <v>5.9286897185973058E-5</v>
      </c>
      <c r="AF15" s="250">
        <f>'[10]Rates in summary'!D15+[10]Temporaries!V15-[10]Temporaries!BF15</f>
        <v>1.3152699999999999</v>
      </c>
      <c r="AG15" s="551">
        <f t="shared" si="16"/>
        <v>71.11421589125888</v>
      </c>
      <c r="AH15" s="552">
        <f t="shared" si="17"/>
        <v>5.9286897185773212E-5</v>
      </c>
      <c r="AI15" s="250">
        <f>'[10]Rates in summary'!G15+[10]Temporaries!J15</f>
        <v>1.2408600000000003</v>
      </c>
      <c r="AJ15" s="551">
        <f t="shared" si="18"/>
        <v>66.95</v>
      </c>
      <c r="AK15" s="552">
        <f t="shared" si="19"/>
        <v>-5.8999999999999997E-2</v>
      </c>
      <c r="AL15" s="250">
        <f>+'[10]Rates in summary'!Q15</f>
        <v>1.2423600000000001</v>
      </c>
      <c r="AM15" s="551">
        <f t="shared" si="20"/>
        <v>67.03</v>
      </c>
      <c r="AN15" s="552">
        <f t="shared" si="21"/>
        <v>-5.7000000000000002E-2</v>
      </c>
      <c r="AP15" s="557"/>
      <c r="AQ15" s="495">
        <f t="shared" si="22"/>
        <v>0</v>
      </c>
      <c r="AR15" s="495">
        <f t="shared" si="23"/>
        <v>0</v>
      </c>
      <c r="AS15" s="495">
        <f t="shared" si="24"/>
        <v>-7.291000000000003E-2</v>
      </c>
      <c r="AT15" s="495">
        <f t="shared" si="25"/>
        <v>-7.291000000000003E-2</v>
      </c>
      <c r="AU15" s="249">
        <f>+'[10]Rates in summary'!D15+[10]Temporaries!K15+[10]Temporaries!M15+[10]Temporaries!L15-[10]Temporaries!AZ15</f>
        <v>1.3724900000000002</v>
      </c>
      <c r="AV15" s="558">
        <f t="shared" si="26"/>
        <v>74.319999999999993</v>
      </c>
      <c r="AW15" s="563">
        <f t="shared" si="27"/>
        <v>4.4999999999999998E-2</v>
      </c>
      <c r="AX15" s="325"/>
      <c r="AY15" s="325"/>
      <c r="AZ15" s="325"/>
      <c r="BA15" s="560" t="s">
        <v>57</v>
      </c>
      <c r="BB15" s="564">
        <f t="shared" si="28"/>
        <v>71.11</v>
      </c>
      <c r="BC15" s="564">
        <f t="shared" si="29"/>
        <v>71.13</v>
      </c>
      <c r="BD15" s="565">
        <f t="shared" si="30"/>
        <v>1.9999999999996021E-2</v>
      </c>
      <c r="BE15" s="637">
        <f t="shared" si="31"/>
        <v>0</v>
      </c>
    </row>
    <row r="16" spans="1:57" x14ac:dyDescent="0.35">
      <c r="A16" s="234">
        <f t="shared" si="0"/>
        <v>10</v>
      </c>
      <c r="B16" s="337" t="s">
        <v>58</v>
      </c>
      <c r="C16" s="337"/>
      <c r="D16" s="333">
        <f>+'[10]Washington volumes'!J16</f>
        <v>21359578.800000001</v>
      </c>
      <c r="E16" s="550" t="s">
        <v>179</v>
      </c>
      <c r="F16" s="611">
        <v>236</v>
      </c>
      <c r="G16" s="551">
        <v>22</v>
      </c>
      <c r="H16" s="551">
        <f>'[33]Aver Bill by RS'!$J16</f>
        <v>48.320758584764796</v>
      </c>
      <c r="I16" s="551">
        <f t="shared" si="32"/>
        <v>-26.320758584764796</v>
      </c>
      <c r="J16" s="551">
        <f>'[33]Aver Bill by RS'!$J16</f>
        <v>48.320758584764796</v>
      </c>
      <c r="K16" s="551">
        <f t="shared" si="2"/>
        <v>-26.320758584764796</v>
      </c>
      <c r="L16" s="250">
        <f>+'[10]Rates in summary'!D16</f>
        <v>1.2785399999999996</v>
      </c>
      <c r="M16" s="551">
        <f t="shared" si="3"/>
        <v>275.41000000000003</v>
      </c>
      <c r="N16" s="250">
        <f>'[10]Rates in summary'!D16+[10]Temporaries!K16+[10]Temporaries!L16+[10]Temporaries!M16-[10]Temporaries!AX16</f>
        <v>1.2794799999999995</v>
      </c>
      <c r="O16" s="551">
        <f t="shared" si="4"/>
        <v>275.64</v>
      </c>
      <c r="P16" s="552">
        <f t="shared" si="5"/>
        <v>1E-3</v>
      </c>
      <c r="Q16" s="250">
        <f>'[10]Rates in summary'!D16+[10]Temporaries!N16+[10]Temporaries!O16-[10]Temporaries!AY16</f>
        <v>1.2776899999999993</v>
      </c>
      <c r="R16" s="551">
        <f t="shared" si="6"/>
        <v>275.20999999999998</v>
      </c>
      <c r="S16" s="552">
        <f t="shared" si="7"/>
        <v>-1E-3</v>
      </c>
      <c r="T16" s="252">
        <f>'[10]Rates in detail'!D16+[10]Temporaries!T16-[10]Temporaries!BD16+[10]Temporaries!S16-[10]Temporaries!BC16+[10]Temporaries!P16-[10]Temporaries!BB16++[10]Temporaries!Q16-[10]Temporaries!AW16</f>
        <v>1.2787399999999995</v>
      </c>
      <c r="U16" s="385">
        <f t="shared" si="8"/>
        <v>275.45999999999998</v>
      </c>
      <c r="V16" s="384">
        <f t="shared" si="9"/>
        <v>0</v>
      </c>
      <c r="W16" s="250">
        <f>'[10]Rates in summary'!D16+[10]Temporaries!R16-[10]Temporaries!AZ16</f>
        <v>1.2789099999999995</v>
      </c>
      <c r="X16" s="551">
        <f t="shared" si="10"/>
        <v>275.5020014152351</v>
      </c>
      <c r="Y16" s="552">
        <f t="shared" si="11"/>
        <v>3.3405255885797373E-4</v>
      </c>
      <c r="Z16" s="250">
        <f>'[10]Rates in summary'!D16+[10]Permanents!F16</f>
        <v>1.2786399999999996</v>
      </c>
      <c r="AA16" s="551">
        <f t="shared" si="12"/>
        <v>275.43828141523511</v>
      </c>
      <c r="AB16" s="552">
        <f t="shared" si="13"/>
        <v>1.0268841086048148E-4</v>
      </c>
      <c r="AC16" s="553">
        <f>'[10]Rates in summary'!D16+[10]Temporaries!U16-[10]Temporaries!BE16</f>
        <v>1.2785399999999996</v>
      </c>
      <c r="AD16" s="554">
        <f t="shared" si="14"/>
        <v>275.41468141523512</v>
      </c>
      <c r="AE16" s="555">
        <f t="shared" si="15"/>
        <v>1.699798567625567E-5</v>
      </c>
      <c r="AF16" s="250">
        <f>'[10]Rates in summary'!D16+[10]Temporaries!V16-[10]Temporaries!BF16</f>
        <v>1.2785399999999996</v>
      </c>
      <c r="AG16" s="551">
        <f t="shared" si="16"/>
        <v>275.41468141523512</v>
      </c>
      <c r="AH16" s="552">
        <f t="shared" si="17"/>
        <v>1.699798567625567E-5</v>
      </c>
      <c r="AI16" s="250">
        <f>'[10]Rates in summary'!G16+[10]Temporaries!J16</f>
        <v>1.2041299999999997</v>
      </c>
      <c r="AJ16" s="551">
        <f t="shared" si="18"/>
        <v>257.85000000000002</v>
      </c>
      <c r="AK16" s="556">
        <f t="shared" si="19"/>
        <v>-6.4000000000000001E-2</v>
      </c>
      <c r="AL16" s="250">
        <f>+'[10]Rates in summary'!Q16</f>
        <v>1.2048899999999996</v>
      </c>
      <c r="AM16" s="551">
        <f t="shared" si="20"/>
        <v>258.02999999999997</v>
      </c>
      <c r="AN16" s="556">
        <f t="shared" si="21"/>
        <v>-6.3E-2</v>
      </c>
      <c r="AO16" s="496"/>
      <c r="AP16" s="557"/>
      <c r="AQ16" s="495">
        <f t="shared" si="22"/>
        <v>0</v>
      </c>
      <c r="AR16" s="495">
        <f t="shared" si="23"/>
        <v>0</v>
      </c>
      <c r="AS16" s="495">
        <f t="shared" si="24"/>
        <v>-7.3649999999999993E-2</v>
      </c>
      <c r="AT16" s="495">
        <f t="shared" si="25"/>
        <v>-7.3649999999999993E-2</v>
      </c>
      <c r="AU16" s="249">
        <f>+'[10]Rates in summary'!D16+[10]Temporaries!K16+[10]Temporaries!M16+[10]Temporaries!L16-[10]Temporaries!AZ16</f>
        <v>1.3289199999999994</v>
      </c>
      <c r="AV16" s="558">
        <f t="shared" si="26"/>
        <v>287.3</v>
      </c>
      <c r="AW16" s="559">
        <f t="shared" si="27"/>
        <v>4.2999999999999997E-2</v>
      </c>
      <c r="AX16" s="325"/>
      <c r="AY16" s="325"/>
      <c r="AZ16" s="325"/>
      <c r="BA16" s="560" t="s">
        <v>58</v>
      </c>
      <c r="BB16" s="562">
        <f t="shared" si="28"/>
        <v>275.41000000000003</v>
      </c>
      <c r="BC16" s="562">
        <f t="shared" si="29"/>
        <v>275.45999999999998</v>
      </c>
      <c r="BD16" s="561">
        <f t="shared" si="30"/>
        <v>4.9999999999954525E-2</v>
      </c>
      <c r="BE16" s="635">
        <f t="shared" si="31"/>
        <v>0</v>
      </c>
    </row>
    <row r="17" spans="1:57" x14ac:dyDescent="0.35">
      <c r="A17" s="234">
        <f t="shared" si="0"/>
        <v>11</v>
      </c>
      <c r="B17" s="337" t="s">
        <v>59</v>
      </c>
      <c r="C17" s="337"/>
      <c r="D17" s="333">
        <f>+'[10]Washington volumes'!J17</f>
        <v>192102.2</v>
      </c>
      <c r="E17" s="550" t="s">
        <v>179</v>
      </c>
      <c r="F17" s="611">
        <v>975</v>
      </c>
      <c r="G17" s="551">
        <v>22</v>
      </c>
      <c r="H17" s="551">
        <f>'[33]Aver Bill by RS'!$J17</f>
        <v>129.16257090345997</v>
      </c>
      <c r="I17" s="551">
        <f t="shared" si="32"/>
        <v>-107.16257090345997</v>
      </c>
      <c r="J17" s="551">
        <f>'[33]Aver Bill by RS'!$J17</f>
        <v>129.16257090345997</v>
      </c>
      <c r="K17" s="551">
        <f t="shared" si="2"/>
        <v>-107.16257090345997</v>
      </c>
      <c r="L17" s="250">
        <f>+'[10]Rates in summary'!D17</f>
        <v>1.2303099999999996</v>
      </c>
      <c r="M17" s="551">
        <f t="shared" si="3"/>
        <v>1092.3900000000001</v>
      </c>
      <c r="N17" s="250">
        <f>'[10]Rates in summary'!D17+[10]Temporaries!K17+[10]Temporaries!L17+[10]Temporaries!M17-[10]Temporaries!AX17</f>
        <v>1.2303099999999996</v>
      </c>
      <c r="O17" s="551">
        <f t="shared" si="4"/>
        <v>1092.3900000000001</v>
      </c>
      <c r="P17" s="552">
        <f t="shared" si="5"/>
        <v>0</v>
      </c>
      <c r="Q17" s="250">
        <f>'[10]Rates in summary'!D17+[10]Temporaries!N17+[10]Temporaries!O17-[10]Temporaries!AY17</f>
        <v>1.2295899999999995</v>
      </c>
      <c r="R17" s="551">
        <f t="shared" si="6"/>
        <v>1091.69</v>
      </c>
      <c r="S17" s="552">
        <f t="shared" si="7"/>
        <v>-1E-3</v>
      </c>
      <c r="T17" s="252">
        <f>'[10]Rates in detail'!D17+[10]Temporaries!T17-[10]Temporaries!BD17+[10]Temporaries!S17-[10]Temporaries!BC17+[10]Temporaries!P17-[10]Temporaries!BB17++[10]Temporaries!Q17-[10]Temporaries!AW17</f>
        <v>1.2298399999999996</v>
      </c>
      <c r="U17" s="385">
        <f t="shared" si="8"/>
        <v>1091.93</v>
      </c>
      <c r="V17" s="384">
        <f t="shared" si="9"/>
        <v>0</v>
      </c>
      <c r="W17" s="250">
        <f>'[10]Rates in summary'!D17+[10]Temporaries!R17-[10]Temporaries!AZ17</f>
        <v>1.2306999999999997</v>
      </c>
      <c r="X17" s="551">
        <f t="shared" si="10"/>
        <v>1092.7699290965397</v>
      </c>
      <c r="Y17" s="552">
        <f t="shared" si="11"/>
        <v>3.4779620514617185E-4</v>
      </c>
      <c r="Z17" s="250">
        <f>'[10]Rates in summary'!D17+[10]Permanents!F17</f>
        <v>1.2303999999999995</v>
      </c>
      <c r="AA17" s="551">
        <f t="shared" si="12"/>
        <v>1092.4774290965395</v>
      </c>
      <c r="AB17" s="552">
        <f t="shared" si="13"/>
        <v>8.0034691400856042E-5</v>
      </c>
      <c r="AC17" s="553">
        <f>'[10]Rates in summary'!D17+[10]Temporaries!U17-[10]Temporaries!BE17</f>
        <v>1.2303099999999996</v>
      </c>
      <c r="AD17" s="554">
        <f t="shared" si="14"/>
        <v>1092.3896790965396</v>
      </c>
      <c r="AE17" s="555">
        <f t="shared" si="15"/>
        <v>-2.9376272259300494E-7</v>
      </c>
      <c r="AF17" s="250">
        <f>'[10]Rates in summary'!D17+[10]Temporaries!V17-[10]Temporaries!BF17</f>
        <v>1.2303099999999993</v>
      </c>
      <c r="AG17" s="551">
        <f t="shared" si="16"/>
        <v>1092.3896790965393</v>
      </c>
      <c r="AH17" s="552">
        <f t="shared" si="17"/>
        <v>-2.9376272280114825E-7</v>
      </c>
      <c r="AI17" s="250">
        <f>'[10]Rates in summary'!G17+[10]Temporaries!J17</f>
        <v>1.1558999999999997</v>
      </c>
      <c r="AJ17" s="551">
        <f t="shared" si="18"/>
        <v>1019.84</v>
      </c>
      <c r="AK17" s="556">
        <f t="shared" si="19"/>
        <v>-6.6000000000000003E-2</v>
      </c>
      <c r="AL17" s="250">
        <f>+'[10]Rates in summary'!Q17</f>
        <v>1.1551899999999997</v>
      </c>
      <c r="AM17" s="551">
        <f t="shared" si="20"/>
        <v>1019.15</v>
      </c>
      <c r="AN17" s="556">
        <f t="shared" si="21"/>
        <v>-6.7000000000000004E-2</v>
      </c>
      <c r="AO17" s="496"/>
      <c r="AP17" s="557"/>
      <c r="AQ17" s="495">
        <f t="shared" si="22"/>
        <v>0</v>
      </c>
      <c r="AR17" s="495">
        <f t="shared" si="23"/>
        <v>0</v>
      </c>
      <c r="AS17" s="495">
        <f t="shared" si="24"/>
        <v>-7.5119999999999854E-2</v>
      </c>
      <c r="AT17" s="495">
        <f t="shared" si="25"/>
        <v>-7.5119999999999854E-2</v>
      </c>
      <c r="AU17" s="249">
        <f>+'[10]Rates in summary'!D17+[10]Temporaries!K17+[10]Temporaries!M17+[10]Temporaries!L17-[10]Temporaries!AZ17</f>
        <v>1.2237499999999997</v>
      </c>
      <c r="AV17" s="558">
        <f t="shared" si="26"/>
        <v>1085.99</v>
      </c>
      <c r="AW17" s="559">
        <f t="shared" si="27"/>
        <v>-6.0000000000000001E-3</v>
      </c>
      <c r="AX17" s="325"/>
      <c r="AY17" s="325"/>
      <c r="AZ17" s="325"/>
      <c r="BA17" s="560" t="s">
        <v>59</v>
      </c>
      <c r="BB17" s="562">
        <f t="shared" si="28"/>
        <v>1092.3900000000001</v>
      </c>
      <c r="BC17" s="562">
        <f t="shared" si="29"/>
        <v>1091.93</v>
      </c>
      <c r="BD17" s="561">
        <f t="shared" si="30"/>
        <v>-0.46000000000003638</v>
      </c>
      <c r="BE17" s="635">
        <f t="shared" si="31"/>
        <v>0</v>
      </c>
    </row>
    <row r="18" spans="1:57" x14ac:dyDescent="0.35">
      <c r="A18" s="234">
        <f t="shared" si="0"/>
        <v>12</v>
      </c>
      <c r="B18" s="338">
        <v>27</v>
      </c>
      <c r="C18" s="338"/>
      <c r="D18" s="333">
        <f>+'[10]Washington volumes'!J18</f>
        <v>34823.1</v>
      </c>
      <c r="E18" s="550" t="s">
        <v>179</v>
      </c>
      <c r="F18" s="611">
        <v>50</v>
      </c>
      <c r="G18" s="551">
        <v>9</v>
      </c>
      <c r="H18" s="551">
        <f>'[33]Aver Bill by RS'!$J18</f>
        <v>0</v>
      </c>
      <c r="I18" s="551">
        <f t="shared" si="32"/>
        <v>9</v>
      </c>
      <c r="J18" s="551">
        <f>'[33]Aver Bill by RS'!$J18</f>
        <v>0</v>
      </c>
      <c r="K18" s="551">
        <f t="shared" si="2"/>
        <v>9</v>
      </c>
      <c r="L18" s="250">
        <f>+'[10]Rates in summary'!D18</f>
        <v>1.11591</v>
      </c>
      <c r="M18" s="551">
        <f t="shared" si="3"/>
        <v>64.8</v>
      </c>
      <c r="N18" s="250">
        <f>'[10]Rates in summary'!D18+[10]Temporaries!K18+[10]Temporaries!L18+[10]Temporaries!M18-[10]Temporaries!AX18</f>
        <v>1.1693099999999998</v>
      </c>
      <c r="O18" s="551">
        <f t="shared" si="4"/>
        <v>67.47</v>
      </c>
      <c r="P18" s="552">
        <f t="shared" si="5"/>
        <v>4.1000000000000002E-2</v>
      </c>
      <c r="Q18" s="250">
        <f>'[10]Rates in summary'!D18+[10]Temporaries!N18+[10]Temporaries!O18-[10]Temporaries!AY18</f>
        <v>1.1230199999999999</v>
      </c>
      <c r="R18" s="551">
        <f t="shared" si="6"/>
        <v>65.150000000000006</v>
      </c>
      <c r="S18" s="552">
        <f t="shared" si="7"/>
        <v>5.0000000000000001E-3</v>
      </c>
      <c r="T18" s="252">
        <f>'[10]Rates in detail'!D18+[10]Temporaries!T18-[10]Temporaries!BD18+[10]Temporaries!S18-[10]Temporaries!BC18+[10]Temporaries!P18-[10]Temporaries!BB18++[10]Temporaries!Q18-[10]Temporaries!AW18</f>
        <v>1.1162100000000001</v>
      </c>
      <c r="U18" s="385">
        <f t="shared" si="8"/>
        <v>64.81</v>
      </c>
      <c r="V18" s="384">
        <f t="shared" si="9"/>
        <v>0</v>
      </c>
      <c r="W18" s="250">
        <f>'[10]Rates in summary'!D18+[10]Temporaries!R18-[10]Temporaries!AZ18</f>
        <v>1.1232899999999999</v>
      </c>
      <c r="X18" s="551">
        <f t="shared" si="10"/>
        <v>65.164500000000004</v>
      </c>
      <c r="Y18" s="552">
        <f t="shared" si="11"/>
        <v>5.6250000000001039E-3</v>
      </c>
      <c r="Z18" s="250">
        <f>'[10]Rates in summary'!D18+[10]Permanents!F18</f>
        <v>1.1161699999999999</v>
      </c>
      <c r="AA18" s="551">
        <f t="shared" si="12"/>
        <v>64.808499999999995</v>
      </c>
      <c r="AB18" s="552">
        <f t="shared" si="13"/>
        <v>1.3117283950614126E-4</v>
      </c>
      <c r="AC18" s="553">
        <f>'[10]Rates in summary'!D18+[10]Temporaries!U18-[10]Temporaries!BE18</f>
        <v>1.11591</v>
      </c>
      <c r="AD18" s="554">
        <f t="shared" si="14"/>
        <v>64.795500000000004</v>
      </c>
      <c r="AE18" s="555">
        <f t="shared" si="15"/>
        <v>-6.9444444444337434E-5</v>
      </c>
      <c r="AF18" s="250">
        <f>'[10]Rates in summary'!D18+[10]Temporaries!V18-[10]Temporaries!BF18</f>
        <v>1.11591</v>
      </c>
      <c r="AG18" s="551">
        <f t="shared" si="16"/>
        <v>64.795500000000004</v>
      </c>
      <c r="AH18" s="552">
        <f t="shared" si="17"/>
        <v>-6.9444444444337434E-5</v>
      </c>
      <c r="AI18" s="250">
        <f>'[10]Rates in summary'!G18+[10]Temporaries!J18</f>
        <v>1.0415000000000001</v>
      </c>
      <c r="AJ18" s="551">
        <f t="shared" si="18"/>
        <v>61.08</v>
      </c>
      <c r="AK18" s="556">
        <f t="shared" si="19"/>
        <v>-5.7000000000000002E-2</v>
      </c>
      <c r="AL18" s="250">
        <f>+'[10]Rates in summary'!Q18</f>
        <v>1.10995</v>
      </c>
      <c r="AM18" s="551">
        <f t="shared" si="20"/>
        <v>64.5</v>
      </c>
      <c r="AN18" s="556">
        <f t="shared" si="21"/>
        <v>-5.0000000000000001E-3</v>
      </c>
      <c r="AO18" s="496"/>
      <c r="AP18" s="557"/>
      <c r="AQ18" s="495">
        <f t="shared" si="22"/>
        <v>0</v>
      </c>
      <c r="AR18" s="495">
        <f t="shared" si="23"/>
        <v>0</v>
      </c>
      <c r="AS18" s="495">
        <f t="shared" si="24"/>
        <v>-5.9599999999999653E-3</v>
      </c>
      <c r="AT18" s="495">
        <f t="shared" si="25"/>
        <v>-5.9599999999999653E-3</v>
      </c>
      <c r="AU18" s="249">
        <f>+'[10]Rates in summary'!D18+[10]Temporaries!K18+[10]Temporaries!M18+[10]Temporaries!L18-[10]Temporaries!AZ18</f>
        <v>1.2497299999999998</v>
      </c>
      <c r="AV18" s="558">
        <f t="shared" si="26"/>
        <v>71.489999999999995</v>
      </c>
      <c r="AW18" s="559">
        <f t="shared" si="27"/>
        <v>0.10299999999999999</v>
      </c>
      <c r="AX18" s="325"/>
      <c r="AY18" s="325"/>
      <c r="AZ18" s="325"/>
      <c r="BA18" s="560" t="s">
        <v>242</v>
      </c>
      <c r="BB18" s="562">
        <f t="shared" si="28"/>
        <v>64.8</v>
      </c>
      <c r="BC18" s="562">
        <f t="shared" si="29"/>
        <v>64.81</v>
      </c>
      <c r="BD18" s="561">
        <f t="shared" si="30"/>
        <v>1.0000000000005116E-2</v>
      </c>
      <c r="BE18" s="635">
        <f t="shared" si="31"/>
        <v>0</v>
      </c>
    </row>
    <row r="19" spans="1:57" x14ac:dyDescent="0.35">
      <c r="A19" s="234">
        <f t="shared" si="0"/>
        <v>13</v>
      </c>
      <c r="B19" s="234" t="s">
        <v>60</v>
      </c>
      <c r="C19" s="344" t="s">
        <v>61</v>
      </c>
      <c r="D19" s="323">
        <f>+'[10]Washington volumes'!J19</f>
        <v>1665389.3</v>
      </c>
      <c r="E19" s="525">
        <v>2000</v>
      </c>
      <c r="F19" s="572">
        <v>3436</v>
      </c>
      <c r="G19" s="493">
        <v>250</v>
      </c>
      <c r="H19" s="493">
        <f>'[33]Aver Bill by RS'!$J19</f>
        <v>515.08785319123695</v>
      </c>
      <c r="I19" s="493">
        <f t="shared" si="32"/>
        <v>-265.08785319123695</v>
      </c>
      <c r="J19" s="493">
        <f>'[33]Aver Bill by RS'!$J19</f>
        <v>515.08785319123695</v>
      </c>
      <c r="K19" s="493">
        <f t="shared" si="2"/>
        <v>-265.08785319123695</v>
      </c>
      <c r="L19" s="325">
        <f>+'[10]Rates in summary'!D19</f>
        <v>1.0394899999999998</v>
      </c>
      <c r="M19" s="493"/>
      <c r="N19" s="325">
        <f>'[10]Rates in summary'!D19+[10]Temporaries!K19+[10]Temporaries!L19+[10]Temporaries!M19-[10]Temporaries!AX19</f>
        <v>1.0397099999999997</v>
      </c>
      <c r="O19" s="493"/>
      <c r="P19" s="566"/>
      <c r="Q19" s="325">
        <f>'[10]Rates in summary'!D19+[10]Temporaries!N19+[10]Temporaries!O19-[10]Temporaries!AY19</f>
        <v>1.0387099999999998</v>
      </c>
      <c r="R19" s="493"/>
      <c r="S19" s="566"/>
      <c r="T19" s="396">
        <f>'[10]Rates in detail'!D19+[10]Temporaries!T19-[10]Temporaries!BD19+[10]Temporaries!S19-[10]Temporaries!BC19+[10]Temporaries!P19-[10]Temporaries!BB19++[10]Temporaries!Q19-[10]Temporaries!AW19</f>
        <v>1.0396499999999997</v>
      </c>
      <c r="U19" s="391"/>
      <c r="V19" s="390"/>
      <c r="W19" s="325">
        <f>'[10]Rates in summary'!D19+[10]Temporaries!R19-[10]Temporaries!AZ19</f>
        <v>1.03972</v>
      </c>
      <c r="X19" s="493"/>
      <c r="Y19" s="566"/>
      <c r="Z19" s="325">
        <f>'[10]Rates in summary'!D19+[10]Permanents!F19</f>
        <v>1.0395699999999999</v>
      </c>
      <c r="AA19" s="493"/>
      <c r="AB19" s="566"/>
      <c r="AC19" s="567">
        <f>'[10]Rates in summary'!D19+[10]Temporaries!U19-[10]Temporaries!BE19</f>
        <v>1.0394899999999998</v>
      </c>
      <c r="AD19" s="504"/>
      <c r="AE19" s="568"/>
      <c r="AF19" s="325">
        <f>'[10]Rates in summary'!D19+[10]Temporaries!V19-[10]Temporaries!BF19</f>
        <v>1.0394899999999998</v>
      </c>
      <c r="AG19" s="493"/>
      <c r="AH19" s="566"/>
      <c r="AI19" s="250">
        <f>'[10]Rates in summary'!G19+[10]Temporaries!J19</f>
        <v>0.96812999999999982</v>
      </c>
      <c r="AJ19" s="493"/>
      <c r="AK19" s="569"/>
      <c r="AL19" s="325">
        <f>+'[10]Rates in summary'!Q19</f>
        <v>0.96803999999999979</v>
      </c>
      <c r="AM19" s="493"/>
      <c r="AN19" s="570"/>
      <c r="AO19" s="496"/>
      <c r="AP19" s="557"/>
      <c r="AQ19" s="495">
        <f t="shared" si="22"/>
        <v>0</v>
      </c>
      <c r="AR19" s="495">
        <f t="shared" si="23"/>
        <v>0</v>
      </c>
      <c r="AS19" s="495">
        <f t="shared" si="24"/>
        <v>-7.1450000000000014E-2</v>
      </c>
      <c r="AT19" s="495">
        <f t="shared" si="25"/>
        <v>-7.1450000000000014E-2</v>
      </c>
      <c r="AU19" s="243">
        <f>+'[10]Rates in summary'!D19+[10]Temporaries!K19+[10]Temporaries!M19+[10]Temporaries!L19-[10]Temporaries!AZ19</f>
        <v>1.0794599999999999</v>
      </c>
      <c r="AV19" s="500"/>
      <c r="AW19" s="571"/>
      <c r="AX19" s="325"/>
      <c r="AY19" s="325"/>
      <c r="AZ19" s="325"/>
      <c r="BA19" s="560" t="s">
        <v>60</v>
      </c>
      <c r="BB19" s="562">
        <f>M21</f>
        <v>3222.8421468087627</v>
      </c>
      <c r="BC19" s="564">
        <f>U21</f>
        <v>3223.3321468087634</v>
      </c>
      <c r="BD19" s="561">
        <f t="shared" si="30"/>
        <v>0.49000000000069122</v>
      </c>
      <c r="BE19" s="635">
        <f t="shared" si="31"/>
        <v>0</v>
      </c>
    </row>
    <row r="20" spans="1:57" x14ac:dyDescent="0.35">
      <c r="A20" s="234">
        <f t="shared" si="0"/>
        <v>14</v>
      </c>
      <c r="B20" s="234"/>
      <c r="C20" s="344" t="s">
        <v>62</v>
      </c>
      <c r="D20" s="323">
        <f>+'[10]Washington volumes'!J20</f>
        <v>2698480.8</v>
      </c>
      <c r="E20" s="525" t="s">
        <v>243</v>
      </c>
      <c r="F20" s="572"/>
      <c r="G20" s="493"/>
      <c r="H20" s="572"/>
      <c r="I20" s="493"/>
      <c r="J20" s="572"/>
      <c r="K20" s="493"/>
      <c r="L20" s="325">
        <f>+'[10]Rates in summary'!D20</f>
        <v>0.98116000000000014</v>
      </c>
      <c r="M20" s="493"/>
      <c r="N20" s="325">
        <f>'[10]Rates in summary'!D20+[10]Temporaries!K20+[10]Temporaries!L20+[10]Temporaries!M20-[10]Temporaries!AX20</f>
        <v>0.98135000000000017</v>
      </c>
      <c r="O20" s="493"/>
      <c r="P20" s="566"/>
      <c r="Q20" s="325">
        <f>'[10]Rates in summary'!D20+[10]Temporaries!N20+[10]Temporaries!O20-[10]Temporaries!AY20</f>
        <v>0.98047000000000017</v>
      </c>
      <c r="R20" s="493"/>
      <c r="S20" s="566"/>
      <c r="T20" s="396">
        <f>'[10]Rates in detail'!D20+[10]Temporaries!T20-[10]Temporaries!BD20+[10]Temporaries!S20-[10]Temporaries!BC20+[10]Temporaries!P20-[10]Temporaries!BB20++[10]Temporaries!Q20-[10]Temporaries!AW20</f>
        <v>0.98128000000000004</v>
      </c>
      <c r="U20" s="391"/>
      <c r="V20" s="390"/>
      <c r="W20" s="325">
        <f>'[10]Rates in summary'!D20+[10]Temporaries!R20-[10]Temporaries!AZ20</f>
        <v>0.98136000000000012</v>
      </c>
      <c r="X20" s="493"/>
      <c r="Y20" s="566"/>
      <c r="Z20" s="325">
        <f>'[10]Rates in summary'!D20+[10]Permanents!F20</f>
        <v>0.98123000000000016</v>
      </c>
      <c r="AA20" s="493"/>
      <c r="AB20" s="566"/>
      <c r="AC20" s="567">
        <f>'[10]Rates in summary'!D20+[10]Temporaries!U20-[10]Temporaries!BE20</f>
        <v>0.98116000000000014</v>
      </c>
      <c r="AD20" s="504"/>
      <c r="AE20" s="568"/>
      <c r="AF20" s="325">
        <f>'[10]Rates in summary'!D20+[10]Temporaries!V20-[10]Temporaries!BF20</f>
        <v>0.98116000000000014</v>
      </c>
      <c r="AG20" s="493"/>
      <c r="AH20" s="566"/>
      <c r="AI20" s="250">
        <f>'[10]Rates in summary'!G20+[10]Temporaries!J20</f>
        <v>0.90980000000000005</v>
      </c>
      <c r="AJ20" s="493"/>
      <c r="AK20" s="569"/>
      <c r="AL20" s="325">
        <f>+'[10]Rates in summary'!Q20</f>
        <v>0.90969000000000011</v>
      </c>
      <c r="AM20" s="493"/>
      <c r="AN20" s="570"/>
      <c r="AO20" s="496"/>
      <c r="AP20" s="557"/>
      <c r="AQ20" s="495">
        <f t="shared" si="22"/>
        <v>0</v>
      </c>
      <c r="AR20" s="495">
        <f t="shared" si="23"/>
        <v>0</v>
      </c>
      <c r="AS20" s="495">
        <f t="shared" si="24"/>
        <v>-7.1470000000000034E-2</v>
      </c>
      <c r="AT20" s="495">
        <f t="shared" si="25"/>
        <v>-7.1470000000000034E-2</v>
      </c>
      <c r="AU20" s="243">
        <f>+'[10]Rates in summary'!D20+[10]Temporaries!K20+[10]Temporaries!M20+[10]Temporaries!L20-[10]Temporaries!AZ20</f>
        <v>1.0163700000000002</v>
      </c>
      <c r="AV20" s="500"/>
      <c r="AW20" s="571"/>
      <c r="AX20" s="325"/>
      <c r="AY20" s="325"/>
      <c r="AZ20" s="325"/>
      <c r="BA20" s="560" t="s">
        <v>64</v>
      </c>
      <c r="BB20" s="562">
        <f>M27</f>
        <v>250</v>
      </c>
      <c r="BC20" s="564">
        <f>U27</f>
        <v>250</v>
      </c>
      <c r="BD20" s="561">
        <f t="shared" si="30"/>
        <v>0</v>
      </c>
      <c r="BE20" s="635">
        <f t="shared" si="31"/>
        <v>0</v>
      </c>
    </row>
    <row r="21" spans="1:57" x14ac:dyDescent="0.35">
      <c r="A21" s="234">
        <f t="shared" si="0"/>
        <v>15</v>
      </c>
      <c r="B21" s="338"/>
      <c r="C21" s="573" t="s">
        <v>27</v>
      </c>
      <c r="D21" s="574"/>
      <c r="E21" s="575"/>
      <c r="F21" s="576"/>
      <c r="G21" s="577"/>
      <c r="H21" s="576"/>
      <c r="I21" s="577"/>
      <c r="J21" s="576"/>
      <c r="K21" s="577"/>
      <c r="L21" s="578"/>
      <c r="M21" s="577">
        <f>$I19+ROUND(IF($F19&lt;$E19,($F19*L19),IF($F19&gt;SUM($E19:$E20),(($E19*L19)+(($F19-$E19)*L20)),0)),2)</f>
        <v>3222.8421468087627</v>
      </c>
      <c r="N21" s="578"/>
      <c r="O21" s="577">
        <f>$I19+ROUND(IF($F19&lt;$E19,($F19*N19),IF($F19&gt;SUM($E19:$E20),(($E19*N19)+(($F19-$E19)*N20)),0)),2)</f>
        <v>3223.5521468087627</v>
      </c>
      <c r="P21" s="579">
        <f>ROUND((O21-M21)/M21,3)</f>
        <v>0</v>
      </c>
      <c r="Q21" s="578"/>
      <c r="R21" s="577">
        <f>$I19+ROUND(IF($F19&lt;$E19,($F19*Q19),IF($F19&gt;SUM($E19:$E20),(($E19*Q19)+(($F19-$E19)*Q20)),0)),2)</f>
        <v>3220.2821468087632</v>
      </c>
      <c r="S21" s="579">
        <f>ROUND((R21-M21)/M21,3)</f>
        <v>-1E-3</v>
      </c>
      <c r="T21" s="394"/>
      <c r="U21" s="388">
        <f>$I19+ROUND(IF($F19&lt;$E19,($F19*T19),IF($F19&gt;SUM($E19:$E20),(($E19*T19)+(($F19-$E19)*T20)),0)),2)</f>
        <v>3223.3321468087634</v>
      </c>
      <c r="V21" s="387">
        <f>ROUND((U21-M21)/M21,3)</f>
        <v>0</v>
      </c>
      <c r="W21" s="578"/>
      <c r="X21" s="577">
        <f>$I19+ROUND(IF($F19&lt;$E19,($F19*W19),IF($F19&gt;SUM($E19:$E20),(($E19*W19)+(($F19-$E19)*W20)),0)),2)</f>
        <v>3223.5821468087634</v>
      </c>
      <c r="Y21" s="579">
        <f>(X21-M21)/M21</f>
        <v>2.2961099746490358E-4</v>
      </c>
      <c r="Z21" s="578"/>
      <c r="AA21" s="577">
        <f>$I19+ROUND(IF($F19&lt;$E19,($F19*Z19),IF($F19&gt;SUM($E19:$E20),(($E19*Z19)+(($F19-$E19)*Z20)),0)),2)</f>
        <v>3223.1021468087629</v>
      </c>
      <c r="AB21" s="579">
        <f>(AA21-M21)/M21</f>
        <v>8.0674134244417957E-5</v>
      </c>
      <c r="AC21" s="580"/>
      <c r="AD21" s="581">
        <f>$I19+ROUND(IF($F19&lt;$E19,($F19*AC19),IF($F19&gt;SUM($E19:$E20),(($E19*AC19)+(($F19-$E19)*AC20)),0)),2)</f>
        <v>3222.8421468087627</v>
      </c>
      <c r="AE21" s="582">
        <f>(AD21-M21)/M21</f>
        <v>0</v>
      </c>
      <c r="AF21" s="578"/>
      <c r="AG21" s="577">
        <f>$K19+ROUND(IF($F19&lt;$E19,($F19*AF19),IF($F19&gt;SUM($E19:$E20),(($E19*AF19)+(($F19-$E19)*AF20)),0)),2)</f>
        <v>3222.8421468087627</v>
      </c>
      <c r="AH21" s="579">
        <f>(AG21-M21)/M21</f>
        <v>0</v>
      </c>
      <c r="AI21" s="578"/>
      <c r="AJ21" s="577">
        <f>$I19+ROUND(IF($F19&lt;$E19,($F19*AI19),IF($F19&gt;SUM($E19:$E20),(($E19*AI19)+(($F19-$E19)*AI20)),0)),2)</f>
        <v>2977.6421468087628</v>
      </c>
      <c r="AK21" s="579">
        <f>ROUND((AJ21-M21)/M21,3)</f>
        <v>-7.5999999999999998E-2</v>
      </c>
      <c r="AL21" s="578"/>
      <c r="AM21" s="577">
        <f>$K19+ROUND(IF($F19&lt;$E19,($F19*AL19),IF($F19&gt;SUM($E19:$E20),(($E19*AL19)+(($F19-$E19)*AL20)),0)),2)</f>
        <v>2977.3021468087627</v>
      </c>
      <c r="AN21" s="579">
        <f>ROUND((AM21-M21)/M21,3)</f>
        <v>-7.5999999999999998E-2</v>
      </c>
      <c r="AO21" s="496"/>
      <c r="AP21" s="557"/>
      <c r="AQ21" s="495">
        <f t="shared" si="22"/>
        <v>0</v>
      </c>
      <c r="AR21" s="495">
        <f t="shared" si="23"/>
        <v>0</v>
      </c>
      <c r="AS21" s="495">
        <f t="shared" si="24"/>
        <v>0</v>
      </c>
      <c r="AT21" s="495">
        <f t="shared" si="25"/>
        <v>0</v>
      </c>
      <c r="AU21" s="583"/>
      <c r="AV21" s="584">
        <f>$I19+ROUND(IF($F19&lt;$E19,($F19*AU19),IF($F19&gt;SUM($E19:$E20),(($E19*AU19)+(($F19-$E19)*AU20)),0)),2)</f>
        <v>3353.3421468087627</v>
      </c>
      <c r="AW21" s="585">
        <f>ROUND((AV21-M21)/M21,3)</f>
        <v>0.04</v>
      </c>
      <c r="AX21" s="325"/>
      <c r="AY21" s="325"/>
      <c r="AZ21" s="325"/>
      <c r="BA21" s="560" t="s">
        <v>66</v>
      </c>
      <c r="BB21" s="562">
        <f>M33</f>
        <v>2836.1121468087631</v>
      </c>
      <c r="BC21" s="564">
        <f>U33</f>
        <v>2833.942146808763</v>
      </c>
      <c r="BD21" s="561">
        <f t="shared" si="30"/>
        <v>-2.1700000000000728</v>
      </c>
      <c r="BE21" s="635">
        <f t="shared" si="31"/>
        <v>-1E-3</v>
      </c>
    </row>
    <row r="22" spans="1:57" x14ac:dyDescent="0.35">
      <c r="A22" s="234">
        <f t="shared" si="0"/>
        <v>16</v>
      </c>
      <c r="B22" s="234" t="s">
        <v>63</v>
      </c>
      <c r="C22" s="344" t="s">
        <v>61</v>
      </c>
      <c r="D22" s="323">
        <f>+'[10]Washington volumes'!J21</f>
        <v>331379.44452066539</v>
      </c>
      <c r="E22" s="525">
        <v>2000</v>
      </c>
      <c r="F22" s="572">
        <v>4741</v>
      </c>
      <c r="G22" s="493">
        <v>250</v>
      </c>
      <c r="H22" s="493">
        <f>'[33]Aver Bill by RS'!$J22</f>
        <v>622.72278920943302</v>
      </c>
      <c r="I22" s="493">
        <f>G22-(IF(H22&gt;(F22*$H$3),(F22*$H$3),H22))</f>
        <v>-372.72278920943302</v>
      </c>
      <c r="J22" s="493">
        <f>'[33]Aver Bill by RS'!$J22</f>
        <v>622.72278920943302</v>
      </c>
      <c r="K22" s="493">
        <f>G22-(IF(J22&gt;($F22*$H$4),($F22*$H$4),J22))</f>
        <v>-372.72278920943302</v>
      </c>
      <c r="L22" s="325">
        <f>+'[10]Rates in summary'!D21</f>
        <v>0.94622000000000028</v>
      </c>
      <c r="M22" s="493"/>
      <c r="N22" s="325">
        <f>'[10]Rates in summary'!D21+[10]Temporaries!K21+[10]Temporaries!L21+[10]Temporaries!M21-[10]Temporaries!AX21</f>
        <v>0.94622000000000028</v>
      </c>
      <c r="O22" s="493"/>
      <c r="P22" s="566"/>
      <c r="Q22" s="325">
        <f>'[10]Rates in summary'!D21+[10]Temporaries!N21+[10]Temporaries!O21-[10]Temporaries!AY21</f>
        <v>0.94593000000000038</v>
      </c>
      <c r="R22" s="493"/>
      <c r="S22" s="566"/>
      <c r="T22" s="395">
        <f>'[10]Rates in detail'!D21+[10]Temporaries!T21-[10]Temporaries!BD21+[10]Temporaries!S21-[10]Temporaries!BC21+[10]Temporaries!P21-[10]Temporaries!BB21++[10]Temporaries!Q21-[10]Temporaries!AW21</f>
        <v>0.94566000000000017</v>
      </c>
      <c r="U22" s="391"/>
      <c r="V22" s="390"/>
      <c r="W22" s="325">
        <f>'[10]Rates in summary'!D21+[10]Temporaries!R21-[10]Temporaries!AZ21</f>
        <v>0.94671000000000027</v>
      </c>
      <c r="X22" s="493"/>
      <c r="Y22" s="566"/>
      <c r="Z22" s="325">
        <f>'[10]Rates in summary'!D21+[10]Permanents!F21</f>
        <v>0.9462900000000003</v>
      </c>
      <c r="AA22" s="493"/>
      <c r="AB22" s="566"/>
      <c r="AC22" s="567">
        <f>'[10]Rates in summary'!D21+[10]Temporaries!U21-[10]Temporaries!BE21</f>
        <v>0.94622000000000028</v>
      </c>
      <c r="AD22" s="504"/>
      <c r="AE22" s="568"/>
      <c r="AF22" s="325">
        <f>'[10]Rates in summary'!D21+[10]Temporaries!V21-[10]Temporaries!BF21</f>
        <v>0.94622000000000039</v>
      </c>
      <c r="AG22" s="493"/>
      <c r="AH22" s="566"/>
      <c r="AI22" s="325">
        <f>'[10]Rates in summary'!G21+[10]Temporaries!J21</f>
        <v>0.8748600000000003</v>
      </c>
      <c r="AJ22" s="493"/>
      <c r="AK22" s="569"/>
      <c r="AL22" s="325">
        <f>+'[10]Rates in summary'!Q21</f>
        <v>0.87457000000000029</v>
      </c>
      <c r="AM22" s="493"/>
      <c r="AN22" s="586"/>
      <c r="AO22" s="496"/>
      <c r="AP22" s="557"/>
      <c r="AQ22" s="495">
        <f t="shared" si="22"/>
        <v>0</v>
      </c>
      <c r="AR22" s="495">
        <f t="shared" si="23"/>
        <v>0</v>
      </c>
      <c r="AS22" s="495">
        <f t="shared" si="24"/>
        <v>-7.1649999999999991E-2</v>
      </c>
      <c r="AT22" s="495">
        <f t="shared" si="25"/>
        <v>-7.1649999999999991E-2</v>
      </c>
      <c r="AU22" s="243">
        <f>+'[10]Rates in summary'!D21+[10]Temporaries!K21+[10]Temporaries!M21+[10]Temporaries!L21-[10]Temporaries!AZ21</f>
        <v>0.94129000000000029</v>
      </c>
      <c r="AV22" s="500"/>
      <c r="AW22" s="587"/>
      <c r="AX22" s="325"/>
      <c r="AY22" s="325"/>
      <c r="AZ22" s="325"/>
      <c r="BA22" s="560" t="s">
        <v>75</v>
      </c>
      <c r="BB22" s="562">
        <f>M64</f>
        <v>20723.220895181617</v>
      </c>
      <c r="BC22" s="564">
        <f>U64</f>
        <v>20681.190895181615</v>
      </c>
      <c r="BD22" s="561">
        <f t="shared" si="30"/>
        <v>-42.030000000002474</v>
      </c>
      <c r="BE22" s="635">
        <f t="shared" si="31"/>
        <v>-2E-3</v>
      </c>
    </row>
    <row r="23" spans="1:57" x14ac:dyDescent="0.35">
      <c r="A23" s="234">
        <f t="shared" si="0"/>
        <v>17</v>
      </c>
      <c r="B23" s="234"/>
      <c r="C23" s="344" t="s">
        <v>62</v>
      </c>
      <c r="D23" s="323">
        <f>+'[10]Washington volumes'!J22</f>
        <v>593486.75547933462</v>
      </c>
      <c r="E23" s="525" t="s">
        <v>243</v>
      </c>
      <c r="F23" s="588"/>
      <c r="G23" s="589"/>
      <c r="H23" s="588"/>
      <c r="I23" s="589"/>
      <c r="J23" s="588"/>
      <c r="K23" s="589"/>
      <c r="L23" s="325">
        <f>+'[10]Rates in summary'!D22</f>
        <v>0.89908999999999961</v>
      </c>
      <c r="M23" s="493"/>
      <c r="N23" s="325">
        <f>'[10]Rates in summary'!D22+[10]Temporaries!K22+[10]Temporaries!L22+[10]Temporaries!M22-[10]Temporaries!AX22</f>
        <v>0.89908999999999961</v>
      </c>
      <c r="O23" s="493"/>
      <c r="P23" s="566"/>
      <c r="Q23" s="325">
        <f>'[10]Rates in summary'!D22+[10]Temporaries!N22+[10]Temporaries!O22-[10]Temporaries!AY22</f>
        <v>0.89882999999999957</v>
      </c>
      <c r="R23" s="493"/>
      <c r="S23" s="566"/>
      <c r="T23" s="392">
        <f>'[10]Rates in detail'!D22+[10]Temporaries!T22-[10]Temporaries!BD22+[10]Temporaries!S22-[10]Temporaries!BC22+[10]Temporaries!P22-[10]Temporaries!BB22++[10]Temporaries!Q22-[10]Temporaries!AW22</f>
        <v>0.89848999999999957</v>
      </c>
      <c r="U23" s="391"/>
      <c r="V23" s="390"/>
      <c r="W23" s="325">
        <f>'[10]Rates in summary'!D22+[10]Temporaries!R22-[10]Temporaries!AZ22</f>
        <v>0.89952999999999961</v>
      </c>
      <c r="X23" s="493"/>
      <c r="Y23" s="566"/>
      <c r="Z23" s="325">
        <f>'[10]Rates in summary'!D22+[10]Permanents!F22</f>
        <v>0.89914999999999956</v>
      </c>
      <c r="AA23" s="493"/>
      <c r="AB23" s="566"/>
      <c r="AC23" s="567">
        <f>'[10]Rates in summary'!D22+[10]Temporaries!U22-[10]Temporaries!BE22</f>
        <v>0.89908999999999961</v>
      </c>
      <c r="AD23" s="504"/>
      <c r="AE23" s="568"/>
      <c r="AF23" s="325">
        <f>'[10]Rates in summary'!D22+[10]Temporaries!V22-[10]Temporaries!BF22</f>
        <v>0.89908999999999961</v>
      </c>
      <c r="AG23" s="493"/>
      <c r="AH23" s="566"/>
      <c r="AI23" s="325">
        <f>'[10]Rates in summary'!G22+[10]Temporaries!J22</f>
        <v>0.82772999999999952</v>
      </c>
      <c r="AJ23" s="493"/>
      <c r="AK23" s="569"/>
      <c r="AL23" s="325">
        <f>+'[10]Rates in summary'!Q22</f>
        <v>0.82736999999999949</v>
      </c>
      <c r="AM23" s="493"/>
      <c r="AN23" s="586"/>
      <c r="AO23" s="496"/>
      <c r="AP23" s="557"/>
      <c r="AQ23" s="495">
        <f t="shared" si="22"/>
        <v>0</v>
      </c>
      <c r="AR23" s="495">
        <f t="shared" si="23"/>
        <v>0</v>
      </c>
      <c r="AS23" s="495">
        <f t="shared" si="24"/>
        <v>-7.1720000000000117E-2</v>
      </c>
      <c r="AT23" s="495">
        <f t="shared" si="25"/>
        <v>-7.1720000000000117E-2</v>
      </c>
      <c r="AU23" s="243">
        <f>+'[10]Rates in summary'!D22+[10]Temporaries!K22+[10]Temporaries!M22+[10]Temporaries!L22-[10]Temporaries!AZ22</f>
        <v>0.8947499999999996</v>
      </c>
      <c r="AV23" s="500"/>
      <c r="AW23" s="587"/>
      <c r="AX23" s="325"/>
      <c r="AY23" s="325"/>
      <c r="AZ23" s="325"/>
      <c r="BA23" s="590" t="s">
        <v>76</v>
      </c>
      <c r="BB23" s="591">
        <f>M71</f>
        <v>23127.560663486882</v>
      </c>
      <c r="BC23" s="592">
        <f>U71</f>
        <v>23126.390663486884</v>
      </c>
      <c r="BD23" s="593">
        <f t="shared" si="30"/>
        <v>-1.1699999999982538</v>
      </c>
      <c r="BE23" s="636">
        <f t="shared" si="31"/>
        <v>0</v>
      </c>
    </row>
    <row r="24" spans="1:57" x14ac:dyDescent="0.35">
      <c r="A24" s="234">
        <f t="shared" si="0"/>
        <v>18</v>
      </c>
      <c r="B24" s="338"/>
      <c r="C24" s="573" t="s">
        <v>27</v>
      </c>
      <c r="D24" s="574"/>
      <c r="E24" s="575"/>
      <c r="F24" s="576"/>
      <c r="G24" s="577"/>
      <c r="H24" s="576"/>
      <c r="I24" s="577"/>
      <c r="J24" s="576"/>
      <c r="K24" s="577"/>
      <c r="L24" s="578"/>
      <c r="M24" s="577">
        <f>$I22+ROUND(IF($F22&lt;$E22,($F22*L22),IF($F22&gt;SUM($E22:$E23),(($E22*L22)+(($F22-$E22)*L23)),0)),2)</f>
        <v>3984.1272107905675</v>
      </c>
      <c r="N24" s="578"/>
      <c r="O24" s="577">
        <f>$I22+ROUND(IF($F22&lt;$E22,($F22*N22),IF($F22&gt;SUM($E22:$E23),(($E22*N22)+(($F22-$E22)*N23)),0)),2)</f>
        <v>3984.1272107905675</v>
      </c>
      <c r="P24" s="579">
        <f>ROUND((O24-M24)/M24,3)</f>
        <v>0</v>
      </c>
      <c r="Q24" s="578"/>
      <c r="R24" s="577">
        <f>$I22+ROUND(IF($F22&lt;$E22,($F22*Q22),IF($F22&gt;SUM($E22:$E23),(($E22*Q22)+(($F22-$E22)*Q23)),0)),2)</f>
        <v>3982.8272107905673</v>
      </c>
      <c r="S24" s="579">
        <f>ROUND((R24-M24)/M24,3)</f>
        <v>0</v>
      </c>
      <c r="T24" s="394"/>
      <c r="U24" s="388">
        <f>$I22+ROUND(IF($F22&lt;$E22,($F22*T22),IF($F22&gt;SUM($E22:$E23),(($E22*T22)+(($F22-$E22)*T23)),0)),2)</f>
        <v>3981.357210790567</v>
      </c>
      <c r="V24" s="387">
        <f>ROUND((U24-M24)/M24,3)</f>
        <v>-1E-3</v>
      </c>
      <c r="W24" s="578"/>
      <c r="X24" s="577">
        <f>$I22+ROUND(IF($F22&lt;$E22,($F22*W22),IF($F22&gt;SUM($E22:$E23),(($E22*W22)+(($F22-$E22)*W23)),0)),2)</f>
        <v>3986.3072107905668</v>
      </c>
      <c r="Y24" s="579">
        <f>(X24-M24)/M24</f>
        <v>5.4717128361139993E-4</v>
      </c>
      <c r="Z24" s="578"/>
      <c r="AA24" s="577">
        <f>$I22+ROUND(IF($F22&lt;$E22,($F22*Z22),IF($F22&gt;SUM($E22:$E23),(($E22*Z22)+(($F22-$E22)*Z23)),0)),2)</f>
        <v>3984.4272107905667</v>
      </c>
      <c r="AB24" s="579">
        <f>(AA24-M24)/M24</f>
        <v>7.5298800496820383E-5</v>
      </c>
      <c r="AC24" s="580"/>
      <c r="AD24" s="581">
        <f>$I22+ROUND(IF($F22&lt;$E22,($F22*AC22),IF($F22&gt;SUM($E22:$E23),(($E22*AC22)+(($F22-$E22)*AC23)),0)),2)</f>
        <v>3984.1272107905675</v>
      </c>
      <c r="AE24" s="582">
        <f>(AD24-M24)/M24</f>
        <v>0</v>
      </c>
      <c r="AF24" s="578"/>
      <c r="AG24" s="577">
        <f>$K22+ROUND(IF($F22&lt;$E22,($F22*AF22),IF($F22&gt;SUM($E22:$E23),(($E22*AF22)+(($F22-$E22)*AF23)),0)),2)</f>
        <v>3984.1272107905675</v>
      </c>
      <c r="AH24" s="579">
        <f>(AG24-M24)/M24</f>
        <v>0</v>
      </c>
      <c r="AI24" s="578"/>
      <c r="AJ24" s="577">
        <f>$I22+ROUND(IF($F22&lt;$E22,($F22*AI22),IF($F22&gt;SUM($E22:$E23),(($E22*AI22)+(($F22-$E22)*AI23)),0)),2)</f>
        <v>3645.8072107905673</v>
      </c>
      <c r="AK24" s="594">
        <f>ROUND((AJ24-M24)/M24,3)</f>
        <v>-8.5000000000000006E-2</v>
      </c>
      <c r="AL24" s="578"/>
      <c r="AM24" s="577">
        <f>$K22+ROUND(IF($F22&lt;$E22,($F22*AL22),IF($F22&gt;SUM($E22:$E23),(($E22*AL22)+(($F22-$E22)*AL23)),0)),2)</f>
        <v>3644.2372107905671</v>
      </c>
      <c r="AN24" s="594">
        <f>ROUND((AM24-M24)/M24,3)</f>
        <v>-8.5000000000000006E-2</v>
      </c>
      <c r="AO24" s="496"/>
      <c r="AP24" s="557"/>
      <c r="AQ24" s="495">
        <f t="shared" si="22"/>
        <v>0</v>
      </c>
      <c r="AR24" s="495">
        <f t="shared" si="23"/>
        <v>0</v>
      </c>
      <c r="AS24" s="495">
        <f t="shared" si="24"/>
        <v>0</v>
      </c>
      <c r="AT24" s="495">
        <f t="shared" si="25"/>
        <v>0</v>
      </c>
      <c r="AU24" s="583"/>
      <c r="AV24" s="584">
        <f>$I22+ROUND(IF($F22&lt;$E22,($F22*AU22),IF($F22&gt;SUM($E22:$E23),(($E22*AU22)+(($F22-$E22)*AU23)),0)),2)</f>
        <v>3962.3672107905672</v>
      </c>
      <c r="AW24" s="585">
        <f>ROUND((AV24-M24)/M24,3)</f>
        <v>-5.0000000000000001E-3</v>
      </c>
      <c r="AX24" s="325"/>
      <c r="AY24" s="325"/>
      <c r="AZ24" s="325"/>
      <c r="BA24" s="560" t="s">
        <v>77</v>
      </c>
      <c r="BB24" s="562">
        <f>M78</f>
        <v>7419.7766599999995</v>
      </c>
      <c r="BC24" s="564">
        <f>U78</f>
        <v>7411.9966599999989</v>
      </c>
      <c r="BD24" s="561">
        <f t="shared" si="30"/>
        <v>-7.7800000000006548</v>
      </c>
      <c r="BE24" s="635">
        <f t="shared" si="31"/>
        <v>-1E-3</v>
      </c>
    </row>
    <row r="25" spans="1:57" x14ac:dyDescent="0.35">
      <c r="A25" s="234">
        <f t="shared" si="0"/>
        <v>19</v>
      </c>
      <c r="B25" s="234" t="s">
        <v>64</v>
      </c>
      <c r="C25" s="344" t="s">
        <v>61</v>
      </c>
      <c r="D25" s="323">
        <f>+'[10]Washington volumes'!J23</f>
        <v>0</v>
      </c>
      <c r="E25" s="525">
        <v>2000</v>
      </c>
      <c r="F25" s="572">
        <v>0</v>
      </c>
      <c r="G25" s="493">
        <v>250</v>
      </c>
      <c r="H25" s="493">
        <f>'[33]Aver Bill by RS'!$J25</f>
        <v>515.08785319123695</v>
      </c>
      <c r="I25" s="493">
        <f>G25-(IF(H25&gt;(F25*$H$3),(F25*$H$3),H25))</f>
        <v>250</v>
      </c>
      <c r="J25" s="493">
        <f>'[33]Aver Bill by RS'!$J25</f>
        <v>515.08785319123695</v>
      </c>
      <c r="K25" s="493">
        <f>G25-(IF(J25&gt;($F25*$H$4),($F25*$H$4),J25))</f>
        <v>250</v>
      </c>
      <c r="L25" s="325">
        <f>+'[10]Rates in summary'!D23</f>
        <v>0.96427000000000007</v>
      </c>
      <c r="M25" s="493"/>
      <c r="N25" s="325">
        <f>'[10]Rates in summary'!D23+[10]Temporaries!K23+[10]Temporaries!L23+[10]Temporaries!M23-[10]Temporaries!AX23</f>
        <v>0.9654600000000001</v>
      </c>
      <c r="O25" s="493"/>
      <c r="P25" s="566"/>
      <c r="Q25" s="325">
        <f>'[10]Rates in summary'!D23+[10]Temporaries!N23+[10]Temporaries!O23-[10]Temporaries!AY23</f>
        <v>0.96372000000000013</v>
      </c>
      <c r="R25" s="493"/>
      <c r="S25" s="566"/>
      <c r="T25" s="395">
        <f>'[10]Rates in detail'!D23+[10]Temporaries!T23-[10]Temporaries!BD23+[10]Temporaries!S23-[10]Temporaries!BC23+[10]Temporaries!P23-[10]Temporaries!BB23++[10]Temporaries!Q23-[10]Temporaries!AW23</f>
        <v>0.9646300000000001</v>
      </c>
      <c r="U25" s="391"/>
      <c r="V25" s="390"/>
      <c r="W25" s="325">
        <f>'[10]Rates in summary'!D23+[10]Temporaries!R23-[10]Temporaries!AZ23</f>
        <v>0.96459000000000006</v>
      </c>
      <c r="X25" s="493"/>
      <c r="Y25" s="566"/>
      <c r="Z25" s="325">
        <f>'[10]Rates in summary'!D23+[10]Permanents!F23</f>
        <v>0.96434000000000009</v>
      </c>
      <c r="AA25" s="493"/>
      <c r="AB25" s="566"/>
      <c r="AC25" s="567">
        <f>'[10]Rates in summary'!D23+[10]Temporaries!U23-[10]Temporaries!BE23</f>
        <v>0.96427000000000007</v>
      </c>
      <c r="AD25" s="504"/>
      <c r="AE25" s="568"/>
      <c r="AF25" s="325">
        <f>'[10]Rates in summary'!D23+[10]Temporaries!V23-[10]Temporaries!BF23</f>
        <v>0.96427000000000007</v>
      </c>
      <c r="AG25" s="493"/>
      <c r="AH25" s="566"/>
      <c r="AI25" s="325">
        <f>'[10]Rates in summary'!G23+[10]Temporaries!J23</f>
        <v>0.92520999999999998</v>
      </c>
      <c r="AJ25" s="493"/>
      <c r="AK25" s="569"/>
      <c r="AL25" s="325">
        <f>+'[10]Rates in summary'!Q23</f>
        <v>0.92659999999999998</v>
      </c>
      <c r="AM25" s="493"/>
      <c r="AN25" s="586"/>
      <c r="AO25" s="496"/>
      <c r="AP25" s="557"/>
      <c r="AQ25" s="495">
        <f t="shared" si="22"/>
        <v>0</v>
      </c>
      <c r="AR25" s="495">
        <f t="shared" si="23"/>
        <v>0</v>
      </c>
      <c r="AS25" s="495">
        <f t="shared" si="24"/>
        <v>-3.7670000000000092E-2</v>
      </c>
      <c r="AT25" s="495">
        <f t="shared" si="25"/>
        <v>-3.7670000000000092E-2</v>
      </c>
      <c r="AU25" s="243">
        <f>+'[10]Rates in summary'!D23+[10]Temporaries!K23+[10]Temporaries!M23+[10]Temporaries!L23-[10]Temporaries!AZ23</f>
        <v>1.0006200000000001</v>
      </c>
      <c r="AV25" s="500"/>
      <c r="AW25" s="587"/>
      <c r="AX25" s="325"/>
      <c r="AY25" s="325"/>
      <c r="AZ25" s="325"/>
      <c r="BA25" s="560" t="s">
        <v>163</v>
      </c>
      <c r="BB25" s="562">
        <f>M36</f>
        <v>500</v>
      </c>
      <c r="BC25" s="564">
        <f>U36</f>
        <v>500</v>
      </c>
      <c r="BD25" s="561">
        <f t="shared" si="30"/>
        <v>0</v>
      </c>
      <c r="BE25" s="635">
        <f t="shared" si="31"/>
        <v>0</v>
      </c>
    </row>
    <row r="26" spans="1:57" x14ac:dyDescent="0.35">
      <c r="A26" s="234">
        <f t="shared" si="0"/>
        <v>20</v>
      </c>
      <c r="B26" s="234"/>
      <c r="C26" s="344" t="s">
        <v>62</v>
      </c>
      <c r="D26" s="323">
        <f>+'[10]Washington volumes'!J24</f>
        <v>0</v>
      </c>
      <c r="E26" s="525" t="s">
        <v>243</v>
      </c>
      <c r="F26" s="588"/>
      <c r="G26" s="589"/>
      <c r="H26" s="588"/>
      <c r="I26" s="589"/>
      <c r="J26" s="588"/>
      <c r="K26" s="589"/>
      <c r="L26" s="325">
        <f>+'[10]Rates in summary'!D24</f>
        <v>0.91047000000000022</v>
      </c>
      <c r="M26" s="493"/>
      <c r="N26" s="325">
        <f>'[10]Rates in summary'!D24+[10]Temporaries!K24+[10]Temporaries!L24+[10]Temporaries!M24-[10]Temporaries!AX24</f>
        <v>0.9115000000000002</v>
      </c>
      <c r="O26" s="493"/>
      <c r="P26" s="566"/>
      <c r="Q26" s="325">
        <f>'[10]Rates in summary'!D24+[10]Temporaries!N24+[10]Temporaries!O24-[10]Temporaries!AY24</f>
        <v>0.90997000000000017</v>
      </c>
      <c r="R26" s="493"/>
      <c r="S26" s="566"/>
      <c r="T26" s="392">
        <f>'[10]Rates in detail'!D24+[10]Temporaries!T24-[10]Temporaries!BD24+[10]Temporaries!S24-[10]Temporaries!BC24+[10]Temporaries!P24-[10]Temporaries!BB24++[10]Temporaries!Q24-[10]Temporaries!AW24</f>
        <v>0.91079000000000032</v>
      </c>
      <c r="U26" s="391"/>
      <c r="V26" s="390"/>
      <c r="W26" s="325">
        <f>'[10]Rates in summary'!D24+[10]Temporaries!R24-[10]Temporaries!AZ24</f>
        <v>0.91075000000000028</v>
      </c>
      <c r="X26" s="493"/>
      <c r="Y26" s="566"/>
      <c r="Z26" s="325">
        <f>'[10]Rates in summary'!D24+[10]Permanents!F24</f>
        <v>0.91053000000000017</v>
      </c>
      <c r="AA26" s="493"/>
      <c r="AB26" s="566"/>
      <c r="AC26" s="567">
        <f>'[10]Rates in summary'!D24+[10]Temporaries!U24-[10]Temporaries!BE24</f>
        <v>0.91047000000000022</v>
      </c>
      <c r="AD26" s="504"/>
      <c r="AE26" s="568"/>
      <c r="AF26" s="325">
        <f>'[10]Rates in summary'!D24+[10]Temporaries!V24-[10]Temporaries!BF24</f>
        <v>0.91047000000000022</v>
      </c>
      <c r="AG26" s="493"/>
      <c r="AH26" s="566"/>
      <c r="AI26" s="325">
        <f>'[10]Rates in summary'!G24+[10]Temporaries!J24</f>
        <v>0.87141000000000013</v>
      </c>
      <c r="AJ26" s="493"/>
      <c r="AK26" s="569"/>
      <c r="AL26" s="325">
        <f>+'[10]Rates in summary'!Q24</f>
        <v>0.87260000000000026</v>
      </c>
      <c r="AM26" s="493"/>
      <c r="AN26" s="586"/>
      <c r="AO26" s="496"/>
      <c r="AP26" s="557"/>
      <c r="AQ26" s="495">
        <f t="shared" si="22"/>
        <v>0</v>
      </c>
      <c r="AR26" s="495">
        <f t="shared" si="23"/>
        <v>0</v>
      </c>
      <c r="AS26" s="495">
        <f t="shared" si="24"/>
        <v>-3.7869999999999959E-2</v>
      </c>
      <c r="AT26" s="495">
        <f t="shared" si="25"/>
        <v>-3.7869999999999959E-2</v>
      </c>
      <c r="AU26" s="243">
        <f>+'[10]Rates in summary'!D24+[10]Temporaries!K24+[10]Temporaries!M24+[10]Temporaries!L24-[10]Temporaries!AZ24</f>
        <v>0.94249000000000027</v>
      </c>
      <c r="AV26" s="500"/>
      <c r="AW26" s="587"/>
      <c r="AX26" s="325"/>
      <c r="AY26" s="325"/>
      <c r="AZ26" s="325"/>
      <c r="BA26" s="560" t="s">
        <v>63</v>
      </c>
      <c r="BB26" s="562">
        <f>M24</f>
        <v>3984.1272107905675</v>
      </c>
      <c r="BC26" s="564">
        <f>U24</f>
        <v>3981.357210790567</v>
      </c>
      <c r="BD26" s="561">
        <f t="shared" si="30"/>
        <v>-2.7700000000004366</v>
      </c>
      <c r="BE26" s="635">
        <f t="shared" si="31"/>
        <v>-1E-3</v>
      </c>
    </row>
    <row r="27" spans="1:57" x14ac:dyDescent="0.35">
      <c r="A27" s="234">
        <f t="shared" si="0"/>
        <v>21</v>
      </c>
      <c r="B27" s="338"/>
      <c r="C27" s="573" t="s">
        <v>27</v>
      </c>
      <c r="D27" s="574"/>
      <c r="E27" s="575"/>
      <c r="F27" s="576"/>
      <c r="G27" s="577"/>
      <c r="H27" s="576"/>
      <c r="I27" s="577"/>
      <c r="J27" s="576"/>
      <c r="K27" s="577"/>
      <c r="L27" s="578"/>
      <c r="M27" s="577">
        <f>$I25+ROUND(IF($F25&lt;$E25,($F25*L25),IF($F25&gt;SUM($E25:$E25),(($E25*L25)+(($F25-$E25)*L25)),0)),2)</f>
        <v>250</v>
      </c>
      <c r="N27" s="578"/>
      <c r="O27" s="577">
        <f>$I25+ROUND(IF($F25&lt;$E25,($F25*N25),IF($F25&gt;SUM($E25:$E26),(($E25*N25)+(($F25-$E25)*N26)),0)),2)</f>
        <v>250</v>
      </c>
      <c r="P27" s="579">
        <f>ROUND((O27-M27)/M27,3)</f>
        <v>0</v>
      </c>
      <c r="Q27" s="578"/>
      <c r="R27" s="577">
        <f>$I25+ROUND(IF($F25&lt;$E25,($F25*Q25),IF($F25&gt;SUM($E25:$E26),(($E25*Q25)+(($F25-$E25)*Q26)),0)),2)</f>
        <v>250</v>
      </c>
      <c r="S27" s="579">
        <f>ROUND((R27-M27)/M27,3)</f>
        <v>0</v>
      </c>
      <c r="T27" s="394"/>
      <c r="U27" s="388">
        <f>$I25+ROUND(IF($F25&lt;$E25,($F25*T25),IF($F25&gt;SUM($E25:$E26),(($E25*T25)+(($F25-$E25)*T26)),0)),2)</f>
        <v>250</v>
      </c>
      <c r="V27" s="387">
        <f>ROUND((U27-M27)/M27,3)</f>
        <v>0</v>
      </c>
      <c r="W27" s="578"/>
      <c r="X27" s="577">
        <f>$I25+ROUND(IF($F25&lt;$E25,($F25*W25),IF($F25&gt;SUM($E25:$E26),(($E25*W25)+(($F25-$E25)*W26)),0)),2)</f>
        <v>250</v>
      </c>
      <c r="Y27" s="579">
        <f>(X27-M27)/M27</f>
        <v>0</v>
      </c>
      <c r="Z27" s="578"/>
      <c r="AA27" s="577">
        <f>$I25+ROUND(IF($F25&lt;$E25,($F25*Z25),IF($F25&gt;SUM($E25:$E26),(($E25*Z25)+(($F25-$E25)*Z26)),0)),2)</f>
        <v>250</v>
      </c>
      <c r="AB27" s="579">
        <f>(AA27-M27)/M27</f>
        <v>0</v>
      </c>
      <c r="AC27" s="580"/>
      <c r="AD27" s="581">
        <f>$I25+ROUND(IF($F25&lt;$E25,($F25*AC25),IF($F25&gt;SUM($E25:$E26),(($E25*AC25)+(($F25-$E25)*AC26)),0)),2)</f>
        <v>250</v>
      </c>
      <c r="AE27" s="582">
        <f>(AD27-M27)/M27</f>
        <v>0</v>
      </c>
      <c r="AF27" s="578"/>
      <c r="AG27" s="577">
        <f>$K25+ROUND(IF($F25&lt;$E25,($F25*AF25),IF($F25&gt;SUM($E25:$E26),(($E25*AF25)+(($F25-$E25)*AF26)),0)),2)</f>
        <v>250</v>
      </c>
      <c r="AH27" s="579">
        <f>(AG27-M27)/M27</f>
        <v>0</v>
      </c>
      <c r="AI27" s="578"/>
      <c r="AJ27" s="577">
        <f>$I25+ROUND(IF($F25&lt;$E25,($F25*AI25),IF($F25&gt;SUM($E25:$E25),(($E25*AI25)+(($F25-$E25)*AI25)),0)),2)</f>
        <v>250</v>
      </c>
      <c r="AK27" s="594">
        <f>ROUND((AJ27-M27)/M27,3)</f>
        <v>0</v>
      </c>
      <c r="AL27" s="578"/>
      <c r="AM27" s="577">
        <f>$K25+ROUND(IF($F25&lt;$E25,($F25*AL25),IF($F25&gt;SUM($E25:$E25),(($E25*AL25)+(($F25-$E25)*AL25)),0)),2)</f>
        <v>250</v>
      </c>
      <c r="AN27" s="594">
        <f>ROUND((AM27-M27)/M27,3)</f>
        <v>0</v>
      </c>
      <c r="AO27" s="496"/>
      <c r="AP27" s="557"/>
      <c r="AQ27" s="495">
        <f t="shared" si="22"/>
        <v>0</v>
      </c>
      <c r="AR27" s="495">
        <f t="shared" si="23"/>
        <v>0</v>
      </c>
      <c r="AS27" s="495">
        <f t="shared" si="24"/>
        <v>0</v>
      </c>
      <c r="AT27" s="495">
        <f t="shared" si="25"/>
        <v>0</v>
      </c>
      <c r="AU27" s="583"/>
      <c r="AV27" s="584">
        <f>$I25+ROUND(IF($F25&lt;$E25,($F25*AU25),IF($F25&gt;SUM($E25:$E25),(($E25*AU25)+(($F25-$E25)*AU25)),0)),2)</f>
        <v>250</v>
      </c>
      <c r="AW27" s="585">
        <f>ROUND((AV27-M27)/M27,3)</f>
        <v>0</v>
      </c>
      <c r="AX27" s="325"/>
      <c r="AY27" s="325"/>
      <c r="AZ27" s="325"/>
      <c r="BA27" s="560" t="s">
        <v>65</v>
      </c>
      <c r="BB27" s="562">
        <f>M30</f>
        <v>250</v>
      </c>
      <c r="BC27" s="564">
        <f>U30</f>
        <v>250</v>
      </c>
      <c r="BD27" s="561">
        <f t="shared" si="30"/>
        <v>0</v>
      </c>
      <c r="BE27" s="635">
        <f t="shared" si="31"/>
        <v>0</v>
      </c>
    </row>
    <row r="28" spans="1:57" x14ac:dyDescent="0.35">
      <c r="A28" s="234">
        <f t="shared" si="0"/>
        <v>22</v>
      </c>
      <c r="B28" s="234" t="s">
        <v>65</v>
      </c>
      <c r="C28" s="344" t="s">
        <v>61</v>
      </c>
      <c r="D28" s="323">
        <f>+'[10]Washington volumes'!J25</f>
        <v>0</v>
      </c>
      <c r="E28" s="525">
        <v>2000</v>
      </c>
      <c r="F28" s="572">
        <v>0</v>
      </c>
      <c r="G28" s="493">
        <v>250</v>
      </c>
      <c r="H28" s="493">
        <f>'[33]Aver Bill by RS'!$J28</f>
        <v>622.72278920943302</v>
      </c>
      <c r="I28" s="493">
        <f>G28-(IF(H28&gt;(F28*$H$3),(F28*$H$3),H28))</f>
        <v>250</v>
      </c>
      <c r="J28" s="493">
        <f>'[33]Aver Bill by RS'!$J28</f>
        <v>622.72278920943302</v>
      </c>
      <c r="K28" s="493">
        <f>G28-(IF(J28&gt;($F28*$H$4),($F28*$H$4),J28))</f>
        <v>250</v>
      </c>
      <c r="L28" s="325">
        <f>+'[10]Rates in summary'!D25</f>
        <v>0.90245000000000009</v>
      </c>
      <c r="M28" s="493"/>
      <c r="N28" s="325">
        <f>'[10]Rates in summary'!D25+[10]Temporaries!K25+[10]Temporaries!L25+[10]Temporaries!M25-[10]Temporaries!AX25</f>
        <v>0.90245000000000009</v>
      </c>
      <c r="O28" s="493"/>
      <c r="P28" s="566"/>
      <c r="Q28" s="325">
        <f>'[10]Rates in summary'!D25+[10]Temporaries!N25+[10]Temporaries!O25-[10]Temporaries!AY25</f>
        <v>0.90190999999999999</v>
      </c>
      <c r="R28" s="493"/>
      <c r="S28" s="566"/>
      <c r="T28" s="395">
        <f>'[10]Rates in detail'!D25+[10]Temporaries!T25-[10]Temporaries!BD25+[10]Temporaries!S25-[10]Temporaries!BC25+[10]Temporaries!P25-[10]Temporaries!BB25++[10]Temporaries!Q25-[10]Temporaries!AW25</f>
        <v>0.90211000000000008</v>
      </c>
      <c r="U28" s="391"/>
      <c r="V28" s="390"/>
      <c r="W28" s="325">
        <f>'[10]Rates in summary'!D25+[10]Temporaries!R25-[10]Temporaries!AZ25</f>
        <v>0.90276000000000001</v>
      </c>
      <c r="X28" s="493"/>
      <c r="Y28" s="566"/>
      <c r="Z28" s="325">
        <f>'[10]Rates in summary'!D25+[10]Permanents!F25</f>
        <v>0.9025200000000001</v>
      </c>
      <c r="AA28" s="493"/>
      <c r="AB28" s="566"/>
      <c r="AC28" s="567">
        <f>'[10]Rates in summary'!D25+[10]Temporaries!U25-[10]Temporaries!BE25</f>
        <v>0.90245000000000009</v>
      </c>
      <c r="AD28" s="504"/>
      <c r="AE28" s="568"/>
      <c r="AF28" s="325">
        <f>'[10]Rates in summary'!D25+[10]Temporaries!V25-[10]Temporaries!BF25</f>
        <v>0.90245000000000009</v>
      </c>
      <c r="AG28" s="493"/>
      <c r="AH28" s="566"/>
      <c r="AI28" s="325">
        <f>'[10]Rates in summary'!G25+[10]Temporaries!J25</f>
        <v>0.86338999999999999</v>
      </c>
      <c r="AJ28" s="493"/>
      <c r="AK28" s="569"/>
      <c r="AL28" s="325">
        <f>+'[10]Rates in summary'!Q25</f>
        <v>0.86289000000000005</v>
      </c>
      <c r="AM28" s="493"/>
      <c r="AN28" s="570"/>
      <c r="AO28" s="496"/>
      <c r="AP28" s="557"/>
      <c r="AQ28" s="495">
        <f t="shared" si="22"/>
        <v>0</v>
      </c>
      <c r="AR28" s="495">
        <f t="shared" si="23"/>
        <v>0</v>
      </c>
      <c r="AS28" s="495">
        <f t="shared" si="24"/>
        <v>-3.956000000000004E-2</v>
      </c>
      <c r="AT28" s="495">
        <f t="shared" si="25"/>
        <v>-3.956000000000004E-2</v>
      </c>
      <c r="AU28" s="243">
        <f>+'[10]Rates in summary'!D25+[10]Temporaries!K25+[10]Temporaries!M25+[10]Temporaries!L25-[10]Temporaries!AZ25</f>
        <v>0.89729000000000003</v>
      </c>
      <c r="AV28" s="500"/>
      <c r="AW28" s="571"/>
      <c r="AX28" s="325"/>
      <c r="AY28" s="325"/>
      <c r="AZ28" s="325"/>
      <c r="BA28" s="560" t="s">
        <v>244</v>
      </c>
      <c r="BB28" s="562">
        <f>M85</f>
        <v>1550</v>
      </c>
      <c r="BC28" s="564">
        <f>U85</f>
        <v>1550</v>
      </c>
      <c r="BD28" s="561">
        <f t="shared" si="30"/>
        <v>0</v>
      </c>
      <c r="BE28" s="635">
        <f t="shared" si="31"/>
        <v>0</v>
      </c>
    </row>
    <row r="29" spans="1:57" x14ac:dyDescent="0.35">
      <c r="A29" s="234">
        <f t="shared" si="0"/>
        <v>23</v>
      </c>
      <c r="B29" s="234"/>
      <c r="C29" s="344" t="s">
        <v>62</v>
      </c>
      <c r="D29" s="323">
        <f>+'[10]Washington volumes'!J26</f>
        <v>0</v>
      </c>
      <c r="E29" s="525" t="s">
        <v>243</v>
      </c>
      <c r="F29" s="572"/>
      <c r="G29" s="493"/>
      <c r="H29" s="572"/>
      <c r="I29" s="493"/>
      <c r="J29" s="572"/>
      <c r="K29" s="493"/>
      <c r="L29" s="325">
        <f>+'[10]Rates in summary'!D26</f>
        <v>0.8560899999999998</v>
      </c>
      <c r="M29" s="493"/>
      <c r="N29" s="325">
        <f>'[10]Rates in summary'!D26+[10]Temporaries!K26+[10]Temporaries!L26+[10]Temporaries!M26-[10]Temporaries!AX26</f>
        <v>0.8560899999999998</v>
      </c>
      <c r="O29" s="493"/>
      <c r="P29" s="566"/>
      <c r="Q29" s="325">
        <f>'[10]Rates in summary'!D26+[10]Temporaries!N26+[10]Temporaries!O26-[10]Temporaries!AY26</f>
        <v>0.85562999999999978</v>
      </c>
      <c r="R29" s="493"/>
      <c r="S29" s="566"/>
      <c r="T29" s="392">
        <f>'[10]Rates in detail'!D26+[10]Temporaries!T26-[10]Temporaries!BD26+[10]Temporaries!S26-[10]Temporaries!BC26+[10]Temporaries!P26-[10]Temporaries!BB26++[10]Temporaries!Q26-[10]Temporaries!AW26</f>
        <v>0.85570999999999986</v>
      </c>
      <c r="U29" s="391"/>
      <c r="V29" s="390"/>
      <c r="W29" s="325">
        <f>'[10]Rates in summary'!D26+[10]Temporaries!R26-[10]Temporaries!AZ26</f>
        <v>0.85635999999999979</v>
      </c>
      <c r="X29" s="493"/>
      <c r="Y29" s="566"/>
      <c r="Z29" s="325">
        <f>'[10]Rates in summary'!D26+[10]Permanents!F26</f>
        <v>0.85614999999999974</v>
      </c>
      <c r="AA29" s="493"/>
      <c r="AB29" s="566"/>
      <c r="AC29" s="567">
        <f>'[10]Rates in summary'!D26+[10]Temporaries!U26-[10]Temporaries!BE26</f>
        <v>0.8560899999999998</v>
      </c>
      <c r="AD29" s="504"/>
      <c r="AE29" s="568"/>
      <c r="AF29" s="325">
        <f>'[10]Rates in summary'!D26+[10]Temporaries!V26-[10]Temporaries!BF26</f>
        <v>0.85608999999999968</v>
      </c>
      <c r="AG29" s="493"/>
      <c r="AH29" s="566"/>
      <c r="AI29" s="325">
        <f>'[10]Rates in summary'!G26+[10]Temporaries!J26</f>
        <v>0.81702999999999981</v>
      </c>
      <c r="AJ29" s="493"/>
      <c r="AK29" s="569"/>
      <c r="AL29" s="325">
        <f>+'[10]Rates in summary'!Q26</f>
        <v>0.81651999999999991</v>
      </c>
      <c r="AM29" s="493"/>
      <c r="AN29" s="570"/>
      <c r="AO29" s="496"/>
      <c r="AP29" s="557"/>
      <c r="AQ29" s="495">
        <f t="shared" si="22"/>
        <v>0</v>
      </c>
      <c r="AR29" s="495">
        <f t="shared" si="23"/>
        <v>0</v>
      </c>
      <c r="AS29" s="495">
        <f t="shared" si="24"/>
        <v>-3.9569999999999883E-2</v>
      </c>
      <c r="AT29" s="495">
        <f t="shared" si="25"/>
        <v>-3.9569999999999883E-2</v>
      </c>
      <c r="AU29" s="243">
        <f>+'[10]Rates in summary'!D26+[10]Temporaries!K26+[10]Temporaries!M26+[10]Temporaries!L26-[10]Temporaries!AZ26</f>
        <v>0.85153999999999974</v>
      </c>
      <c r="AV29" s="500"/>
      <c r="AW29" s="571"/>
      <c r="AX29" s="325"/>
      <c r="AY29" s="325"/>
      <c r="AZ29" s="325"/>
      <c r="BA29" s="560" t="s">
        <v>245</v>
      </c>
      <c r="BB29" s="562">
        <f>M92</f>
        <v>30845.000895181613</v>
      </c>
      <c r="BC29" s="564">
        <f>U92</f>
        <v>30781.170895181618</v>
      </c>
      <c r="BD29" s="561">
        <f t="shared" si="30"/>
        <v>-63.82999999999447</v>
      </c>
      <c r="BE29" s="635">
        <f t="shared" si="31"/>
        <v>-2E-3</v>
      </c>
    </row>
    <row r="30" spans="1:57" x14ac:dyDescent="0.35">
      <c r="A30" s="234">
        <f t="shared" si="0"/>
        <v>24</v>
      </c>
      <c r="B30" s="338"/>
      <c r="C30" s="573" t="s">
        <v>27</v>
      </c>
      <c r="D30" s="574"/>
      <c r="E30" s="575"/>
      <c r="F30" s="576"/>
      <c r="G30" s="577"/>
      <c r="H30" s="576"/>
      <c r="I30" s="577"/>
      <c r="J30" s="576"/>
      <c r="K30" s="577"/>
      <c r="L30" s="578"/>
      <c r="M30" s="577">
        <f>$I28+ROUND(IF($F28&lt;$E28,($F28*L28),IF($F28&gt;SUM($E28:$E29),(($E28*L28)+(($F28-$E28)*L29)),0)),2)</f>
        <v>250</v>
      </c>
      <c r="N30" s="578"/>
      <c r="O30" s="577">
        <f>$I28+ROUND(IF($F28&lt;$E28,($F28*N28),IF($F28&gt;SUM($E28:$E29),(($E28*N28)+(($F28-$E28)*N29)),0)),2)</f>
        <v>250</v>
      </c>
      <c r="P30" s="579">
        <f>ROUND((O30-M30)/M30,3)</f>
        <v>0</v>
      </c>
      <c r="Q30" s="578"/>
      <c r="R30" s="577">
        <f>$I28+ROUND(IF($F28&lt;$E28,($F28*Q28),IF($F28&gt;SUM($E28:$E29),(($E28*Q28)+(($F28-$E28)*Q29)),0)),2)</f>
        <v>250</v>
      </c>
      <c r="S30" s="579">
        <f>ROUND((R30-M30)/M30,3)</f>
        <v>0</v>
      </c>
      <c r="T30" s="394"/>
      <c r="U30" s="388">
        <f>$I28+ROUND(IF($F28&lt;$E28,($F28*T28),IF($F28&gt;SUM($E28:$E29),(($E28*T28)+(($F28-$E28)*T29)),0)),2)</f>
        <v>250</v>
      </c>
      <c r="V30" s="387">
        <f>ROUND((U30-M30)/M30,3)</f>
        <v>0</v>
      </c>
      <c r="W30" s="578"/>
      <c r="X30" s="577">
        <f>$I28+ROUND(IF($F28&lt;$E28,($F28*W28),IF($F28&gt;SUM($E28:$E29),(($E28*W28)+(($F28-$E28)*W29)),0)),2)</f>
        <v>250</v>
      </c>
      <c r="Y30" s="579">
        <f>(X30-M30)/M30</f>
        <v>0</v>
      </c>
      <c r="Z30" s="578"/>
      <c r="AA30" s="577">
        <f>$I28+ROUND(IF($F28&lt;$E28,($F28*Z28),IF($F28&gt;SUM($E28:$E29),(($E28*Z28)+(($F28-$E28)*Z29)),0)),2)</f>
        <v>250</v>
      </c>
      <c r="AB30" s="579">
        <f>(AA30-M30)/M30</f>
        <v>0</v>
      </c>
      <c r="AC30" s="580"/>
      <c r="AD30" s="581">
        <f>$I28+ROUND(IF($F28&lt;$E28,($F28*AC28),IF($F28&gt;SUM($E28:$E29),(($E28*AC28)+(($F28-$E28)*AC29)),0)),2)</f>
        <v>250</v>
      </c>
      <c r="AE30" s="582">
        <f>(AD30-M30)/M30</f>
        <v>0</v>
      </c>
      <c r="AF30" s="578"/>
      <c r="AG30" s="577">
        <f>$K28+ROUND(IF($F28&lt;$E28,($F28*AF28),IF($F28&gt;SUM($E28:$E29),(($E28*AF28)+(($F28-$E28)*AF29)),0)),2)</f>
        <v>250</v>
      </c>
      <c r="AH30" s="579">
        <f>(AG30-M30)/M30</f>
        <v>0</v>
      </c>
      <c r="AI30" s="578"/>
      <c r="AJ30" s="577">
        <f>$I28+ROUND(IF($F28&lt;$E28,($F28*AI28),IF($F28&gt;SUM($E28:$E29),(($E28*AI28)+(($F28-$E28)*AI29)),0)),2)</f>
        <v>250</v>
      </c>
      <c r="AK30" s="594">
        <f>ROUND((AJ30-M30)/M30,3)</f>
        <v>0</v>
      </c>
      <c r="AL30" s="578"/>
      <c r="AM30" s="577">
        <f>$K28+ROUND(IF($F28&lt;$E28,($F28*AL28),IF($F28&gt;SUM($E28:$E29),(($E28*AL28)+(($F28-$E28)*AL29)),0)),2)</f>
        <v>250</v>
      </c>
      <c r="AN30" s="594">
        <f>ROUND((AM30-M30)/M30,3)</f>
        <v>0</v>
      </c>
      <c r="AO30" s="496"/>
      <c r="AP30" s="557"/>
      <c r="AQ30" s="495">
        <f t="shared" si="22"/>
        <v>0</v>
      </c>
      <c r="AR30" s="495">
        <f t="shared" si="23"/>
        <v>0</v>
      </c>
      <c r="AS30" s="495">
        <f t="shared" si="24"/>
        <v>0</v>
      </c>
      <c r="AT30" s="495">
        <f t="shared" si="25"/>
        <v>0</v>
      </c>
      <c r="AU30" s="583"/>
      <c r="AV30" s="584">
        <f>$I28+ROUND(IF($F28&lt;$E28,($F28*AU28),IF($F28&gt;SUM($E28:$E29),(($E28*AU28)+(($F28-$E28)*AU29)),0)),2)</f>
        <v>250</v>
      </c>
      <c r="AW30" s="585">
        <f>ROUND((AV30-M30)/M30,3)</f>
        <v>0</v>
      </c>
      <c r="AX30" s="325"/>
      <c r="AY30" s="325"/>
      <c r="AZ30" s="325"/>
      <c r="BA30" s="560" t="s">
        <v>80</v>
      </c>
      <c r="BB30" s="562">
        <f>M93</f>
        <v>38000</v>
      </c>
      <c r="BC30" s="564">
        <f>U93</f>
        <v>38000</v>
      </c>
      <c r="BD30" s="561">
        <f t="shared" si="30"/>
        <v>0</v>
      </c>
      <c r="BE30" s="635">
        <f t="shared" si="31"/>
        <v>0</v>
      </c>
    </row>
    <row r="31" spans="1:57" x14ac:dyDescent="0.35">
      <c r="A31" s="234">
        <f t="shared" si="0"/>
        <v>25</v>
      </c>
      <c r="B31" s="234" t="s">
        <v>66</v>
      </c>
      <c r="C31" s="344" t="s">
        <v>61</v>
      </c>
      <c r="D31" s="323">
        <f>+'[10]Washington volumes'!J27</f>
        <v>123242.73967014518</v>
      </c>
      <c r="E31" s="525">
        <v>2000</v>
      </c>
      <c r="F31" s="572">
        <v>4648</v>
      </c>
      <c r="G31" s="493">
        <f>250+250</f>
        <v>500</v>
      </c>
      <c r="H31" s="493">
        <f>'[33]Aver Bill by RS'!$J31</f>
        <v>515.08785319123695</v>
      </c>
      <c r="I31" s="493">
        <f>G31-(IF(H31&gt;(F31*$H$3),(F31*$H$3),H31))</f>
        <v>-15.087853191236945</v>
      </c>
      <c r="J31" s="493">
        <f>'[33]Aver Bill by RS'!$J31</f>
        <v>515.08785319123695</v>
      </c>
      <c r="K31" s="493">
        <f>G31-(IF(J31&gt;($F31*$H$4),($F31*$H$4),J31))</f>
        <v>-15.087853191236945</v>
      </c>
      <c r="L31" s="325">
        <f>+'[10]Rates in summary'!D27</f>
        <v>0.64044000000000001</v>
      </c>
      <c r="M31" s="493"/>
      <c r="N31" s="325">
        <f>'[10]Rates in summary'!D27+[10]Temporaries!K27+[10]Temporaries!L27+[10]Temporaries!M27-[10]Temporaries!AX27</f>
        <v>0.64044000000000001</v>
      </c>
      <c r="O31" s="493"/>
      <c r="P31" s="566"/>
      <c r="Q31" s="325">
        <f>'[10]Rates in summary'!D27+[10]Temporaries!N27+[10]Temporaries!O27-[10]Temporaries!AY27</f>
        <v>0.64044000000000001</v>
      </c>
      <c r="R31" s="493"/>
      <c r="S31" s="566"/>
      <c r="T31" s="392">
        <f>'[10]Rates in detail'!D27+[10]Temporaries!T27-[10]Temporaries!BD27+[10]Temporaries!S27-[10]Temporaries!BC27+[10]Temporaries!P27-[10]Temporaries!BB27++[10]Temporaries!Q27-[10]Temporaries!AW27</f>
        <v>0.63998999999999995</v>
      </c>
      <c r="U31" s="391"/>
      <c r="V31" s="390"/>
      <c r="W31" s="325">
        <f>'[10]Rates in summary'!D27+[10]Temporaries!R27-[10]Temporaries!AZ27</f>
        <v>0.64091000000000009</v>
      </c>
      <c r="X31" s="493"/>
      <c r="Y31" s="566"/>
      <c r="Z31" s="325">
        <f>'[10]Rates in summary'!D27+[10]Permanents!F27</f>
        <v>0.64044000000000001</v>
      </c>
      <c r="AA31" s="493"/>
      <c r="AB31" s="566"/>
      <c r="AC31" s="567">
        <f>'[10]Rates in summary'!D27+[10]Temporaries!U27-[10]Temporaries!BE27</f>
        <v>0.64044000000000001</v>
      </c>
      <c r="AD31" s="504"/>
      <c r="AE31" s="568"/>
      <c r="AF31" s="325">
        <f>'[10]Rates in summary'!D27+[10]Temporaries!V27-[10]Temporaries!BF27</f>
        <v>0.64044000000000001</v>
      </c>
      <c r="AG31" s="493"/>
      <c r="AH31" s="566"/>
      <c r="AI31" s="325">
        <f>'[10]Rates in summary'!G27+[10]Temporaries!J27</f>
        <v>0.64044000000000001</v>
      </c>
      <c r="AJ31" s="493"/>
      <c r="AK31" s="569"/>
      <c r="AL31" s="325">
        <f>+'[10]Rates in summary'!Q27</f>
        <v>0.64046000000000003</v>
      </c>
      <c r="AM31" s="493"/>
      <c r="AN31" s="570"/>
      <c r="AO31" s="496"/>
      <c r="AP31" s="557"/>
      <c r="AQ31" s="495">
        <f t="shared" si="22"/>
        <v>0</v>
      </c>
      <c r="AR31" s="495">
        <f t="shared" si="23"/>
        <v>0</v>
      </c>
      <c r="AS31" s="495">
        <f t="shared" si="24"/>
        <v>2.0000000000020002E-5</v>
      </c>
      <c r="AT31" s="495">
        <f t="shared" si="25"/>
        <v>2.0000000000020002E-5</v>
      </c>
      <c r="AU31" s="243">
        <f>+'[10]Rates in summary'!D27+[10]Temporaries!K27+[10]Temporaries!M27+[10]Temporaries!L27-[10]Temporaries!AZ27</f>
        <v>0.63475000000000004</v>
      </c>
      <c r="AV31" s="500"/>
      <c r="AW31" s="571"/>
      <c r="AX31" s="325"/>
      <c r="AY31" s="325"/>
      <c r="AZ31" s="325"/>
      <c r="BA31" s="560" t="s">
        <v>68</v>
      </c>
      <c r="BB31" s="562">
        <f>M43</f>
        <v>7887.3772300000001</v>
      </c>
      <c r="BC31" s="564">
        <f>U43</f>
        <v>7888.1872299999995</v>
      </c>
      <c r="BD31" s="561">
        <f t="shared" si="30"/>
        <v>0.80999999999949068</v>
      </c>
      <c r="BE31" s="635">
        <f t="shared" si="31"/>
        <v>0</v>
      </c>
    </row>
    <row r="32" spans="1:57" x14ac:dyDescent="0.35">
      <c r="A32" s="234">
        <f t="shared" si="0"/>
        <v>26</v>
      </c>
      <c r="B32" s="234"/>
      <c r="C32" s="344" t="s">
        <v>62</v>
      </c>
      <c r="D32" s="323">
        <f>+'[10]Washington volumes'!J28</f>
        <v>284875.42061605473</v>
      </c>
      <c r="E32" s="525" t="s">
        <v>243</v>
      </c>
      <c r="F32" s="572"/>
      <c r="G32" s="493"/>
      <c r="H32" s="572"/>
      <c r="I32" s="493"/>
      <c r="J32" s="572"/>
      <c r="K32" s="493"/>
      <c r="L32" s="325">
        <f>+'[10]Rates in summary'!D28</f>
        <v>0.5930200000000001</v>
      </c>
      <c r="M32" s="493"/>
      <c r="N32" s="325">
        <f>'[10]Rates in summary'!D28+[10]Temporaries!K28+[10]Temporaries!L28+[10]Temporaries!M28-[10]Temporaries!AX28</f>
        <v>0.5930200000000001</v>
      </c>
      <c r="O32" s="493"/>
      <c r="P32" s="566"/>
      <c r="Q32" s="325">
        <f>'[10]Rates in summary'!D28+[10]Temporaries!N28+[10]Temporaries!O28-[10]Temporaries!AY28</f>
        <v>0.5930200000000001</v>
      </c>
      <c r="R32" s="493"/>
      <c r="S32" s="566"/>
      <c r="T32" s="392">
        <f>'[10]Rates in detail'!D28+[10]Temporaries!T28-[10]Temporaries!BD28+[10]Temporaries!S28-[10]Temporaries!BC28+[10]Temporaries!P28-[10]Temporaries!BB28++[10]Temporaries!Q28-[10]Temporaries!AW28</f>
        <v>0.59253999999999996</v>
      </c>
      <c r="U32" s="391"/>
      <c r="V32" s="390"/>
      <c r="W32" s="325">
        <f>'[10]Rates in summary'!D28+[10]Temporaries!R28-[10]Temporaries!AZ28</f>
        <v>0.59344000000000019</v>
      </c>
      <c r="X32" s="493"/>
      <c r="Y32" s="566"/>
      <c r="Z32" s="325">
        <f>'[10]Rates in summary'!D28+[10]Permanents!F28</f>
        <v>0.5930200000000001</v>
      </c>
      <c r="AA32" s="493"/>
      <c r="AB32" s="566"/>
      <c r="AC32" s="567">
        <f>'[10]Rates in summary'!D28+[10]Temporaries!U28-[10]Temporaries!BE28</f>
        <v>0.5930200000000001</v>
      </c>
      <c r="AD32" s="504"/>
      <c r="AE32" s="568"/>
      <c r="AF32" s="325">
        <f>'[10]Rates in summary'!D28+[10]Temporaries!V28-[10]Temporaries!BF28</f>
        <v>0.5930200000000001</v>
      </c>
      <c r="AG32" s="493"/>
      <c r="AH32" s="566"/>
      <c r="AI32" s="325">
        <f>'[10]Rates in summary'!G28+[10]Temporaries!J28</f>
        <v>0.5930200000000001</v>
      </c>
      <c r="AJ32" s="493"/>
      <c r="AK32" s="569"/>
      <c r="AL32" s="325">
        <f>+'[10]Rates in summary'!Q28</f>
        <v>0.59296000000000015</v>
      </c>
      <c r="AM32" s="493"/>
      <c r="AN32" s="570"/>
      <c r="AO32" s="496"/>
      <c r="AP32" s="557"/>
      <c r="AQ32" s="495">
        <f t="shared" si="22"/>
        <v>0</v>
      </c>
      <c r="AR32" s="495">
        <f t="shared" si="23"/>
        <v>0</v>
      </c>
      <c r="AS32" s="495">
        <f t="shared" si="24"/>
        <v>-5.9999999999948983E-5</v>
      </c>
      <c r="AT32" s="495">
        <f t="shared" si="25"/>
        <v>-5.9999999999948983E-5</v>
      </c>
      <c r="AU32" s="243">
        <f>+'[10]Rates in summary'!D28+[10]Temporaries!K28+[10]Temporaries!M28+[10]Temporaries!L28-[10]Temporaries!AZ28</f>
        <v>0.58801000000000014</v>
      </c>
      <c r="AV32" s="500"/>
      <c r="AW32" s="571"/>
      <c r="AX32" s="325"/>
      <c r="AY32" s="325"/>
      <c r="AZ32" s="325"/>
      <c r="BA32" s="560" t="s">
        <v>73</v>
      </c>
      <c r="BB32" s="562">
        <f>M50</f>
        <v>7563.3356300000014</v>
      </c>
      <c r="BC32" s="564">
        <f>U50</f>
        <v>7556.815630000001</v>
      </c>
      <c r="BD32" s="561">
        <f t="shared" si="30"/>
        <v>-6.5200000000004366</v>
      </c>
      <c r="BE32" s="635">
        <f t="shared" si="31"/>
        <v>-1E-3</v>
      </c>
    </row>
    <row r="33" spans="1:57" x14ac:dyDescent="0.35">
      <c r="A33" s="234">
        <f t="shared" si="0"/>
        <v>27</v>
      </c>
      <c r="B33" s="338"/>
      <c r="C33" s="573" t="s">
        <v>27</v>
      </c>
      <c r="D33" s="574"/>
      <c r="E33" s="575"/>
      <c r="F33" s="576"/>
      <c r="G33" s="577"/>
      <c r="H33" s="576"/>
      <c r="I33" s="577"/>
      <c r="J33" s="576"/>
      <c r="K33" s="577"/>
      <c r="L33" s="578"/>
      <c r="M33" s="577">
        <f>$I31+ROUND(IF($F31&lt;$E31,($F31*L31),IF($F31&gt;SUM($E31:$E32),(($E31*L31)+(($F31-$E31)*L32)),0)),2)</f>
        <v>2836.1121468087631</v>
      </c>
      <c r="N33" s="578"/>
      <c r="O33" s="577">
        <f>$I31+ROUND(IF($F31&lt;$E31,($F31*N31),IF($F31&gt;SUM($E31:$E32),(($E31*N31)+(($F31-$E31)*N32)),0)),2)</f>
        <v>2836.1121468087631</v>
      </c>
      <c r="P33" s="579">
        <f>ROUND((O33-M33)/M33,3)</f>
        <v>0</v>
      </c>
      <c r="Q33" s="578"/>
      <c r="R33" s="577">
        <f>$I31+ROUND(IF($F31&lt;$E31,($F31*Q31),IF($F31&gt;SUM($E31:$E32),(($E31*Q31)+(($F31-$E31)*Q32)),0)),2)</f>
        <v>2836.1121468087631</v>
      </c>
      <c r="S33" s="579">
        <f>ROUND((R33-M33)/M33,3)</f>
        <v>0</v>
      </c>
      <c r="T33" s="394"/>
      <c r="U33" s="388">
        <f>$I31+ROUND(IF($F31&lt;$E31,($F31*T31),IF($F31&gt;SUM($E31:$E32),(($E31*T31)+(($F31-$E31)*T32)),0)),2)</f>
        <v>2833.942146808763</v>
      </c>
      <c r="V33" s="387">
        <f>ROUND((U33-M33)/M33,3)</f>
        <v>-1E-3</v>
      </c>
      <c r="W33" s="578"/>
      <c r="X33" s="577">
        <f>$I31+ROUND(IF($F31&lt;$E31,($F31*W31),IF($F31&gt;SUM($E31:$E32),(($E31*W31)+(($F31-$E31)*W32)),0)),2)</f>
        <v>2838.1621468087633</v>
      </c>
      <c r="Y33" s="579">
        <f>(X33-M33)/M33</f>
        <v>7.2282049999569773E-4</v>
      </c>
      <c r="Z33" s="578"/>
      <c r="AA33" s="577">
        <f>$I31+ROUND(IF($F31&lt;$E31,($F31*Z31),IF($F31&gt;SUM($E31:$E32),(($E31*Z31)+(($F31-$E31)*Z32)),0)),2)</f>
        <v>2836.1121468087631</v>
      </c>
      <c r="AB33" s="579">
        <f>(AA33-M33)/M33</f>
        <v>0</v>
      </c>
      <c r="AC33" s="580"/>
      <c r="AD33" s="581">
        <f>$I31+ROUND(IF($F31&lt;$E31,($F31*AC31),IF($F31&gt;SUM($E31:$E32),(($E31*AC31)+(($F31-$E31)*AC32)),0)),2)</f>
        <v>2836.1121468087631</v>
      </c>
      <c r="AE33" s="582">
        <f>(AD33-M33)/M33</f>
        <v>0</v>
      </c>
      <c r="AF33" s="578"/>
      <c r="AG33" s="577">
        <f>$K31+ROUND(IF($F31&lt;$E31,($F31*AF31),IF($F31&gt;SUM($E31:$E32),(($E31*AF31)+(($F31-$E31)*AF32)),0)),2)</f>
        <v>2836.1121468087631</v>
      </c>
      <c r="AH33" s="579">
        <f>(AG33-M33)/M33</f>
        <v>0</v>
      </c>
      <c r="AI33" s="578"/>
      <c r="AJ33" s="577">
        <f>$I31+ROUND(IF($F31&lt;$E31,($F31*AI31),IF($F31&gt;SUM($E31:$E32),(($E31*AI31)+(($F31-$E31)*AI32)),0)),2)</f>
        <v>2836.1121468087631</v>
      </c>
      <c r="AK33" s="594">
        <f>ROUND((AJ33-M33)/M33,3)</f>
        <v>0</v>
      </c>
      <c r="AL33" s="578"/>
      <c r="AM33" s="577">
        <f>$K31+ROUND(IF($F31&lt;$E31,($F31*AL31),IF($F31&gt;SUM($E31:$E32),(($E31*AL31)+(($F31-$E31)*AL32)),0)),2)</f>
        <v>2835.9921468087632</v>
      </c>
      <c r="AN33" s="594">
        <f>ROUND((AM33-M33)/M33,3)</f>
        <v>0</v>
      </c>
      <c r="AO33" s="496"/>
      <c r="AP33" s="557"/>
      <c r="AQ33" s="495">
        <f t="shared" si="22"/>
        <v>0</v>
      </c>
      <c r="AR33" s="495">
        <f t="shared" si="23"/>
        <v>0</v>
      </c>
      <c r="AS33" s="495">
        <f t="shared" si="24"/>
        <v>0</v>
      </c>
      <c r="AT33" s="495">
        <f t="shared" si="25"/>
        <v>0</v>
      </c>
      <c r="AU33" s="583"/>
      <c r="AV33" s="584">
        <f>$I31+ROUND(IF($F31&lt;$E31,($F31*AU31),IF($F31&gt;SUM($E31:$E32),(($E31*AU31)+(($F31-$E31)*AU32)),0)),2)</f>
        <v>2811.4621468087635</v>
      </c>
      <c r="AW33" s="585">
        <f>ROUND((AV33-M33)/M33,3)</f>
        <v>-8.9999999999999993E-3</v>
      </c>
      <c r="AX33" s="325"/>
      <c r="AY33" s="325"/>
      <c r="AZ33" s="325"/>
      <c r="BA33" s="560" t="s">
        <v>74</v>
      </c>
      <c r="BB33" s="562">
        <f>M57</f>
        <v>15708.620663486881</v>
      </c>
      <c r="BC33" s="564">
        <f>U57</f>
        <v>15674.170663486881</v>
      </c>
      <c r="BD33" s="561">
        <f t="shared" si="30"/>
        <v>-34.450000000000728</v>
      </c>
      <c r="BE33" s="635">
        <f t="shared" si="31"/>
        <v>-2E-3</v>
      </c>
    </row>
    <row r="34" spans="1:57" x14ac:dyDescent="0.35">
      <c r="A34" s="234">
        <f t="shared" si="0"/>
        <v>28</v>
      </c>
      <c r="B34" s="234" t="s">
        <v>163</v>
      </c>
      <c r="C34" s="344" t="s">
        <v>61</v>
      </c>
      <c r="D34" s="323">
        <f>+'[10]Washington volumes'!J29</f>
        <v>0</v>
      </c>
      <c r="E34" s="525">
        <v>2000</v>
      </c>
      <c r="F34" s="572">
        <v>0</v>
      </c>
      <c r="G34" s="493">
        <f>250+250</f>
        <v>500</v>
      </c>
      <c r="H34" s="493">
        <f>'[33]Aver Bill by RS'!$J34</f>
        <v>622.72278920943302</v>
      </c>
      <c r="I34" s="493">
        <f>G34-(IF(H34&gt;(F34*$H$3),(F34*$H$3),H34))</f>
        <v>500</v>
      </c>
      <c r="J34" s="493">
        <f>'[33]Aver Bill by RS'!$J34</f>
        <v>622.72278920943302</v>
      </c>
      <c r="K34" s="493">
        <f>G34-(IF(J34&gt;($F34*$H$4),($F34*$H$4),J34))</f>
        <v>500</v>
      </c>
      <c r="L34" s="325">
        <f>+'[10]Rates in summary'!D29</f>
        <v>0.62856000000000001</v>
      </c>
      <c r="M34" s="493"/>
      <c r="N34" s="325">
        <f>'[10]Rates in summary'!D29+[10]Temporaries!K29+[10]Temporaries!L29+[10]Temporaries!M29-[10]Temporaries!AX29</f>
        <v>0.62856000000000001</v>
      </c>
      <c r="O34" s="493"/>
      <c r="P34" s="566"/>
      <c r="Q34" s="325">
        <f>'[10]Rates in summary'!D29+[10]Temporaries!N29+[10]Temporaries!O29-[10]Temporaries!AY29</f>
        <v>0.62856000000000001</v>
      </c>
      <c r="R34" s="493"/>
      <c r="S34" s="566"/>
      <c r="T34" s="392">
        <f>'[10]Rates in detail'!D29+[10]Temporaries!T29-[10]Temporaries!BD29+[10]Temporaries!S29-[10]Temporaries!BC29+[10]Temporaries!P29-[10]Temporaries!BB29++[10]Temporaries!Q29-[10]Temporaries!AW29</f>
        <v>0.62822</v>
      </c>
      <c r="U34" s="391"/>
      <c r="V34" s="390"/>
      <c r="W34" s="325">
        <f>'[10]Rates in summary'!D29+[10]Temporaries!R29-[10]Temporaries!AZ29</f>
        <v>0.62887000000000004</v>
      </c>
      <c r="X34" s="493"/>
      <c r="Y34" s="566"/>
      <c r="Z34" s="325">
        <f>'[10]Rates in summary'!D29+[10]Permanents!F29</f>
        <v>0.62856000000000001</v>
      </c>
      <c r="AA34" s="493"/>
      <c r="AB34" s="566"/>
      <c r="AC34" s="567">
        <f>'[10]Rates in summary'!D29+[10]Temporaries!U29-[10]Temporaries!BE29</f>
        <v>0.62856000000000001</v>
      </c>
      <c r="AD34" s="504"/>
      <c r="AE34" s="568"/>
      <c r="AF34" s="325">
        <f>'[10]Rates in summary'!D29+[10]Temporaries!V29-[10]Temporaries!BF29</f>
        <v>0.62856000000000001</v>
      </c>
      <c r="AG34" s="493"/>
      <c r="AH34" s="566"/>
      <c r="AI34" s="325">
        <f>'[10]Rates in summary'!G29+[10]Temporaries!J2</f>
        <v>0.62856000000000001</v>
      </c>
      <c r="AJ34" s="493"/>
      <c r="AK34" s="569"/>
      <c r="AL34" s="325">
        <f>+'[10]Rates in summary'!Q29</f>
        <v>0.62853000000000003</v>
      </c>
      <c r="AM34" s="493"/>
      <c r="AN34" s="570"/>
      <c r="AO34" s="496"/>
      <c r="AP34" s="557"/>
      <c r="AQ34" s="495">
        <f t="shared" si="22"/>
        <v>0</v>
      </c>
      <c r="AR34" s="495">
        <f t="shared" si="23"/>
        <v>0</v>
      </c>
      <c r="AS34" s="495">
        <f t="shared" si="24"/>
        <v>-2.9999999999974492E-5</v>
      </c>
      <c r="AT34" s="495">
        <f t="shared" si="25"/>
        <v>-2.9999999999974492E-5</v>
      </c>
      <c r="AU34" s="243">
        <f>+'[10]Rates in summary'!D30+[10]Temporaries!K30+[10]Temporaries!M30+[10]Temporaries!L30-[10]Temporaries!AZ30</f>
        <v>0.57796000000000014</v>
      </c>
      <c r="AV34" s="500"/>
      <c r="AW34" s="571"/>
      <c r="AX34" s="325"/>
      <c r="AY34" s="325"/>
      <c r="AZ34" s="325"/>
      <c r="BA34" s="560" t="s">
        <v>81</v>
      </c>
      <c r="BB34" s="562">
        <f>M94</f>
        <v>38000</v>
      </c>
      <c r="BC34" s="564">
        <f>U94</f>
        <v>38000</v>
      </c>
      <c r="BD34" s="561">
        <f t="shared" si="30"/>
        <v>0</v>
      </c>
      <c r="BE34" s="635">
        <f t="shared" si="31"/>
        <v>0</v>
      </c>
    </row>
    <row r="35" spans="1:57" x14ac:dyDescent="0.35">
      <c r="A35" s="234">
        <f t="shared" si="0"/>
        <v>29</v>
      </c>
      <c r="B35" s="234"/>
      <c r="C35" s="344" t="s">
        <v>62</v>
      </c>
      <c r="D35" s="323">
        <f>+'[10]Washington volumes'!J30</f>
        <v>0</v>
      </c>
      <c r="E35" s="525" t="s">
        <v>243</v>
      </c>
      <c r="F35" s="572"/>
      <c r="G35" s="493"/>
      <c r="H35" s="572"/>
      <c r="I35" s="493"/>
      <c r="J35" s="572"/>
      <c r="K35" s="493"/>
      <c r="L35" s="325">
        <f>+'[10]Rates in summary'!D30</f>
        <v>0.58256000000000019</v>
      </c>
      <c r="M35" s="493"/>
      <c r="N35" s="325">
        <f>'[10]Rates in summary'!D30+[10]Temporaries!K30+[10]Temporaries!L30+[10]Temporaries!M30-[10]Temporaries!AX30</f>
        <v>0.58256000000000019</v>
      </c>
      <c r="O35" s="493"/>
      <c r="P35" s="566"/>
      <c r="Q35" s="325">
        <f>'[10]Rates in summary'!D30+[10]Temporaries!N30+[10]Temporaries!O30-[10]Temporaries!AY30</f>
        <v>0.58256000000000019</v>
      </c>
      <c r="R35" s="493"/>
      <c r="S35" s="566"/>
      <c r="T35" s="392">
        <f>'[10]Rates in detail'!D30+[10]Temporaries!T30-[10]Temporaries!BD30+[10]Temporaries!S30-[10]Temporaries!BC30+[10]Temporaries!P30-[10]Temporaries!BB30++[10]Temporaries!Q30-[10]Temporaries!AW30</f>
        <v>0.58218000000000025</v>
      </c>
      <c r="U35" s="391"/>
      <c r="V35" s="390"/>
      <c r="W35" s="325">
        <f>'[10]Rates in summary'!D30+[10]Temporaries!R30-[10]Temporaries!AZ30</f>
        <v>0.58283000000000018</v>
      </c>
      <c r="X35" s="493"/>
      <c r="Y35" s="566"/>
      <c r="Z35" s="325">
        <f>'[10]Rates in summary'!D30+[10]Permanents!F30</f>
        <v>0.58256000000000019</v>
      </c>
      <c r="AA35" s="493"/>
      <c r="AB35" s="566"/>
      <c r="AC35" s="567">
        <f>'[10]Rates in summary'!D30+[10]Temporaries!U30-[10]Temporaries!BE30</f>
        <v>0.58256000000000019</v>
      </c>
      <c r="AD35" s="504"/>
      <c r="AE35" s="568"/>
      <c r="AF35" s="325">
        <f>'[10]Rates in summary'!D30+[10]Temporaries!V30-[10]Temporaries!BF30</f>
        <v>0.58256000000000019</v>
      </c>
      <c r="AG35" s="493"/>
      <c r="AH35" s="566"/>
      <c r="AI35" s="325">
        <f>'[10]Rates in summary'!G30+[10]Temporaries!J3</f>
        <v>0.58256000000000019</v>
      </c>
      <c r="AJ35" s="493"/>
      <c r="AK35" s="569"/>
      <c r="AL35" s="325">
        <f>+'[10]Rates in summary'!Q30</f>
        <v>0.58245000000000013</v>
      </c>
      <c r="AM35" s="493"/>
      <c r="AN35" s="570"/>
      <c r="AO35" s="496"/>
      <c r="AP35" s="557"/>
      <c r="AQ35" s="495">
        <f t="shared" si="22"/>
        <v>0</v>
      </c>
      <c r="AR35" s="495">
        <f t="shared" si="23"/>
        <v>0</v>
      </c>
      <c r="AS35" s="495">
        <f t="shared" si="24"/>
        <v>-1.100000000000545E-4</v>
      </c>
      <c r="AT35" s="495">
        <f t="shared" si="25"/>
        <v>-1.100000000000545E-4</v>
      </c>
      <c r="AU35" s="243">
        <f>+'[10]Rates in summary'!D21+[10]Temporaries!K21+[10]Temporaries!M21+[10]Temporaries!L21-[10]Temporaries!AZ21</f>
        <v>0.94129000000000029</v>
      </c>
      <c r="AV35" s="500"/>
      <c r="AW35" s="571"/>
      <c r="AX35" s="325"/>
      <c r="AY35" s="325"/>
      <c r="AZ35" s="325"/>
      <c r="BA35" s="325"/>
    </row>
    <row r="36" spans="1:57" s="595" customFormat="1" x14ac:dyDescent="0.35">
      <c r="A36" s="234">
        <f t="shared" si="0"/>
        <v>30</v>
      </c>
      <c r="B36" s="338"/>
      <c r="C36" s="573" t="s">
        <v>27</v>
      </c>
      <c r="D36" s="574"/>
      <c r="E36" s="575"/>
      <c r="F36" s="576"/>
      <c r="G36" s="577"/>
      <c r="H36" s="576"/>
      <c r="I36" s="577"/>
      <c r="J36" s="576"/>
      <c r="K36" s="577"/>
      <c r="L36" s="578"/>
      <c r="M36" s="577">
        <f>$I34+ROUND(IF($F34&lt;$E34,($F34*L34),IF($F34&gt;SUM($E34:$E35),(($E34*L34)+(($F34-$E34)*L35)),0)),2)</f>
        <v>500</v>
      </c>
      <c r="N36" s="578"/>
      <c r="O36" s="577">
        <f>$I34+ROUND(IF($F34&lt;$E34,($F34*N34),IF($F34&gt;SUM($E34:$E35),(($E34*N34)+(($F34-$E34)*N35)),0)),2)</f>
        <v>500</v>
      </c>
      <c r="P36" s="579">
        <f>ROUND((O36-M36)/M36,3)</f>
        <v>0</v>
      </c>
      <c r="Q36" s="578"/>
      <c r="R36" s="577">
        <f>$I34+ROUND(IF($F34&lt;$E34,($F34*Q34),IF($F34&gt;SUM($E34:$E35),(($E34*Q34)+(($F34-$E34)*Q35)),0)),2)</f>
        <v>500</v>
      </c>
      <c r="S36" s="579">
        <f>ROUND((R36-M36)/M36,3)</f>
        <v>0</v>
      </c>
      <c r="T36" s="394"/>
      <c r="U36" s="388">
        <f>$I34+ROUND(IF($F34&lt;$E34,($F34*T34),IF($F34&gt;SUM($E34:$E35),(($E34*T34)+(($F34-$E34)*T35)),0)),2)</f>
        <v>500</v>
      </c>
      <c r="V36" s="387">
        <f>ROUND((U36-M36)/M36,3)</f>
        <v>0</v>
      </c>
      <c r="W36" s="578"/>
      <c r="X36" s="577">
        <f>$I34+ROUND(IF($F34&lt;$E34,($F34*W34),IF($F34&gt;SUM($E34:$E35),(($E34*W34)+(($F34-$E34)*W35)),0)),2)</f>
        <v>500</v>
      </c>
      <c r="Y36" s="579">
        <f>(X36-M36)/M36</f>
        <v>0</v>
      </c>
      <c r="Z36" s="578"/>
      <c r="AA36" s="577">
        <f>$I34+ROUND(IF($F34&lt;$E34,($F34*Z34),IF($F34&gt;SUM($E34:$E35),(($E34*Z34)+(($F34-$E34)*Z35)),0)),2)</f>
        <v>500</v>
      </c>
      <c r="AB36" s="579">
        <f>(AA36-M36)/M36</f>
        <v>0</v>
      </c>
      <c r="AC36" s="580"/>
      <c r="AD36" s="581">
        <f>$I34+ROUND(IF($F34&lt;$E34,($F34*AC34),IF($F34&gt;SUM($E34:$E35),(($E34*AC34)+(($F34-$E34)*AC35)),0)),2)</f>
        <v>500</v>
      </c>
      <c r="AE36" s="582">
        <f>(AD36-M36)/M36</f>
        <v>0</v>
      </c>
      <c r="AF36" s="578"/>
      <c r="AG36" s="577">
        <f>$K34+ROUND(IF($F34&lt;$E34,($F34*AF34),IF($F34&gt;SUM($E34:$E35),(($E34*AF34)+(($F34-$E34)*AF35)),0)),2)</f>
        <v>500</v>
      </c>
      <c r="AH36" s="579">
        <f>(AG36-M36)/M36</f>
        <v>0</v>
      </c>
      <c r="AI36" s="578"/>
      <c r="AJ36" s="577">
        <f>$I34+ROUND(IF($F34&lt;$E34,($F34*AI34),IF($F34&gt;SUM($E34:$E35),(($E34*AI34)+(($F34-$E34)*AI35)),0)),2)</f>
        <v>500</v>
      </c>
      <c r="AK36" s="594">
        <f>ROUND((AJ36-M36)/M36,3)</f>
        <v>0</v>
      </c>
      <c r="AL36" s="578"/>
      <c r="AM36" s="577">
        <f>$K34+ROUND(IF($F34&lt;$E34,($F34*AL34),IF($F34&gt;SUM($E34:$E35),(($E34*AL34)+(($F34-$E34)*AL35)),0)),2)</f>
        <v>500</v>
      </c>
      <c r="AN36" s="594">
        <f>ROUND((AM36-M36)/M36,3)</f>
        <v>0</v>
      </c>
      <c r="AO36" s="496"/>
      <c r="AP36" s="557"/>
      <c r="AQ36" s="495">
        <f t="shared" si="22"/>
        <v>0</v>
      </c>
      <c r="AR36" s="495">
        <f t="shared" si="23"/>
        <v>0</v>
      </c>
      <c r="AS36" s="495">
        <f t="shared" si="24"/>
        <v>0</v>
      </c>
      <c r="AT36" s="495">
        <f t="shared" si="25"/>
        <v>0</v>
      </c>
      <c r="AU36" s="583"/>
      <c r="AV36" s="584">
        <f>$I34+ROUND(IF($F34&lt;$E34,($F34*AU34),IF($F34&gt;SUM($E34:$E35),(($E34*AU34)+(($F34-$E34)*AU35)),0)),2)</f>
        <v>500</v>
      </c>
      <c r="AW36" s="585">
        <f>ROUND((AV36-M36)/M36,3)</f>
        <v>0</v>
      </c>
      <c r="AX36" s="325"/>
      <c r="AY36" s="325"/>
      <c r="AZ36" s="325"/>
      <c r="BA36" s="325"/>
      <c r="BB36" s="496"/>
      <c r="BC36" s="497"/>
      <c r="BD36" s="497"/>
      <c r="BE36" s="497"/>
    </row>
    <row r="37" spans="1:57" x14ac:dyDescent="0.35">
      <c r="A37" s="234">
        <f t="shared" si="0"/>
        <v>31</v>
      </c>
      <c r="B37" s="234" t="s">
        <v>68</v>
      </c>
      <c r="C37" s="344" t="s">
        <v>61</v>
      </c>
      <c r="D37" s="323">
        <f>+'[10]Washington volumes'!J31</f>
        <v>820212.7</v>
      </c>
      <c r="E37" s="323">
        <v>10000</v>
      </c>
      <c r="F37" s="572">
        <v>11949</v>
      </c>
      <c r="G37" s="493">
        <v>1300</v>
      </c>
      <c r="H37" s="493">
        <f>'[33]Aver Bill by RS'!$J37</f>
        <v>5142.2693365131181</v>
      </c>
      <c r="I37" s="493">
        <f>G37-(IF(H37&gt;(F37*$H$3),(F37*$H$3),H37))</f>
        <v>-1576.4827700000001</v>
      </c>
      <c r="J37" s="493">
        <f>'[33]Aver Bill by RS'!$J37</f>
        <v>5142.2693365131181</v>
      </c>
      <c r="K37" s="493">
        <f>G37-(IF(J37&gt;($F37*$H$4),($F37*$H$4),J37))</f>
        <v>-1576.4827700000001</v>
      </c>
      <c r="L37" s="325">
        <f>+'[10]Rates in summary'!D31</f>
        <v>0.79625999999999986</v>
      </c>
      <c r="M37" s="493"/>
      <c r="N37" s="325">
        <f>'[10]Rates in summary'!D31+[10]Temporaries!K31+[10]Temporaries!L31+[10]Temporaries!M31-[10]Temporaries!AX31</f>
        <v>0.79621999999999982</v>
      </c>
      <c r="O37" s="493"/>
      <c r="P37" s="566"/>
      <c r="Q37" s="325">
        <f>'[10]Rates in summary'!D31+[10]Temporaries!N31+[10]Temporaries!O31-[10]Temporaries!AY31</f>
        <v>0.79579999999999984</v>
      </c>
      <c r="R37" s="493"/>
      <c r="S37" s="566"/>
      <c r="T37" s="392">
        <f>'[10]Rates in detail'!D31+[10]Temporaries!T31-[10]Temporaries!BD31+[10]Temporaries!S31-[10]Temporaries!BC31+[10]Temporaries!P31-[10]Temporaries!BB31++[10]Temporaries!Q31-[10]Temporaries!AW31</f>
        <v>0.79632999999999976</v>
      </c>
      <c r="U37" s="391"/>
      <c r="V37" s="390"/>
      <c r="W37" s="325">
        <f>'[10]Rates in summary'!D31+[10]Temporaries!R31-[10]Temporaries!AZ31</f>
        <v>0.79645999999999983</v>
      </c>
      <c r="X37" s="493"/>
      <c r="Y37" s="566"/>
      <c r="Z37" s="325">
        <f>'[10]Rates in summary'!D31+[10]Permanents!F31</f>
        <v>0.7962999999999999</v>
      </c>
      <c r="AA37" s="493"/>
      <c r="AB37" s="566"/>
      <c r="AC37" s="567">
        <f>'[10]Rates in summary'!D31+[10]Temporaries!U31-[10]Temporaries!BE31</f>
        <v>0.79625999999999986</v>
      </c>
      <c r="AD37" s="504"/>
      <c r="AE37" s="568"/>
      <c r="AF37" s="325">
        <f>'[10]Rates in summary'!D31+[10]Temporaries!V31-[10]Temporaries!BF31</f>
        <v>0.79625999999999986</v>
      </c>
      <c r="AG37" s="493"/>
      <c r="AH37" s="566"/>
      <c r="AI37" s="325">
        <f>'[10]Rates in summary'!G31+[10]Temporaries!J31</f>
        <v>0.72489999999999977</v>
      </c>
      <c r="AJ37" s="493"/>
      <c r="AK37" s="569"/>
      <c r="AL37" s="325">
        <f>+'[10]Rates in summary'!Q31</f>
        <v>0.72470999999999985</v>
      </c>
      <c r="AM37" s="493"/>
      <c r="AN37" s="570"/>
      <c r="AO37" s="496"/>
      <c r="AP37" s="557"/>
      <c r="AQ37" s="495">
        <f t="shared" si="22"/>
        <v>0</v>
      </c>
      <c r="AR37" s="495">
        <f t="shared" si="23"/>
        <v>0</v>
      </c>
      <c r="AS37" s="495">
        <f t="shared" si="24"/>
        <v>-7.1550000000000002E-2</v>
      </c>
      <c r="AT37" s="495">
        <f t="shared" si="25"/>
        <v>-7.1550000000000002E-2</v>
      </c>
      <c r="AU37" s="243">
        <f>+'[10]Rates in summary'!D31+[10]Temporaries!K31+[10]Temporaries!M31+[10]Temporaries!L31-[10]Temporaries!AZ31</f>
        <v>0.81830999999999987</v>
      </c>
      <c r="AV37" s="500"/>
      <c r="AW37" s="571"/>
      <c r="AX37" s="325"/>
      <c r="AY37" s="325"/>
      <c r="AZ37" s="325"/>
      <c r="BA37" s="325"/>
    </row>
    <row r="38" spans="1:57" x14ac:dyDescent="0.35">
      <c r="A38" s="234">
        <f t="shared" si="0"/>
        <v>32</v>
      </c>
      <c r="B38" s="234"/>
      <c r="C38" s="344" t="s">
        <v>62</v>
      </c>
      <c r="D38" s="323">
        <f>+'[10]Washington volumes'!J32</f>
        <v>926222.5</v>
      </c>
      <c r="E38" s="323">
        <v>20000</v>
      </c>
      <c r="F38" s="572"/>
      <c r="G38" s="493"/>
      <c r="H38" s="572"/>
      <c r="I38" s="493"/>
      <c r="J38" s="572"/>
      <c r="K38" s="493"/>
      <c r="L38" s="325">
        <f>+'[10]Rates in summary'!D32</f>
        <v>0.77026999999999957</v>
      </c>
      <c r="M38" s="493"/>
      <c r="N38" s="325">
        <f>'[10]Rates in summary'!D32+[10]Temporaries!K32+[10]Temporaries!L32+[10]Temporaries!M32-[10]Temporaries!AX32</f>
        <v>0.77022999999999964</v>
      </c>
      <c r="O38" s="493"/>
      <c r="P38" s="566"/>
      <c r="Q38" s="325">
        <f>'[10]Rates in summary'!D32+[10]Temporaries!N32+[10]Temporaries!O32-[10]Temporaries!AY32</f>
        <v>0.76985999999999966</v>
      </c>
      <c r="R38" s="493"/>
      <c r="S38" s="566"/>
      <c r="T38" s="392">
        <f>'[10]Rates in detail'!D32+[10]Temporaries!T32-[10]Temporaries!BD32+[10]Temporaries!S32-[10]Temporaries!BC32+[10]Temporaries!P32-[10]Temporaries!BB32++[10]Temporaries!Q32-[10]Temporaries!AW32</f>
        <v>0.7703299999999994</v>
      </c>
      <c r="U38" s="391"/>
      <c r="V38" s="390"/>
      <c r="W38" s="325">
        <f>'[10]Rates in summary'!D32+[10]Temporaries!R32-[10]Temporaries!AZ32</f>
        <v>0.77044999999999964</v>
      </c>
      <c r="X38" s="493"/>
      <c r="Y38" s="566"/>
      <c r="Z38" s="325">
        <f>'[10]Rates in summary'!D32+[10]Permanents!F32</f>
        <v>0.77030999999999961</v>
      </c>
      <c r="AA38" s="493"/>
      <c r="AB38" s="566"/>
      <c r="AC38" s="567">
        <f>'[10]Rates in summary'!D32+[10]Temporaries!U32-[10]Temporaries!BE32</f>
        <v>0.77026999999999957</v>
      </c>
      <c r="AD38" s="504"/>
      <c r="AE38" s="568"/>
      <c r="AF38" s="325">
        <f>'[10]Rates in summary'!D32+[10]Temporaries!V32-[10]Temporaries!BF32</f>
        <v>0.77026999999999968</v>
      </c>
      <c r="AG38" s="493"/>
      <c r="AH38" s="566"/>
      <c r="AI38" s="325">
        <f>'[10]Rates in summary'!G32+[10]Temporaries!J32</f>
        <v>0.69890999999999959</v>
      </c>
      <c r="AJ38" s="493"/>
      <c r="AK38" s="569"/>
      <c r="AL38" s="325">
        <f>+'[10]Rates in summary'!Q32</f>
        <v>0.69873999999999969</v>
      </c>
      <c r="AM38" s="493"/>
      <c r="AN38" s="570"/>
      <c r="AO38" s="496"/>
      <c r="AP38" s="557"/>
      <c r="AQ38" s="495">
        <f t="shared" si="22"/>
        <v>0</v>
      </c>
      <c r="AR38" s="495">
        <f t="shared" si="23"/>
        <v>0</v>
      </c>
      <c r="AS38" s="495">
        <f t="shared" si="24"/>
        <v>-7.1529999999999871E-2</v>
      </c>
      <c r="AT38" s="495">
        <f t="shared" si="25"/>
        <v>-7.1529999999999871E-2</v>
      </c>
      <c r="AU38" s="243">
        <f>+'[10]Rates in summary'!D32+[10]Temporaries!K32+[10]Temporaries!M32+[10]Temporaries!L32-[10]Temporaries!AZ32</f>
        <v>0.79000999999999966</v>
      </c>
      <c r="AV38" s="500"/>
      <c r="AW38" s="571"/>
      <c r="AX38" s="325"/>
      <c r="AY38" s="325"/>
      <c r="AZ38" s="325"/>
      <c r="BA38" s="325"/>
    </row>
    <row r="39" spans="1:57" x14ac:dyDescent="0.35">
      <c r="A39" s="234">
        <f t="shared" si="0"/>
        <v>33</v>
      </c>
      <c r="B39" s="234"/>
      <c r="C39" s="344" t="s">
        <v>69</v>
      </c>
      <c r="D39" s="323">
        <f>+'[10]Washington volumes'!J33</f>
        <v>323675.40000000002</v>
      </c>
      <c r="E39" s="323">
        <v>20000</v>
      </c>
      <c r="F39" s="572"/>
      <c r="G39" s="493"/>
      <c r="H39" s="572"/>
      <c r="I39" s="493"/>
      <c r="J39" s="572"/>
      <c r="K39" s="493"/>
      <c r="L39" s="325">
        <f>+'[10]Rates in summary'!D33</f>
        <v>0.71862999999999988</v>
      </c>
      <c r="M39" s="493"/>
      <c r="N39" s="325">
        <f>'[10]Rates in summary'!D33+[10]Temporaries!K33+[10]Temporaries!L33+[10]Temporaries!M33-[10]Temporaries!AX33</f>
        <v>0.71859999999999979</v>
      </c>
      <c r="O39" s="493"/>
      <c r="P39" s="566"/>
      <c r="Q39" s="325">
        <f>'[10]Rates in summary'!D33+[10]Temporaries!N33+[10]Temporaries!O33-[10]Temporaries!AY33</f>
        <v>0.71831999999999985</v>
      </c>
      <c r="R39" s="493"/>
      <c r="S39" s="566"/>
      <c r="T39" s="392">
        <f>'[10]Rates in detail'!D33+[10]Temporaries!T33-[10]Temporaries!BD33+[10]Temporaries!S33-[10]Temporaries!BC33+[10]Temporaries!P33-[10]Temporaries!BB33++[10]Temporaries!Q33-[10]Temporaries!AW33</f>
        <v>0.71863999999999983</v>
      </c>
      <c r="U39" s="391"/>
      <c r="V39" s="390"/>
      <c r="W39" s="325">
        <f>'[10]Rates in summary'!D33+[10]Temporaries!R33-[10]Temporaries!AZ33</f>
        <v>0.71876999999999991</v>
      </c>
      <c r="X39" s="493"/>
      <c r="Y39" s="566"/>
      <c r="Z39" s="325">
        <f>'[10]Rates in summary'!D33+[10]Permanents!F33</f>
        <v>0.71865999999999985</v>
      </c>
      <c r="AA39" s="493"/>
      <c r="AB39" s="566"/>
      <c r="AC39" s="567">
        <f>'[10]Rates in summary'!D33+[10]Temporaries!U33-[10]Temporaries!BE33</f>
        <v>0.71862999999999988</v>
      </c>
      <c r="AD39" s="504"/>
      <c r="AE39" s="568"/>
      <c r="AF39" s="325">
        <f>'[10]Rates in summary'!D33+[10]Temporaries!V33-[10]Temporaries!BF33</f>
        <v>0.71862999999999988</v>
      </c>
      <c r="AG39" s="493"/>
      <c r="AH39" s="566"/>
      <c r="AI39" s="325">
        <f>'[10]Rates in summary'!G33+[10]Temporaries!J33</f>
        <v>0.6472699999999999</v>
      </c>
      <c r="AJ39" s="493"/>
      <c r="AK39" s="569"/>
      <c r="AL39" s="325">
        <f>+'[10]Rates in summary'!Q33</f>
        <v>0.64710999999999985</v>
      </c>
      <c r="AM39" s="493"/>
      <c r="AN39" s="570"/>
      <c r="AO39" s="496"/>
      <c r="AP39" s="557"/>
      <c r="AQ39" s="495">
        <f t="shared" si="22"/>
        <v>0</v>
      </c>
      <c r="AR39" s="495">
        <f t="shared" si="23"/>
        <v>0</v>
      </c>
      <c r="AS39" s="495">
        <f t="shared" si="24"/>
        <v>-7.1520000000000028E-2</v>
      </c>
      <c r="AT39" s="495">
        <f t="shared" si="25"/>
        <v>-7.1520000000000028E-2</v>
      </c>
      <c r="AU39" s="243">
        <f>+'[10]Rates in summary'!D33+[10]Temporaries!K33+[10]Temporaries!M33+[10]Temporaries!L33-[10]Temporaries!AZ33</f>
        <v>0.73376999999999981</v>
      </c>
      <c r="AV39" s="500"/>
      <c r="AW39" s="571"/>
      <c r="AX39" s="325"/>
      <c r="AY39" s="325"/>
      <c r="AZ39" s="325"/>
      <c r="BA39" s="325"/>
    </row>
    <row r="40" spans="1:57" x14ac:dyDescent="0.35">
      <c r="A40" s="234">
        <f t="shared" ref="A40:A71" si="33">+A39+1</f>
        <v>34</v>
      </c>
      <c r="B40" s="234"/>
      <c r="C40" s="344" t="s">
        <v>70</v>
      </c>
      <c r="D40" s="323">
        <f>+'[10]Washington volumes'!J34</f>
        <v>84982.8</v>
      </c>
      <c r="E40" s="323">
        <v>100000</v>
      </c>
      <c r="F40" s="572"/>
      <c r="G40" s="493"/>
      <c r="H40" s="572"/>
      <c r="I40" s="493"/>
      <c r="J40" s="572"/>
      <c r="K40" s="493"/>
      <c r="L40" s="325">
        <f>+'[10]Rates in summary'!D34</f>
        <v>0.68461000000000016</v>
      </c>
      <c r="M40" s="493"/>
      <c r="N40" s="325">
        <f>'[10]Rates in summary'!D34+[10]Temporaries!K34+[10]Temporaries!L34+[10]Temporaries!M34-[10]Temporaries!AX34</f>
        <v>0.68459000000000025</v>
      </c>
      <c r="O40" s="493"/>
      <c r="P40" s="566"/>
      <c r="Q40" s="325">
        <f>'[10]Rates in summary'!D34+[10]Temporaries!N34+[10]Temporaries!O34-[10]Temporaries!AY34</f>
        <v>0.68436000000000008</v>
      </c>
      <c r="R40" s="493"/>
      <c r="S40" s="566"/>
      <c r="T40" s="392">
        <f>'[10]Rates in detail'!D34+[10]Temporaries!T34-[10]Temporaries!BD34+[10]Temporaries!S34-[10]Temporaries!BC34+[10]Temporaries!P34-[10]Temporaries!BB34++[10]Temporaries!Q34-[10]Temporaries!AW34</f>
        <v>0.68461000000000016</v>
      </c>
      <c r="U40" s="391"/>
      <c r="V40" s="390"/>
      <c r="W40" s="325">
        <f>'[10]Rates in summary'!D34+[10]Temporaries!R34-[10]Temporaries!AZ34</f>
        <v>0.68472000000000022</v>
      </c>
      <c r="X40" s="493"/>
      <c r="Y40" s="566"/>
      <c r="Z40" s="325">
        <f>'[10]Rates in summary'!D34+[10]Permanents!F34</f>
        <v>0.68463000000000018</v>
      </c>
      <c r="AA40" s="493"/>
      <c r="AB40" s="566"/>
      <c r="AC40" s="567">
        <f>'[10]Rates in summary'!D34+[10]Temporaries!U34-[10]Temporaries!BE34</f>
        <v>0.68461000000000016</v>
      </c>
      <c r="AD40" s="504"/>
      <c r="AE40" s="568"/>
      <c r="AF40" s="325">
        <f>'[10]Rates in summary'!D34+[10]Temporaries!V34-[10]Temporaries!BF34</f>
        <v>0.68461000000000016</v>
      </c>
      <c r="AG40" s="493"/>
      <c r="AH40" s="566"/>
      <c r="AI40" s="325">
        <f>'[10]Rates in summary'!G34+[10]Temporaries!J34</f>
        <v>0.61325000000000018</v>
      </c>
      <c r="AJ40" s="493"/>
      <c r="AK40" s="569"/>
      <c r="AL40" s="325">
        <f>+'[10]Rates in summary'!Q34</f>
        <v>0.61311000000000027</v>
      </c>
      <c r="AM40" s="493"/>
      <c r="AN40" s="570"/>
      <c r="AO40" s="496"/>
      <c r="AP40" s="557"/>
      <c r="AQ40" s="495">
        <f t="shared" si="22"/>
        <v>0</v>
      </c>
      <c r="AR40" s="495">
        <f t="shared" si="23"/>
        <v>0</v>
      </c>
      <c r="AS40" s="495">
        <f t="shared" si="24"/>
        <v>-7.1499999999999897E-2</v>
      </c>
      <c r="AT40" s="495">
        <f t="shared" si="25"/>
        <v>-7.1499999999999897E-2</v>
      </c>
      <c r="AU40" s="243">
        <f>+'[10]Rates in summary'!D34+[10]Temporaries!K34+[10]Temporaries!M34+[10]Temporaries!L34-[10]Temporaries!AZ34</f>
        <v>0.69672000000000023</v>
      </c>
      <c r="AV40" s="500"/>
      <c r="AW40" s="571"/>
      <c r="AX40" s="325"/>
      <c r="AY40" s="325"/>
      <c r="AZ40" s="325"/>
      <c r="BA40" s="325"/>
    </row>
    <row r="41" spans="1:57" x14ac:dyDescent="0.35">
      <c r="A41" s="234">
        <f t="shared" si="33"/>
        <v>35</v>
      </c>
      <c r="B41" s="234"/>
      <c r="C41" s="344" t="s">
        <v>71</v>
      </c>
      <c r="D41" s="323">
        <f>+'[10]Washington volumes'!J35</f>
        <v>0</v>
      </c>
      <c r="E41" s="323">
        <v>600000</v>
      </c>
      <c r="F41" s="572"/>
      <c r="G41" s="493"/>
      <c r="H41" s="572"/>
      <c r="I41" s="493"/>
      <c r="J41" s="572"/>
      <c r="K41" s="493"/>
      <c r="L41" s="325">
        <f>+'[10]Rates in summary'!D35</f>
        <v>0.63927</v>
      </c>
      <c r="M41" s="493"/>
      <c r="N41" s="325">
        <f>'[10]Rates in summary'!D35+[10]Temporaries!K35+[10]Temporaries!L35+[10]Temporaries!M35-[10]Temporaries!AX35</f>
        <v>0.63924999999999998</v>
      </c>
      <c r="O41" s="493"/>
      <c r="P41" s="566"/>
      <c r="Q41" s="325">
        <f>'[10]Rates in summary'!D35+[10]Temporaries!N35+[10]Temporaries!O35-[10]Temporaries!AY35</f>
        <v>0.6391</v>
      </c>
      <c r="R41" s="493"/>
      <c r="S41" s="566"/>
      <c r="T41" s="392">
        <f>'[10]Rates in detail'!D35+[10]Temporaries!T35-[10]Temporaries!BD35+[10]Temporaries!S35-[10]Temporaries!BC35+[10]Temporaries!P35-[10]Temporaries!BB35++[10]Temporaries!Q35-[10]Temporaries!AW35</f>
        <v>0.63922000000000001</v>
      </c>
      <c r="U41" s="391"/>
      <c r="V41" s="390"/>
      <c r="W41" s="325">
        <f>'[10]Rates in summary'!D35+[10]Temporaries!R35-[10]Temporaries!AZ35</f>
        <v>0.63934000000000002</v>
      </c>
      <c r="X41" s="493"/>
      <c r="Y41" s="566"/>
      <c r="Z41" s="325">
        <f>'[10]Rates in summary'!D35+[10]Permanents!F35</f>
        <v>0.63929000000000002</v>
      </c>
      <c r="AA41" s="493"/>
      <c r="AB41" s="566"/>
      <c r="AC41" s="567">
        <f>'[10]Rates in summary'!D35+[10]Temporaries!U35-[10]Temporaries!BE35</f>
        <v>0.63927</v>
      </c>
      <c r="AD41" s="504"/>
      <c r="AE41" s="568"/>
      <c r="AF41" s="325">
        <f>'[10]Rates in summary'!D35+[10]Temporaries!V35-[10]Temporaries!BF35</f>
        <v>0.63927</v>
      </c>
      <c r="AG41" s="493"/>
      <c r="AH41" s="566"/>
      <c r="AI41" s="325">
        <f>'[10]Rates in summary'!G35+[10]Temporaries!J35</f>
        <v>0.56791000000000003</v>
      </c>
      <c r="AJ41" s="493"/>
      <c r="AK41" s="569"/>
      <c r="AL41" s="325">
        <f>+'[10]Rates in summary'!Q35</f>
        <v>0.56776000000000004</v>
      </c>
      <c r="AM41" s="493"/>
      <c r="AN41" s="570"/>
      <c r="AO41" s="496"/>
      <c r="AP41" s="557"/>
      <c r="AQ41" s="495">
        <f t="shared" si="22"/>
        <v>0</v>
      </c>
      <c r="AR41" s="495">
        <f t="shared" si="23"/>
        <v>0</v>
      </c>
      <c r="AS41" s="495">
        <f t="shared" si="24"/>
        <v>-7.1509999999999962E-2</v>
      </c>
      <c r="AT41" s="495">
        <f t="shared" si="25"/>
        <v>-7.1509999999999962E-2</v>
      </c>
      <c r="AU41" s="243">
        <f>+'[10]Rates in summary'!D35+[10]Temporaries!K35+[10]Temporaries!M35+[10]Temporaries!L35-[10]Temporaries!AZ35</f>
        <v>0.64734000000000003</v>
      </c>
      <c r="AV41" s="243"/>
      <c r="AW41" s="571"/>
      <c r="AX41" s="325"/>
      <c r="AY41" s="325"/>
      <c r="AZ41" s="325"/>
      <c r="BA41" s="325"/>
    </row>
    <row r="42" spans="1:57" x14ac:dyDescent="0.35">
      <c r="A42" s="234">
        <f t="shared" si="33"/>
        <v>36</v>
      </c>
      <c r="B42" s="234"/>
      <c r="C42" s="344" t="s">
        <v>72</v>
      </c>
      <c r="D42" s="323">
        <f>+'[10]Washington volumes'!J36</f>
        <v>0</v>
      </c>
      <c r="E42" s="525" t="s">
        <v>243</v>
      </c>
      <c r="F42" s="572"/>
      <c r="G42" s="493"/>
      <c r="H42" s="572"/>
      <c r="I42" s="493"/>
      <c r="J42" s="572"/>
      <c r="K42" s="493"/>
      <c r="L42" s="325">
        <f>+'[10]Rates in summary'!D36</f>
        <v>0.58259000000000005</v>
      </c>
      <c r="M42" s="493"/>
      <c r="N42" s="325">
        <f>'[10]Rates in summary'!D36+[10]Temporaries!K36+[10]Temporaries!L36+[10]Temporaries!M36-[10]Temporaries!AX36</f>
        <v>0.58259000000000005</v>
      </c>
      <c r="O42" s="493"/>
      <c r="P42" s="566"/>
      <c r="Q42" s="325">
        <f>'[10]Rates in summary'!D36+[10]Temporaries!N36+[10]Temporaries!O36-[10]Temporaries!AY36</f>
        <v>0.58252999999999999</v>
      </c>
      <c r="R42" s="493"/>
      <c r="S42" s="566"/>
      <c r="T42" s="392">
        <f>'[10]Rates in detail'!D36+[10]Temporaries!T36-[10]Temporaries!BD36+[10]Temporaries!S36-[10]Temporaries!BC36+[10]Temporaries!P36-[10]Temporaries!BB36++[10]Temporaries!Q36-[10]Temporaries!AW36</f>
        <v>0.58250000000000002</v>
      </c>
      <c r="U42" s="391"/>
      <c r="V42" s="390"/>
      <c r="W42" s="325">
        <f>'[10]Rates in summary'!D36+[10]Temporaries!R36-[10]Temporaries!AZ36</f>
        <v>0.58262000000000003</v>
      </c>
      <c r="X42" s="493"/>
      <c r="Y42" s="566"/>
      <c r="Z42" s="325">
        <f>'[10]Rates in summary'!D36+[10]Permanents!F36</f>
        <v>0.58260000000000001</v>
      </c>
      <c r="AA42" s="493"/>
      <c r="AB42" s="566"/>
      <c r="AC42" s="567">
        <f>'[10]Rates in summary'!D36+[10]Temporaries!U36-[10]Temporaries!BE36</f>
        <v>0.58259000000000005</v>
      </c>
      <c r="AD42" s="504"/>
      <c r="AE42" s="568"/>
      <c r="AF42" s="325">
        <f>'[10]Rates in summary'!D36+[10]Temporaries!V36-[10]Temporaries!BF36</f>
        <v>0.58259000000000005</v>
      </c>
      <c r="AG42" s="493"/>
      <c r="AH42" s="566"/>
      <c r="AI42" s="325">
        <f>'[10]Rates in summary'!G36+[10]Temporaries!J36</f>
        <v>0.51122999999999996</v>
      </c>
      <c r="AJ42" s="493"/>
      <c r="AK42" s="569"/>
      <c r="AL42" s="325">
        <f>+'[10]Rates in summary'!Q36</f>
        <v>0.51111999999999991</v>
      </c>
      <c r="AM42" s="493"/>
      <c r="AN42" s="570"/>
      <c r="AO42" s="496"/>
      <c r="AP42" s="557"/>
      <c r="AQ42" s="495">
        <f t="shared" si="22"/>
        <v>0</v>
      </c>
      <c r="AR42" s="495">
        <f t="shared" si="23"/>
        <v>0</v>
      </c>
      <c r="AS42" s="495">
        <f t="shared" si="24"/>
        <v>-7.1470000000000145E-2</v>
      </c>
      <c r="AT42" s="495">
        <f t="shared" si="25"/>
        <v>-7.1470000000000145E-2</v>
      </c>
      <c r="AU42" s="243">
        <f>+'[10]Rates in summary'!D36+[10]Temporaries!K36+[10]Temporaries!M36+[10]Temporaries!L36-[10]Temporaries!AZ36</f>
        <v>0.58562000000000003</v>
      </c>
      <c r="AV42" s="243"/>
      <c r="AW42" s="571"/>
      <c r="AX42" s="325"/>
      <c r="AY42" s="325"/>
      <c r="AZ42" s="325"/>
      <c r="BA42" s="325"/>
    </row>
    <row r="43" spans="1:57" x14ac:dyDescent="0.35">
      <c r="A43" s="234">
        <f t="shared" si="33"/>
        <v>37</v>
      </c>
      <c r="B43" s="338"/>
      <c r="C43" s="573" t="s">
        <v>27</v>
      </c>
      <c r="D43" s="574"/>
      <c r="E43" s="575"/>
      <c r="F43" s="576"/>
      <c r="G43" s="577"/>
      <c r="H43" s="576"/>
      <c r="I43" s="577"/>
      <c r="J43" s="576"/>
      <c r="K43" s="577"/>
      <c r="L43" s="578"/>
      <c r="M43" s="577">
        <f>$I37+ROUND(IF($F37&lt;$E37,($F37*L37),IF($F37&lt;SUM($E37:$E38),(($E37*L37)+(($F37-$E37)*L38)),IF($F37&lt;SUM($E37:$E39),(($E37*L37)+($E38*L38)+(($F37-$E37-$E38)*L39)),IF($F37&lt;SUM($E37:$E40),(($E37*L37)+($E38*L38)+($E39*L39)+(($F37-SUM($E37:$E39))*L40)),IF($F37&lt;SUM($E37:$E41),(($E37*L37)+($E38*L38)+($E39*L39)+($E40*L40)+(($F37-SUM($E37:$E40))*L41)),(($E37*L37)+($E38*L38)+($E39*L39)+($E40*L39)+($E41*L41)+(($F37-SUM($E37:$E41))*L42))))))),2)</f>
        <v>7887.3772300000001</v>
      </c>
      <c r="N43" s="578"/>
      <c r="O43" s="577">
        <f>$I37+ROUND(IF($F37&lt;$E37,($F37*N37),IF($F37&lt;SUM($E37:$E38),(($E37*N37)+(($F37-$E37)*N38)),IF($F37&lt;SUM($E37:$E39),(($E37*N37)+($E38*N38)+(($F37-$E37-$E38)*N39)),IF($F37&lt;SUM($E37:$E40),(($E37*N37)+($E38*N38)+($E39*N39)+(($F37-SUM($E37:$E39))*N40)),IF($F37&lt;SUM($E37:$E41),(($E37*N37)+($E38*N38)+($E39*N39)+($E40*N40)+(($F37-SUM($E37:$E40))*N41)),(($E37*N37)+($E38*N38)+($E39*N39)+($E40*N39)+($E41*N41)+(($F37-SUM($E37:$E41))*N42))))))),2)</f>
        <v>7886.8972299999987</v>
      </c>
      <c r="P43" s="579">
        <f>ROUND((O43-M43)/M43,3)</f>
        <v>0</v>
      </c>
      <c r="Q43" s="578"/>
      <c r="R43" s="577">
        <f>$I37+ROUND(IF($F37&lt;$E37,($F37*Q37),IF($F37&lt;SUM($E37:$E38),(($E37*Q37)+(($F37-$E37)*Q38)),IF($F37&lt;SUM($E37:$E39),(($E37*Q37)+($E38*Q38)+(($F37-$E37-$E38)*Q39)),IF($F37&lt;SUM($E37:$E40),(($E37*Q37)+($E38*Q38)+($E39*Q39)+(($F37-SUM($E37:$E39))*Q40)),IF($F37&lt;SUM($E37:$E41),(($E37*Q37)+($E38*Q38)+($E39*Q39)+($E40*Q40)+(($F37-SUM($E37:$E40))*Q41)),(($E37*Q37)+($E38*Q38)+($E39*Q39)+($E40*Q39)+($E41*Q41)+(($F37-SUM($E37:$E41))*Q42))))))),2)</f>
        <v>7881.9772299999986</v>
      </c>
      <c r="S43" s="579">
        <f>ROUND((R43-M43)/M43,3)</f>
        <v>-1E-3</v>
      </c>
      <c r="T43" s="394"/>
      <c r="U43" s="388">
        <f>$I37+ROUND(IF($F37&lt;$E37,($F37*T37),IF($F37&lt;SUM($E37:$E38),(($E37*T37)+(($F37-$E37)*T38)),IF($F37&lt;SUM($E37:$E39),(($E37*T37)+($E38*T38)+(($F37-$E37-$E38)*T39)),IF($F37&lt;SUM($E37:$E40),(($E37*T37)+($E38*T38)+($E39*T39)+(($F37-SUM($E37:$E39))*T40)),IF($F37&lt;SUM($E37:$E41),(($E37*T37)+($E38*T38)+($E39*T39)+($E40*T40)+(($F37-SUM($E37:$E40))*T41)),(($E37*T37)+($E38*T38)+($E39*T39)+($E40*T39)+($E41*T41)+(($F37-SUM($E37:$E41))*T42))))))),2)</f>
        <v>7888.1872299999995</v>
      </c>
      <c r="V43" s="387">
        <f>ROUND((U43-M43)/M43,3)</f>
        <v>0</v>
      </c>
      <c r="W43" s="578"/>
      <c r="X43" s="577">
        <f>$I37+ROUND(IF($F37&lt;$E37,($F37*W37),IF($F37&lt;SUM($E37:$E38),(($E37*W37)+(($F37-$E37)*W38)),IF($F37&lt;SUM($E37:$E39),(($E37*W37)+($E38*W38)+(($F37-$E37-$E38)*W39)),IF($F37&lt;SUM($E37:$E40),(($E37*W37)+($E38*W38)+($E39*W39)+(($F37-SUM($E37:$E39))*W40)),IF($F37&lt;SUM($E37:$E41),(($E37*W37)+($E38*W38)+($E39*W39)+($E40*W40)+(($F37-SUM($E37:$E40))*W41)),(($E37*W37)+($E38*W38)+($E39*W39)+($E40*W39)+($E41*W41)+(($F37-SUM($E37:$E41))*W42))))))),2)</f>
        <v>7889.7272299999986</v>
      </c>
      <c r="Y43" s="579">
        <f>(X43-M43)/M43</f>
        <v>2.979444156747331E-4</v>
      </c>
      <c r="Z43" s="578"/>
      <c r="AA43" s="577">
        <f>$I37+ROUND(IF($F37&lt;$E37,($F37*Z37),IF($F37&lt;SUM($E37:$E38),(($E37*Z37)+(($F37-$E37)*Z38)),IF($F37&lt;SUM($E37:$E39),(($E37*Z37)+($E38*Z38)+(($F37-$E37-$E38)*Z39)),IF($F37&lt;SUM($E37:$E40),(($E37*Z37)+($E38*Z38)+($E39*Z39)+(($F37-SUM($E37:$E39))*Z40)),IF($F37&lt;SUM($E37:$E41),(($E37*Z37)+($E38*Z38)+($E39*Z39)+($E40*Z40)+(($F37-SUM($E37:$E40))*Z41)),(($E37*Z37)+($E38*Z38)+($E39*Z39)+($E40*Z39)+($E41*Z41)+(($F37-SUM($E37:$E41))*Z42))))))),2)</f>
        <v>7887.8472299999994</v>
      </c>
      <c r="AB43" s="579">
        <f>(AA43-M43)/M43</f>
        <v>5.9588883134900495E-5</v>
      </c>
      <c r="AC43" s="580"/>
      <c r="AD43" s="581">
        <f>$I37+ROUND(IF($F37&lt;$E37,($F37*AC37),IF($F37&lt;SUM($E37:$E38),(($E37*AC37)+(($F37-$E37)*AC38)),IF($F37&lt;SUM($E37:$E39),(($E37*AC37)+($E38*AC38)+(($F37-$E37-$E38)*AC39)),IF($F37&lt;SUM($E37:$E40),(($E37*AC37)+($E38*AC38)+($E39*AC39)+(($F37-SUM($E37:$E39))*AC40)),IF($F37&lt;SUM($E37:$E41),(($E37*AC37)+($E38*AC38)+($E39*AC39)+($E40*AC40)+(($F37-SUM($E37:$E40))*AC41)),(($E37*AC37)+($E38*AC38)+($E39*AC39)+($E40*AC39)+($E41*AC41)+(($F37-SUM($E37:$E41))*AC42))))))),2)</f>
        <v>7887.3772300000001</v>
      </c>
      <c r="AE43" s="582">
        <f>(AD43-M43)/M43</f>
        <v>0</v>
      </c>
      <c r="AF43" s="578"/>
      <c r="AG43" s="577">
        <f>$K37+ROUND(IF($F37&lt;$E37,($F37*AF37),IF($F37&lt;SUM($E37:$E38),(($E37*AF37)+(($F37-$E37)*AF38)),IF($F37&lt;SUM($E37:$E39),(($E37*AF37)+($E38*AF38)+(($F37-$E37-$E38)*AF39)),IF($F37&lt;SUM($E37:$E40),(($E37*AF37)+($E38*AF38)+($E39*AF39)+(($F37-SUM($E37:$E39))*AF40)),IF($F37&lt;SUM($E37:$E41),(($E37*AF37)+($E38*AF38)+($E39*AF39)+($E40*AF40)+(($F37-SUM($E37:$E40))*AF41)),(($E37*AF37)+($E38*AF38)+($E39*AF39)+($E40*AF39)+($E41*AF41)+(($F37-SUM($E37:$E41))*AF42))))))),2)</f>
        <v>7887.3772300000001</v>
      </c>
      <c r="AH43" s="579">
        <f>(AG43-M43)/M43</f>
        <v>0</v>
      </c>
      <c r="AI43" s="578"/>
      <c r="AJ43" s="577">
        <f>$I37+ROUND(IF($F37&lt;$E37,($F37*AI37),IF($F37&lt;SUM($E37:$E38),(($E37*AI37)+(($F37-$E37)*AI38)),IF($F37&lt;SUM($E37:$E39),(($E37*AI37)+($E38*AI38)+(($F37-$E37-$E38)*AI39)),IF($F37&lt;SUM($E37:$E40),(($E37*AI37)+($E38*AI38)+($E39*AI39)+(($F37-SUM($E37:$E39))*AI40)),IF($F37&lt;SUM($E37:$E41),(($E37*AI37)+($E38*AI38)+($E39*AI39)+($E40*AI40)+(($F37-SUM($E37:$E40))*AI41)),(($E37*AI37)+($E38*AI38)+($E39*AI39)+($E40*AI39)+($E41*AI41)+(($F37-SUM($E37:$E41))*AI42))))))),2)</f>
        <v>7034.6972299999998</v>
      </c>
      <c r="AK43" s="594">
        <f>ROUND((AJ43-M43)/M43,3)</f>
        <v>-0.108</v>
      </c>
      <c r="AL43" s="578"/>
      <c r="AM43" s="577">
        <f>$K37+ROUND(IF($F37&lt;$E37,($F37*AL37),IF($F37&lt;SUM($E37:$E38),(($E37*AL37)+(($F37-$E37)*AL38)),IF($F37&lt;SUM($E37:$E39),(($E37*AL37)+($E38*AL38)+(($F37-$E37-$E38)*AL39)),IF($F37&lt;SUM($E37:$E40),(($E37*AL37)+($E38*AL38)+($E39*AL39)+(($F37-SUM($E37:$E39))*AL40)),IF($F37&lt;SUM($E37:$E41),(($E37*AL37)+($E38*AL38)+($E39*AL39)+($E40*AL40)+(($F37-SUM($E37:$E40))*AL41)),(($E37*AL37)+($E38*AL38)+($E39*AL39)+($E40*AL39)+($E41*AL41)+(($F37-SUM($E37:$E41))*AL42))))))),2)</f>
        <v>7032.45723</v>
      </c>
      <c r="AN43" s="594">
        <f>ROUND((AM43-M43)/M43,3)</f>
        <v>-0.108</v>
      </c>
      <c r="AO43" s="496"/>
      <c r="AP43" s="557"/>
      <c r="AQ43" s="495">
        <f t="shared" si="22"/>
        <v>0</v>
      </c>
      <c r="AR43" s="495">
        <f t="shared" si="23"/>
        <v>0</v>
      </c>
      <c r="AS43" s="495">
        <f t="shared" si="24"/>
        <v>0</v>
      </c>
      <c r="AT43" s="495">
        <f t="shared" si="25"/>
        <v>0</v>
      </c>
      <c r="AU43" s="583"/>
      <c r="AV43" s="584">
        <f>$I37+ROUND(IF($F37&lt;$E37,($F37*AU37),IF($F37&lt;SUM($E37:$E38),(($E37*AU37)+(($F37-$E37)*AU38)),IF($F37&lt;SUM($E37:$E39),(($E37*AU37)+($E38*AU38)+(($F37-$E37-$E38)*AU39)),IF($F37&lt;SUM($E37:$E40),(($E37*AU37)+($E38*AU38)+($E39*AU39)+(($F37-SUM($E37:$E39))*AU40)),IF($F37&lt;SUM($E37:$E41),(($E37*AU37)+($E38*AU38)+($E39*AU39)+($E40*AU40)+(($F37-SUM($E37:$E40))*AU41)),(($E37*AU37)+($E38*AU38)+($E39*AU39)+($E40*AU39)+($E41*AU41)+(($F37-SUM($E37:$E41))*AU42))))))),2)</f>
        <v>8146.3472299999994</v>
      </c>
      <c r="AW43" s="585">
        <f>ROUND((AV43-M43)/M43,3)</f>
        <v>3.3000000000000002E-2</v>
      </c>
      <c r="AX43" s="325"/>
      <c r="AY43" s="325"/>
      <c r="AZ43" s="325"/>
      <c r="BA43" s="325"/>
    </row>
    <row r="44" spans="1:57" x14ac:dyDescent="0.35">
      <c r="A44" s="234">
        <f t="shared" si="33"/>
        <v>38</v>
      </c>
      <c r="B44" s="234" t="s">
        <v>73</v>
      </c>
      <c r="C44" s="344" t="s">
        <v>61</v>
      </c>
      <c r="D44" s="323">
        <f>+'[10]Washington volumes'!J37</f>
        <v>887029.75709862076</v>
      </c>
      <c r="E44" s="323">
        <v>10000</v>
      </c>
      <c r="F44" s="572">
        <v>12869</v>
      </c>
      <c r="G44" s="493">
        <v>1300</v>
      </c>
      <c r="H44" s="493">
        <f>'[33]Aver Bill by RS'!$J44</f>
        <v>3945.7691048183847</v>
      </c>
      <c r="I44" s="493">
        <f>G44-(IF(H44&gt;(F44*$H$3),(F44*$H$3),H44))</f>
        <v>-1797.9543699999999</v>
      </c>
      <c r="J44" s="493">
        <f>'[33]Aver Bill by RS'!$J44</f>
        <v>3945.7691048183847</v>
      </c>
      <c r="K44" s="493">
        <f>G44-(IF(J44&gt;($F44*$H$4),($F44*$H$4),J44))</f>
        <v>-1797.9543699999999</v>
      </c>
      <c r="L44" s="325">
        <f>+'[10]Rates in summary'!D37</f>
        <v>0.73169000000000006</v>
      </c>
      <c r="M44" s="493"/>
      <c r="N44" s="325">
        <f>'[10]Rates in summary'!D37+[10]Temporaries!K37+[10]Temporaries!L37+[10]Temporaries!M37-[10]Temporaries!AX37</f>
        <v>0.73169000000000006</v>
      </c>
      <c r="O44" s="493"/>
      <c r="P44" s="566"/>
      <c r="Q44" s="325">
        <f>'[10]Rates in summary'!D37+[10]Temporaries!N37+[10]Temporaries!O37-[10]Temporaries!AY37</f>
        <v>0.73159000000000018</v>
      </c>
      <c r="R44" s="493"/>
      <c r="S44" s="566"/>
      <c r="T44" s="392">
        <f>'[10]Rates in detail'!D37+[10]Temporaries!T37-[10]Temporaries!BD37+[10]Temporaries!S37-[10]Temporaries!BC37+[10]Temporaries!P37-[10]Temporaries!BB37++[10]Temporaries!Q37-[10]Temporaries!AW37</f>
        <v>0.73119000000000001</v>
      </c>
      <c r="U44" s="391"/>
      <c r="V44" s="390"/>
      <c r="W44" s="325">
        <f>'[10]Rates in summary'!D37+[10]Temporaries!R37-[10]Temporaries!AZ37</f>
        <v>0.73206000000000004</v>
      </c>
      <c r="X44" s="493"/>
      <c r="Y44" s="566"/>
      <c r="Z44" s="325">
        <f>'[10]Rates in summary'!D37+[10]Permanents!F37</f>
        <v>0.73174000000000006</v>
      </c>
      <c r="AA44" s="493"/>
      <c r="AB44" s="566"/>
      <c r="AC44" s="567">
        <f>'[10]Rates in summary'!D37+[10]Temporaries!U37-[10]Temporaries!BE37</f>
        <v>0.73169000000000006</v>
      </c>
      <c r="AD44" s="504"/>
      <c r="AE44" s="568"/>
      <c r="AF44" s="325">
        <f>'[10]Rates in summary'!D37+[10]Temporaries!V37-[10]Temporaries!BF37</f>
        <v>0.73169000000000006</v>
      </c>
      <c r="AG44" s="493"/>
      <c r="AH44" s="566"/>
      <c r="AI44" s="325">
        <f>'[10]Rates in summary'!G37+[10]Temporaries!J37</f>
        <v>0.66032999999999997</v>
      </c>
      <c r="AJ44" s="493"/>
      <c r="AK44" s="569"/>
      <c r="AL44" s="325">
        <f>+'[10]Rates in summary'!Q37</f>
        <v>0.66015000000000001</v>
      </c>
      <c r="AM44" s="493"/>
      <c r="AN44" s="570"/>
      <c r="AO44" s="496"/>
      <c r="AP44" s="557"/>
      <c r="AQ44" s="495">
        <f t="shared" si="22"/>
        <v>0</v>
      </c>
      <c r="AR44" s="495">
        <f t="shared" si="23"/>
        <v>0</v>
      </c>
      <c r="AS44" s="495">
        <f t="shared" si="24"/>
        <v>-7.1540000000000048E-2</v>
      </c>
      <c r="AT44" s="495">
        <f t="shared" si="25"/>
        <v>-7.1540000000000048E-2</v>
      </c>
      <c r="AU44" s="243">
        <f>+'[10]Rates in summary'!D37+[10]Temporaries!K37+[10]Temporaries!M37+[10]Temporaries!L37-[10]Temporaries!AZ37</f>
        <v>0.72859000000000007</v>
      </c>
      <c r="AV44" s="500"/>
      <c r="AW44" s="571"/>
      <c r="AX44" s="325"/>
      <c r="AY44" s="325"/>
      <c r="AZ44" s="325"/>
      <c r="BA44" s="325"/>
    </row>
    <row r="45" spans="1:57" x14ac:dyDescent="0.35">
      <c r="A45" s="234">
        <f t="shared" si="33"/>
        <v>39</v>
      </c>
      <c r="B45" s="234"/>
      <c r="C45" s="344" t="s">
        <v>62</v>
      </c>
      <c r="D45" s="323">
        <f>+'[10]Washington volumes'!J38</f>
        <v>668287.37243846827</v>
      </c>
      <c r="E45" s="323">
        <v>20000</v>
      </c>
      <c r="F45" s="572"/>
      <c r="G45" s="493"/>
      <c r="H45" s="572"/>
      <c r="I45" s="493"/>
      <c r="J45" s="572"/>
      <c r="K45" s="493"/>
      <c r="L45" s="325">
        <f>+'[10]Rates in summary'!D38</f>
        <v>0.71257999999999988</v>
      </c>
      <c r="M45" s="493"/>
      <c r="N45" s="325">
        <f>'[10]Rates in summary'!D38+[10]Temporaries!K38+[10]Temporaries!L38+[10]Temporaries!M38-[10]Temporaries!AX38</f>
        <v>0.71257999999999988</v>
      </c>
      <c r="O45" s="493"/>
      <c r="P45" s="566"/>
      <c r="Q45" s="325">
        <f>'[10]Rates in summary'!D38+[10]Temporaries!N38+[10]Temporaries!O38-[10]Temporaries!AY38</f>
        <v>0.71248999999999985</v>
      </c>
      <c r="R45" s="493"/>
      <c r="S45" s="566"/>
      <c r="T45" s="392">
        <f>'[10]Rates in detail'!D38+[10]Temporaries!T38-[10]Temporaries!BD38+[10]Temporaries!S38-[10]Temporaries!BC38+[10]Temporaries!P38-[10]Temporaries!BB38++[10]Temporaries!Q38-[10]Temporaries!AW38</f>
        <v>0.71204999999999985</v>
      </c>
      <c r="U45" s="391"/>
      <c r="V45" s="390"/>
      <c r="W45" s="325">
        <f>'[10]Rates in summary'!D38+[10]Temporaries!R38-[10]Temporaries!AZ38</f>
        <v>0.71291999999999978</v>
      </c>
      <c r="X45" s="493"/>
      <c r="Y45" s="566"/>
      <c r="Z45" s="325">
        <f>'[10]Rates in summary'!D38+[10]Permanents!F38</f>
        <v>0.71261999999999992</v>
      </c>
      <c r="AA45" s="493"/>
      <c r="AB45" s="566"/>
      <c r="AC45" s="567">
        <f>'[10]Rates in summary'!D38+[10]Temporaries!U38-[10]Temporaries!BE38</f>
        <v>0.71257999999999988</v>
      </c>
      <c r="AD45" s="504"/>
      <c r="AE45" s="568"/>
      <c r="AF45" s="325">
        <f>'[10]Rates in summary'!D38+[10]Temporaries!V38-[10]Temporaries!BF38</f>
        <v>0.71257999999999988</v>
      </c>
      <c r="AG45" s="493"/>
      <c r="AH45" s="566"/>
      <c r="AI45" s="325">
        <f>'[10]Rates in summary'!G38+[10]Temporaries!J38</f>
        <v>0.64121999999999979</v>
      </c>
      <c r="AJ45" s="493"/>
      <c r="AK45" s="569"/>
      <c r="AL45" s="325">
        <f>+'[10]Rates in summary'!Q38</f>
        <v>0.64097999999999988</v>
      </c>
      <c r="AM45" s="493"/>
      <c r="AN45" s="570"/>
      <c r="AO45" s="496"/>
      <c r="AP45" s="557"/>
      <c r="AQ45" s="495">
        <f t="shared" ref="AQ45:AQ76" si="34">AC45-L45</f>
        <v>0</v>
      </c>
      <c r="AR45" s="495">
        <f t="shared" ref="AR45:AR76" si="35">AF45-L45</f>
        <v>0</v>
      </c>
      <c r="AS45" s="495">
        <f t="shared" ref="AS45:AS76" si="36">AL45-L45</f>
        <v>-7.1599999999999997E-2</v>
      </c>
      <c r="AT45" s="495">
        <f t="shared" ref="AT45:AT76" si="37">AS45-(AQ45+AR45)</f>
        <v>-7.1599999999999997E-2</v>
      </c>
      <c r="AU45" s="243">
        <f>+'[10]Rates in summary'!D38+[10]Temporaries!K38+[10]Temporaries!M38+[10]Temporaries!L38-[10]Temporaries!AZ38</f>
        <v>0.70980999999999983</v>
      </c>
      <c r="AV45" s="500"/>
      <c r="AW45" s="571"/>
      <c r="AX45" s="325"/>
      <c r="AY45" s="325"/>
      <c r="AZ45" s="325"/>
      <c r="BA45" s="325"/>
    </row>
    <row r="46" spans="1:57" x14ac:dyDescent="0.35">
      <c r="A46" s="234">
        <f t="shared" si="33"/>
        <v>40</v>
      </c>
      <c r="B46" s="234"/>
      <c r="C46" s="344" t="s">
        <v>69</v>
      </c>
      <c r="D46" s="323">
        <f>+'[10]Washington volumes'!J39</f>
        <v>109047.67533172015</v>
      </c>
      <c r="E46" s="323">
        <v>20000</v>
      </c>
      <c r="F46" s="572"/>
      <c r="G46" s="493"/>
      <c r="H46" s="572"/>
      <c r="I46" s="493"/>
      <c r="J46" s="572"/>
      <c r="K46" s="493"/>
      <c r="L46" s="325">
        <f>+'[10]Rates in summary'!D39</f>
        <v>0.67456999999999967</v>
      </c>
      <c r="M46" s="493"/>
      <c r="N46" s="325">
        <f>'[10]Rates in summary'!D39+[10]Temporaries!K39+[10]Temporaries!L39+[10]Temporaries!M39-[10]Temporaries!AX39</f>
        <v>0.67456999999999967</v>
      </c>
      <c r="O46" s="493"/>
      <c r="P46" s="566"/>
      <c r="Q46" s="325">
        <f>'[10]Rates in summary'!D39+[10]Temporaries!N39+[10]Temporaries!O39-[10]Temporaries!AY39</f>
        <v>0.6744899999999997</v>
      </c>
      <c r="R46" s="493"/>
      <c r="S46" s="566"/>
      <c r="T46" s="392">
        <f>'[10]Rates in detail'!D39+[10]Temporaries!T39-[10]Temporaries!BD39+[10]Temporaries!S39-[10]Temporaries!BC39+[10]Temporaries!P39-[10]Temporaries!BB39++[10]Temporaries!Q39-[10]Temporaries!AW39</f>
        <v>0.67399999999999971</v>
      </c>
      <c r="U46" s="391"/>
      <c r="V46" s="390"/>
      <c r="W46" s="325">
        <f>'[10]Rates in summary'!D39+[10]Temporaries!R39-[10]Temporaries!AZ39</f>
        <v>0.67481999999999975</v>
      </c>
      <c r="X46" s="493"/>
      <c r="Y46" s="566"/>
      <c r="Z46" s="325">
        <f>'[10]Rates in summary'!D39+[10]Permanents!F39</f>
        <v>0.67459999999999964</v>
      </c>
      <c r="AA46" s="493"/>
      <c r="AB46" s="566"/>
      <c r="AC46" s="567">
        <f>'[10]Rates in summary'!D39+[10]Temporaries!U39-[10]Temporaries!BE39</f>
        <v>0.67456999999999967</v>
      </c>
      <c r="AD46" s="504"/>
      <c r="AE46" s="568"/>
      <c r="AF46" s="325">
        <f>'[10]Rates in summary'!D39+[10]Temporaries!V39-[10]Temporaries!BF39</f>
        <v>0.67456999999999967</v>
      </c>
      <c r="AG46" s="493"/>
      <c r="AH46" s="566"/>
      <c r="AI46" s="325">
        <f>'[10]Rates in summary'!G39+[10]Temporaries!J39</f>
        <v>0.60320999999999969</v>
      </c>
      <c r="AJ46" s="493"/>
      <c r="AK46" s="569"/>
      <c r="AL46" s="325">
        <f>+'[10]Rates in summary'!Q39</f>
        <v>0.60283999999999971</v>
      </c>
      <c r="AM46" s="493"/>
      <c r="AN46" s="570"/>
      <c r="AO46" s="496"/>
      <c r="AP46" s="557"/>
      <c r="AQ46" s="495">
        <f t="shared" si="34"/>
        <v>0</v>
      </c>
      <c r="AR46" s="495">
        <f t="shared" si="35"/>
        <v>0</v>
      </c>
      <c r="AS46" s="495">
        <f t="shared" si="36"/>
        <v>-7.172999999999996E-2</v>
      </c>
      <c r="AT46" s="495">
        <f t="shared" si="37"/>
        <v>-7.172999999999996E-2</v>
      </c>
      <c r="AU46" s="243">
        <f>+'[10]Rates in summary'!D39+[10]Temporaries!K39+[10]Temporaries!M39+[10]Temporaries!L39-[10]Temporaries!AZ39</f>
        <v>0.6724399999999997</v>
      </c>
      <c r="AV46" s="500"/>
      <c r="AW46" s="571"/>
      <c r="AX46" s="325"/>
      <c r="AY46" s="325"/>
      <c r="AZ46" s="325"/>
      <c r="BA46" s="325"/>
    </row>
    <row r="47" spans="1:57" x14ac:dyDescent="0.35">
      <c r="A47" s="234">
        <f t="shared" si="33"/>
        <v>41</v>
      </c>
      <c r="B47" s="234"/>
      <c r="C47" s="344" t="s">
        <v>70</v>
      </c>
      <c r="D47" s="323">
        <f>+'[10]Washington volumes'!J40</f>
        <v>24232.772003191028</v>
      </c>
      <c r="E47" s="323">
        <v>100000</v>
      </c>
      <c r="F47" s="572"/>
      <c r="G47" s="493"/>
      <c r="H47" s="572"/>
      <c r="I47" s="493"/>
      <c r="J47" s="572"/>
      <c r="K47" s="493"/>
      <c r="L47" s="325">
        <f>+'[10]Rates in summary'!D40</f>
        <v>0.64957000000000009</v>
      </c>
      <c r="M47" s="493"/>
      <c r="N47" s="325">
        <f>'[10]Rates in summary'!D40+[10]Temporaries!K40+[10]Temporaries!L40+[10]Temporaries!M40-[10]Temporaries!AX40</f>
        <v>0.64957000000000009</v>
      </c>
      <c r="O47" s="493"/>
      <c r="P47" s="566"/>
      <c r="Q47" s="325">
        <f>'[10]Rates in summary'!D40+[10]Temporaries!N40+[10]Temporaries!O40-[10]Temporaries!AY40</f>
        <v>0.64951000000000014</v>
      </c>
      <c r="R47" s="493"/>
      <c r="S47" s="566"/>
      <c r="T47" s="392">
        <f>'[10]Rates in detail'!D40+[10]Temporaries!T40-[10]Temporaries!BD40+[10]Temporaries!S40-[10]Temporaries!BC40+[10]Temporaries!P40-[10]Temporaries!BB40++[10]Temporaries!Q40-[10]Temporaries!AW40</f>
        <v>0.64898000000000011</v>
      </c>
      <c r="U47" s="391"/>
      <c r="V47" s="390"/>
      <c r="W47" s="325">
        <f>'[10]Rates in summary'!D40+[10]Temporaries!R40-[10]Temporaries!AZ40</f>
        <v>0.64978000000000002</v>
      </c>
      <c r="X47" s="493"/>
      <c r="Y47" s="566"/>
      <c r="Z47" s="325">
        <f>'[10]Rates in summary'!D40+[10]Permanents!F40</f>
        <v>0.64959000000000011</v>
      </c>
      <c r="AA47" s="493"/>
      <c r="AB47" s="566"/>
      <c r="AC47" s="567">
        <f>'[10]Rates in summary'!D40+[10]Temporaries!U40-[10]Temporaries!BE40</f>
        <v>0.64957000000000009</v>
      </c>
      <c r="AD47" s="504"/>
      <c r="AE47" s="568"/>
      <c r="AF47" s="325">
        <f>'[10]Rates in summary'!D40+[10]Temporaries!V40-[10]Temporaries!BF40</f>
        <v>0.64957000000000009</v>
      </c>
      <c r="AG47" s="493"/>
      <c r="AH47" s="566"/>
      <c r="AI47" s="325">
        <f>'[10]Rates in summary'!G40+[10]Temporaries!J40</f>
        <v>0.57821</v>
      </c>
      <c r="AJ47" s="493"/>
      <c r="AK47" s="569"/>
      <c r="AL47" s="325">
        <f>+'[10]Rates in summary'!Q40</f>
        <v>0.57779000000000003</v>
      </c>
      <c r="AM47" s="493"/>
      <c r="AN47" s="570"/>
      <c r="AO47" s="496"/>
      <c r="AP47" s="557"/>
      <c r="AQ47" s="495">
        <f t="shared" si="34"/>
        <v>0</v>
      </c>
      <c r="AR47" s="495">
        <f t="shared" si="35"/>
        <v>0</v>
      </c>
      <c r="AS47" s="495">
        <f t="shared" si="36"/>
        <v>-7.1780000000000066E-2</v>
      </c>
      <c r="AT47" s="495">
        <f t="shared" si="37"/>
        <v>-7.1780000000000066E-2</v>
      </c>
      <c r="AU47" s="243">
        <f>+'[10]Rates in summary'!D40+[10]Temporaries!K40+[10]Temporaries!M40+[10]Temporaries!L40-[10]Temporaries!AZ40</f>
        <v>0.64787000000000006</v>
      </c>
      <c r="AV47" s="500"/>
      <c r="AW47" s="571"/>
      <c r="AX47" s="325"/>
      <c r="AY47" s="325"/>
      <c r="AZ47" s="325"/>
      <c r="BA47" s="325"/>
    </row>
    <row r="48" spans="1:57" x14ac:dyDescent="0.35">
      <c r="A48" s="234">
        <f t="shared" si="33"/>
        <v>42</v>
      </c>
      <c r="B48" s="234"/>
      <c r="C48" s="344" t="s">
        <v>71</v>
      </c>
      <c r="D48" s="323">
        <f>+'[10]Washington volumes'!J41</f>
        <v>0</v>
      </c>
      <c r="E48" s="323">
        <v>600000</v>
      </c>
      <c r="F48" s="572"/>
      <c r="G48" s="493"/>
      <c r="H48" s="572"/>
      <c r="I48" s="493"/>
      <c r="J48" s="572"/>
      <c r="K48" s="493"/>
      <c r="L48" s="325">
        <f>+'[10]Rates in summary'!D41</f>
        <v>0.61626000000000036</v>
      </c>
      <c r="M48" s="493"/>
      <c r="N48" s="325">
        <f>'[10]Rates in summary'!D41+[10]Temporaries!K41+[10]Temporaries!L41+[10]Temporaries!M41-[10]Temporaries!AX41</f>
        <v>0.61626000000000036</v>
      </c>
      <c r="O48" s="493"/>
      <c r="P48" s="566"/>
      <c r="Q48" s="325">
        <f>'[10]Rates in summary'!D41+[10]Temporaries!N41+[10]Temporaries!O41-[10]Temporaries!AY41</f>
        <v>0.61622000000000032</v>
      </c>
      <c r="R48" s="493"/>
      <c r="S48" s="566"/>
      <c r="T48" s="392">
        <f>'[10]Rates in detail'!D41+[10]Temporaries!T41-[10]Temporaries!BD41+[10]Temporaries!S41-[10]Temporaries!BC41+[10]Temporaries!P41-[10]Temporaries!BB41++[10]Temporaries!Q41-[10]Temporaries!AW41</f>
        <v>0.61562000000000039</v>
      </c>
      <c r="U48" s="391"/>
      <c r="V48" s="390"/>
      <c r="W48" s="325">
        <f>'[10]Rates in summary'!D41+[10]Temporaries!R41-[10]Temporaries!AZ41</f>
        <v>0.61639000000000033</v>
      </c>
      <c r="X48" s="493"/>
      <c r="Y48" s="566"/>
      <c r="Z48" s="325">
        <f>'[10]Rates in summary'!D41+[10]Permanents!F41</f>
        <v>0.61628000000000038</v>
      </c>
      <c r="AA48" s="493"/>
      <c r="AB48" s="566"/>
      <c r="AC48" s="567">
        <f>'[10]Rates in summary'!D41+[10]Temporaries!U41-[10]Temporaries!BE41</f>
        <v>0.61626000000000036</v>
      </c>
      <c r="AD48" s="504"/>
      <c r="AE48" s="568"/>
      <c r="AF48" s="325">
        <f>'[10]Rates in summary'!D41+[10]Temporaries!V41-[10]Temporaries!BF41</f>
        <v>0.61626000000000036</v>
      </c>
      <c r="AG48" s="493"/>
      <c r="AH48" s="566"/>
      <c r="AI48" s="325">
        <f>'[10]Rates in summary'!G41+[10]Temporaries!J41</f>
        <v>0.54490000000000027</v>
      </c>
      <c r="AJ48" s="493"/>
      <c r="AK48" s="569"/>
      <c r="AL48" s="325">
        <f>+'[10]Rates in summary'!Q41</f>
        <v>0.54437000000000035</v>
      </c>
      <c r="AM48" s="493"/>
      <c r="AN48" s="570"/>
      <c r="AO48" s="496"/>
      <c r="AP48" s="557"/>
      <c r="AQ48" s="495">
        <f t="shared" si="34"/>
        <v>0</v>
      </c>
      <c r="AR48" s="495">
        <f t="shared" si="35"/>
        <v>0</v>
      </c>
      <c r="AS48" s="495">
        <f t="shared" si="36"/>
        <v>-7.1890000000000009E-2</v>
      </c>
      <c r="AT48" s="495">
        <f t="shared" si="37"/>
        <v>-7.1890000000000009E-2</v>
      </c>
      <c r="AU48" s="243">
        <f>+'[10]Rates in summary'!D41+[10]Temporaries!K41+[10]Temporaries!M41+[10]Temporaries!L41-[10]Temporaries!AZ41</f>
        <v>0.61512000000000033</v>
      </c>
      <c r="AV48" s="243"/>
      <c r="AW48" s="571"/>
      <c r="AX48" s="325"/>
      <c r="AY48" s="325"/>
      <c r="AZ48" s="325"/>
      <c r="BA48" s="325"/>
    </row>
    <row r="49" spans="1:57" x14ac:dyDescent="0.35">
      <c r="A49" s="234">
        <f t="shared" si="33"/>
        <v>43</v>
      </c>
      <c r="B49" s="234"/>
      <c r="C49" s="344" t="s">
        <v>72</v>
      </c>
      <c r="D49" s="323">
        <f>+'[10]Washington volumes'!J42</f>
        <v>0</v>
      </c>
      <c r="E49" s="525" t="s">
        <v>243</v>
      </c>
      <c r="F49" s="572"/>
      <c r="G49" s="493"/>
      <c r="H49" s="572"/>
      <c r="I49" s="493"/>
      <c r="J49" s="572"/>
      <c r="K49" s="493"/>
      <c r="L49" s="325">
        <f>+'[10]Rates in summary'!D42</f>
        <v>0.57454999999999989</v>
      </c>
      <c r="M49" s="493"/>
      <c r="N49" s="325">
        <f>'[10]Rates in summary'!D42+[10]Temporaries!K42+[10]Temporaries!L42+[10]Temporaries!M42-[10]Temporaries!AX42</f>
        <v>0.57454999999999989</v>
      </c>
      <c r="O49" s="493"/>
      <c r="P49" s="566"/>
      <c r="Q49" s="325">
        <f>'[10]Rates in summary'!D42+[10]Temporaries!N42+[10]Temporaries!O42-[10]Temporaries!AY42</f>
        <v>0.57452999999999987</v>
      </c>
      <c r="R49" s="493"/>
      <c r="S49" s="566"/>
      <c r="T49" s="392">
        <f>'[10]Rates in detail'!D42+[10]Temporaries!T42-[10]Temporaries!BD42+[10]Temporaries!S42-[10]Temporaries!BC42+[10]Temporaries!P42-[10]Temporaries!BB42++[10]Temporaries!Q42-[10]Temporaries!AW42</f>
        <v>0.57385999999999993</v>
      </c>
      <c r="U49" s="391"/>
      <c r="V49" s="390"/>
      <c r="W49" s="325">
        <f>'[10]Rates in summary'!D42+[10]Temporaries!R42-[10]Temporaries!AZ42</f>
        <v>0.57459999999999989</v>
      </c>
      <c r="X49" s="493"/>
      <c r="Y49" s="566"/>
      <c r="Z49" s="325">
        <f>'[10]Rates in summary'!D42+[10]Permanents!F42</f>
        <v>0.57455999999999985</v>
      </c>
      <c r="AA49" s="493"/>
      <c r="AB49" s="566"/>
      <c r="AC49" s="567">
        <f>'[10]Rates in summary'!D42+[10]Temporaries!U42-[10]Temporaries!BE42</f>
        <v>0.57454999999999989</v>
      </c>
      <c r="AD49" s="504"/>
      <c r="AE49" s="568"/>
      <c r="AF49" s="325">
        <f>'[10]Rates in summary'!D42+[10]Temporaries!V42-[10]Temporaries!BF42</f>
        <v>0.57454999999999989</v>
      </c>
      <c r="AG49" s="493"/>
      <c r="AH49" s="566"/>
      <c r="AI49" s="325">
        <f>'[10]Rates in summary'!G42+[10]Temporaries!J42</f>
        <v>0.50318999999999992</v>
      </c>
      <c r="AJ49" s="493"/>
      <c r="AK49" s="569"/>
      <c r="AL49" s="325">
        <f>+'[10]Rates in summary'!Q42</f>
        <v>0.50253999999999988</v>
      </c>
      <c r="AM49" s="493"/>
      <c r="AN49" s="570"/>
      <c r="AO49" s="496"/>
      <c r="AP49" s="557"/>
      <c r="AQ49" s="495">
        <f t="shared" si="34"/>
        <v>0</v>
      </c>
      <c r="AR49" s="495">
        <f t="shared" si="35"/>
        <v>0</v>
      </c>
      <c r="AS49" s="495">
        <f t="shared" si="36"/>
        <v>-7.2010000000000018E-2</v>
      </c>
      <c r="AT49" s="495">
        <f t="shared" si="37"/>
        <v>-7.2010000000000018E-2</v>
      </c>
      <c r="AU49" s="243">
        <f>+'[10]Rates in summary'!D42+[10]Temporaries!K42+[10]Temporaries!M42+[10]Temporaries!L42-[10]Temporaries!AZ42</f>
        <v>0.57411999999999985</v>
      </c>
      <c r="AV49" s="243"/>
      <c r="AW49" s="571"/>
      <c r="AX49" s="325"/>
      <c r="AY49" s="325"/>
      <c r="AZ49" s="325"/>
      <c r="BA49" s="325"/>
    </row>
    <row r="50" spans="1:57" x14ac:dyDescent="0.35">
      <c r="A50" s="234">
        <f t="shared" si="33"/>
        <v>44</v>
      </c>
      <c r="B50" s="338"/>
      <c r="C50" s="573" t="s">
        <v>27</v>
      </c>
      <c r="D50" s="574"/>
      <c r="E50" s="575"/>
      <c r="F50" s="576"/>
      <c r="G50" s="577"/>
      <c r="H50" s="576"/>
      <c r="I50" s="577"/>
      <c r="J50" s="576"/>
      <c r="K50" s="577"/>
      <c r="L50" s="578"/>
      <c r="M50" s="577">
        <f>$I44+ROUND(IF($F44&lt;$E44,($F44*L44),IF($F44&lt;SUM($E44:$E45),(($E44*L44)+(($F44-$E44)*L45)),IF($F44&lt;SUM($E44:$E46),(($E44*L44)+($E45*L45)+(($F44-$E44-$E45)*L46)),IF($F44&lt;SUM($E44:$E47),(($E44*L44)+($E45*L45)+($E46*L46)+(($F44-SUM($E44:$E46))*L47)),IF($F44&lt;SUM($E44:$E48),(($E44*L44)+($E45*L45)+($E46*L46)+($E47*L47)+(($F44-SUM($E44:$E47))*L48)),(($E44*L44)+($E45*L45)+($E46*L46)+($E47*L46)+($E48*L48)+(($F44-SUM($E44:$E48))*L49))))))),2)</f>
        <v>7563.3356300000014</v>
      </c>
      <c r="N50" s="578"/>
      <c r="O50" s="577">
        <f>$I44+ROUND(IF($F44&lt;$E44,($F44*N44),IF($F44&lt;SUM($E44:$E45),(($E44*N44)+(($F44-$E44)*N45)),IF($F44&lt;SUM($E44:$E46),(($E44*N44)+($E45*N45)+(($F44-$E44-$E45)*N46)),IF($F44&lt;SUM($E44:$E47),(($E44*N44)+($E45*N45)+($E46*N46)+(($F44-SUM($E44:$E46))*N47)),IF($F44&lt;SUM($E44:$E48),(($E44*N44)+($E45*N45)+($E46*N46)+($E47*N47)+(($F44-SUM($E44:$E47))*N48)),(($E44*N44)+($E45*N45)+($E46*N46)+($E47*N46)+($E48*N48)+(($F44-SUM($E44:$E48))*N49))))))),2)</f>
        <v>7563.3356300000014</v>
      </c>
      <c r="P50" s="579">
        <f>ROUND((O50-M50)/M50,3)</f>
        <v>0</v>
      </c>
      <c r="Q50" s="578"/>
      <c r="R50" s="577">
        <f>$I44+ROUND(IF($F44&lt;$E44,($F44*Q44),IF($F44&lt;SUM($E44:$E45),(($E44*Q44)+(($F44-$E44)*Q45)),IF($F44&lt;SUM($E44:$E46),(($E44*Q44)+($E45*Q45)+(($F44-$E44-$E45)*Q46)),IF($F44&lt;SUM($E44:$E47),(($E44*Q44)+($E45*Q45)+($E46*Q46)+(($F44-SUM($E44:$E46))*Q47)),IF($F44&lt;SUM($E44:$E48),(($E44*Q44)+($E45*Q45)+($E46*Q46)+($E47*Q47)+(($F44-SUM($E44:$E47))*Q48)),(($E44*Q44)+($E45*Q45)+($E46*Q46)+($E47*Q46)+($E48*Q48)+(($F44-SUM($E44:$E48))*Q49))))))),2)</f>
        <v>7562.0756300000012</v>
      </c>
      <c r="S50" s="579">
        <f>ROUND((R50-M50)/M50,3)</f>
        <v>0</v>
      </c>
      <c r="T50" s="394"/>
      <c r="U50" s="388">
        <f>$I44+ROUND(IF($F44&lt;$E44,($F44*T44),IF($F44&lt;SUM($E44:$E45),(($E44*T44)+(($F44-$E44)*T45)),IF($F44&lt;SUM($E44:$E46),(($E44*T44)+($E45*T45)+(($F44-$E44-$E45)*T46)),IF($F44&lt;SUM($E44:$E47),(($E44*T44)+($E45*T45)+($E46*T46)+(($F44-SUM($E44:$E46))*T47)),IF($F44&lt;SUM($E44:$E48),(($E44*T44)+($E45*T45)+($E46*T46)+($E47*T47)+(($F44-SUM($E44:$E47))*T48)),(($E44*T44)+($E45*T45)+($E46*T46)+($E47*T46)+($E48*T48)+(($F44-SUM($E44:$E48))*T49))))))),2)</f>
        <v>7556.815630000001</v>
      </c>
      <c r="V50" s="387">
        <f>ROUND((U50-M50)/M50,3)</f>
        <v>-1E-3</v>
      </c>
      <c r="W50" s="578"/>
      <c r="X50" s="577">
        <f>$I44+ROUND(IF($F44&lt;$E44,($F44*W44),IF($F44&lt;SUM($E44:$E45),(($E44*W44)+(($F44-$E44)*W45)),IF($F44&lt;SUM($E44:$E46),(($E44*W44)+($E45*W45)+(($F44-$E44-$E45)*W46)),IF($F44&lt;SUM($E44:$E47),(($E44*W44)+($E45*W45)+($E46*W46)+(($F44-SUM($E44:$E46))*W47)),IF($F44&lt;SUM($E44:$E48),(($E44*W44)+($E45*W45)+($E46*W46)+($E47*W47)+(($F44-SUM($E44:$E47))*W48)),(($E44*W44)+($E45*W45)+($E46*W46)+($E47*W46)+($E48*W48)+(($F44-SUM($E44:$E48))*W49))))))),2)</f>
        <v>7568.0156299999999</v>
      </c>
      <c r="Y50" s="579">
        <f>(X50-M50)/M50</f>
        <v>6.1877460276061702E-4</v>
      </c>
      <c r="Z50" s="578"/>
      <c r="AA50" s="577">
        <f>$I44+ROUND(IF($F44&lt;$E44,($F44*Z44),IF($F44&lt;SUM($E44:$E45),(($E44*Z44)+(($F44-$E44)*Z45)),IF($F44&lt;SUM($E44:$E46),(($E44*Z44)+($E45*Z45)+(($F44-$E44-$E45)*Z46)),IF($F44&lt;SUM($E44:$E47),(($E44*Z44)+($E45*Z45)+($E46*Z46)+(($F44-SUM($E44:$E46))*Z47)),IF($F44&lt;SUM($E44:$E48),(($E44*Z44)+($E45*Z45)+($E46*Z46)+($E47*Z47)+(($F44-SUM($E44:$E47))*Z48)),(($E44*Z44)+($E45*Z45)+($E46*Z46)+($E47*Z46)+($E48*Z48)+(($F44-SUM($E44:$E48))*Z49))))))),2)</f>
        <v>7563.9556300000004</v>
      </c>
      <c r="AB50" s="579">
        <f>(AA50-M50)/M50</f>
        <v>8.1974413186127672E-5</v>
      </c>
      <c r="AC50" s="580"/>
      <c r="AD50" s="581">
        <f>$I44+ROUND(IF($F44&lt;$E44,($F44*AC44),IF($F44&lt;SUM($E44:$E45),(($E44*AC44)+(($F44-$E44)*AC45)),IF($F44&lt;SUM($E44:$E46),(($E44*AC44)+($E45*AC45)+(($F44-$E44-$E45)*AC46)),IF($F44&lt;SUM($E44:$E47),(($E44*AC44)+($E45*AC45)+($E46*AC46)+(($F44-SUM($E44:$E46))*AC47)),IF($F44&lt;SUM($E44:$E48),(($E44*AC44)+($E45*AC45)+($E46*AC46)+($E47*AC47)+(($F44-SUM($E44:$E47))*AC48)),(($E44*AC44)+($E45*AC45)+($E46*AC46)+($E47*AC46)+($E48*AC48)+(($F44-SUM($E44:$E48))*AC49))))))),2)</f>
        <v>7563.3356300000014</v>
      </c>
      <c r="AE50" s="582">
        <f>(AD50-M50)/M50</f>
        <v>0</v>
      </c>
      <c r="AF50" s="578"/>
      <c r="AG50" s="577">
        <f>$K44+ROUND(IF($F44&lt;$E44,($F44*AF44),IF($F44&lt;SUM($E44:$E45),(($E44*AF44)+(($F44-$E44)*AF45)),IF($F44&lt;SUM($E44:$E46),(($E44*AF44)+($E45*AF45)+(($F44-$E44-$E45)*AF46)),IF($F44&lt;SUM($E44:$E47),(($E44*AF44)+($E45*AF45)+($E46*AF46)+(($F44-SUM($E44:$E46))*AF47)),IF($F44&lt;SUM($E44:$E48),(($E44*AF44)+($E45*AF45)+($E46*AF46)+($E47*AF47)+(($F44-SUM($E44:$E47))*AF48)),(($E44*AF44)+($E45*AF45)+($E46*AF46)+($E47*AF46)+($E48*AF48)+(($F44-SUM($E44:$E48))*AF49))))))),2)</f>
        <v>7563.3356300000014</v>
      </c>
      <c r="AH50" s="579">
        <f>(AG50-M50)/M50</f>
        <v>0</v>
      </c>
      <c r="AI50" s="578"/>
      <c r="AJ50" s="577">
        <f>$I44+ROUND(IF($F44&lt;$E44,($F44*AI44),IF($F44&lt;SUM($E44:$E45),(($E44*AI44)+(($F44-$E44)*AI45)),IF($F44&lt;SUM($E44:$E46),(($E44*AI44)+($E45*AI45)+(($F44-$E44-$E45)*AI46)),IF($F44&lt;SUM($E44:$E47),(($E44*AI44)+($E45*AI45)+($E46*AI46)+(($F44-SUM($E44:$E46))*AI47)),IF($F44&lt;SUM($E44:$E48),(($E44*AI44)+($E45*AI45)+($E46*AI46)+($E47*AI47)+(($F44-SUM($E44:$E47))*AI48)),(($E44*AI44)+($E45*AI45)+($E46*AI46)+($E47*AI46)+($E48*AI48)+(($F44-SUM($E44:$E48))*AI49))))))),2)</f>
        <v>6645.0056299999997</v>
      </c>
      <c r="AK50" s="594">
        <f>ROUND((AJ50-M50)/M50,3)</f>
        <v>-0.121</v>
      </c>
      <c r="AL50" s="578"/>
      <c r="AM50" s="577">
        <f>$K44+ROUND(IF($F44&lt;$E44,($F44*AL44),IF($F44&lt;SUM($E44:$E45),(($E44*AL44)+(($F44-$E44)*AL45)),IF($F44&lt;SUM($E44:$E46),(($E44*AL44)+($E45*AL45)+(($F44-$E44-$E45)*AL46)),IF($F44&lt;SUM($E44:$E47),(($E44*AL44)+($E45*AL45)+($E46*AL46)+(($F44-SUM($E44:$E46))*AL47)),IF($F44&lt;SUM($E44:$E48),(($E44*AL44)+($E45*AL45)+($E46*AL46)+($E47*AL47)+(($F44-SUM($E44:$E47))*AL48)),(($E44*AL44)+($E45*AL45)+($E46*AL46)+($E47*AL46)+($E48*AL48)+(($F44-SUM($E44:$E48))*AL49))))))),2)</f>
        <v>6642.5156299999999</v>
      </c>
      <c r="AN50" s="594">
        <f>ROUND((AM50-M50)/M50,3)</f>
        <v>-0.122</v>
      </c>
      <c r="AO50" s="496"/>
      <c r="AP50" s="557"/>
      <c r="AQ50" s="495">
        <f t="shared" si="34"/>
        <v>0</v>
      </c>
      <c r="AR50" s="495">
        <f t="shared" si="35"/>
        <v>0</v>
      </c>
      <c r="AS50" s="495">
        <f t="shared" si="36"/>
        <v>0</v>
      </c>
      <c r="AT50" s="495">
        <f t="shared" si="37"/>
        <v>0</v>
      </c>
      <c r="AU50" s="583"/>
      <c r="AV50" s="584">
        <f>$I44+ROUND(IF($F44&lt;$E44,($F44*AU44),IF($F44&lt;SUM($E44:$E45),(($E44*AU44)+(($F44-$E44)*AU45)),IF($F44&lt;SUM($E44:$E46),(($E44*AU44)+($E45*AU45)+(($F44-$E44-$E45)*AU46)),IF($F44&lt;SUM($E44:$E47),(($E44*AU44)+($E45*AU45)+($E46*AU46)+(($F44-SUM($E44:$E46))*AU47)),IF($F44&lt;SUM($E44:$E48),(($E44*AU44)+($E45*AU45)+($E46*AU46)+($E47*AU47)+(($F44-SUM($E44:$E47))*AU48)),(($E44*AU44)+($E45*AU45)+($E46*AU46)+($E47*AU46)+($E48*AU48)+(($F44-SUM($E44:$E48))*AU49))))))),2)</f>
        <v>7524.3856300000007</v>
      </c>
      <c r="AW50" s="585">
        <f>ROUND((AV50-M50)/M50,3)</f>
        <v>-5.0000000000000001E-3</v>
      </c>
      <c r="AX50" s="325"/>
      <c r="AY50" s="325"/>
      <c r="AZ50" s="325"/>
      <c r="BA50" s="325"/>
    </row>
    <row r="51" spans="1:57" x14ac:dyDescent="0.35">
      <c r="A51" s="234">
        <f t="shared" si="33"/>
        <v>45</v>
      </c>
      <c r="B51" s="234" t="s">
        <v>74</v>
      </c>
      <c r="C51" s="344" t="s">
        <v>61</v>
      </c>
      <c r="D51" s="323">
        <f>+'[10]Washington volumes'!J43</f>
        <v>122543.87639893022</v>
      </c>
      <c r="E51" s="323">
        <v>10000</v>
      </c>
      <c r="F51" s="572">
        <v>51470</v>
      </c>
      <c r="G51" s="493">
        <f>1300+250</f>
        <v>1550</v>
      </c>
      <c r="H51" s="493">
        <f>'[33]Aver Bill by RS'!$J51</f>
        <v>5142.2693365131181</v>
      </c>
      <c r="I51" s="493">
        <f>G51-(IF(H51&gt;(F51*$H$3),(F51*$H$3),H51))</f>
        <v>-3592.2693365131181</v>
      </c>
      <c r="J51" s="493">
        <f>'[33]Aver Bill by RS'!$J51</f>
        <v>5142.2693365131181</v>
      </c>
      <c r="K51" s="493">
        <f>G51-(IF(J51&gt;($F51*$H$4),($F51*$H$4),J51))</f>
        <v>-3592.2693365131181</v>
      </c>
      <c r="L51" s="325">
        <f>+'[10]Rates in summary'!D43</f>
        <v>0.40332000000000001</v>
      </c>
      <c r="M51" s="493"/>
      <c r="N51" s="325">
        <f>'[10]Rates in summary'!D43+[10]Temporaries!K43+[10]Temporaries!L43+[10]Temporaries!M43-[10]Temporaries!AX43</f>
        <v>0.40332000000000001</v>
      </c>
      <c r="O51" s="493"/>
      <c r="P51" s="566"/>
      <c r="Q51" s="325">
        <f>'[10]Rates in summary'!D43+[10]Temporaries!N43+[10]Temporaries!O43-[10]Temporaries!AY43</f>
        <v>0.40332000000000001</v>
      </c>
      <c r="R51" s="493"/>
      <c r="S51" s="566"/>
      <c r="T51" s="392">
        <f>'[10]Rates in detail'!D43+[10]Temporaries!T43-[10]Temporaries!BD43+[10]Temporaries!S43-[10]Temporaries!BC43+[10]Temporaries!P43-[10]Temporaries!BB43++[10]Temporaries!Q43-[10]Temporaries!AW43</f>
        <v>0.40266000000000007</v>
      </c>
      <c r="U51" s="391"/>
      <c r="V51" s="390"/>
      <c r="W51" s="325">
        <f>'[10]Rates in summary'!D43+[10]Temporaries!R43-[10]Temporaries!AZ43</f>
        <v>0.40358000000000005</v>
      </c>
      <c r="X51" s="493"/>
      <c r="Y51" s="566"/>
      <c r="Z51" s="325">
        <f>'[10]Rates in summary'!D43+[10]Permanents!F43</f>
        <v>0.40332000000000001</v>
      </c>
      <c r="AA51" s="493"/>
      <c r="AB51" s="566"/>
      <c r="AC51" s="567">
        <f>'[10]Rates in summary'!D43+[10]Temporaries!U43-[10]Temporaries!BE43</f>
        <v>0.40332000000000001</v>
      </c>
      <c r="AD51" s="504"/>
      <c r="AE51" s="568"/>
      <c r="AF51" s="325">
        <f>'[10]Rates in summary'!D43+[10]Temporaries!V43-[10]Temporaries!BF43</f>
        <v>0.40332000000000001</v>
      </c>
      <c r="AG51" s="493"/>
      <c r="AH51" s="566"/>
      <c r="AI51" s="325">
        <f>'[10]Rates in summary'!G43+[10]Temporaries!J43</f>
        <v>0.40332000000000001</v>
      </c>
      <c r="AJ51" s="493"/>
      <c r="AK51" s="569"/>
      <c r="AL51" s="325">
        <f>+'[10]Rates in summary'!Q43</f>
        <v>0.40292</v>
      </c>
      <c r="AM51" s="493"/>
      <c r="AN51" s="570"/>
      <c r="AO51" s="496"/>
      <c r="AP51" s="557"/>
      <c r="AQ51" s="495">
        <f t="shared" si="34"/>
        <v>0</v>
      </c>
      <c r="AR51" s="495">
        <f t="shared" si="35"/>
        <v>0</v>
      </c>
      <c r="AS51" s="495">
        <f t="shared" si="36"/>
        <v>-4.0000000000001146E-4</v>
      </c>
      <c r="AT51" s="495">
        <f t="shared" si="37"/>
        <v>-4.0000000000001146E-4</v>
      </c>
      <c r="AU51" s="243">
        <f>+'[10]Rates in summary'!D43+[10]Temporaries!K43+[10]Temporaries!M43+[10]Temporaries!L43-[10]Temporaries!AZ43</f>
        <v>0.40139000000000002</v>
      </c>
      <c r="AV51" s="500"/>
      <c r="AW51" s="571"/>
      <c r="AX51" s="325"/>
      <c r="AY51" s="325"/>
      <c r="AZ51" s="325"/>
      <c r="BA51" s="325"/>
    </row>
    <row r="52" spans="1:57" x14ac:dyDescent="0.35">
      <c r="A52" s="234">
        <f t="shared" si="33"/>
        <v>46</v>
      </c>
      <c r="B52" s="234"/>
      <c r="C52" s="344" t="s">
        <v>62</v>
      </c>
      <c r="D52" s="323">
        <f>+'[10]Washington volumes'!J44</f>
        <v>245087.75279786045</v>
      </c>
      <c r="E52" s="323">
        <v>20000</v>
      </c>
      <c r="F52" s="572"/>
      <c r="G52" s="493"/>
      <c r="H52" s="572"/>
      <c r="I52" s="493"/>
      <c r="J52" s="572"/>
      <c r="K52" s="493"/>
      <c r="L52" s="325">
        <f>+'[10]Rates in summary'!D44</f>
        <v>0.38640000000000002</v>
      </c>
      <c r="M52" s="493"/>
      <c r="N52" s="325">
        <f>'[10]Rates in summary'!D44+[10]Temporaries!K44+[10]Temporaries!L44+[10]Temporaries!M44-[10]Temporaries!AX44</f>
        <v>0.38640000000000002</v>
      </c>
      <c r="O52" s="493"/>
      <c r="P52" s="566"/>
      <c r="Q52" s="325">
        <f>'[10]Rates in summary'!D44+[10]Temporaries!N44+[10]Temporaries!O44-[10]Temporaries!AY44</f>
        <v>0.38640000000000002</v>
      </c>
      <c r="R52" s="493"/>
      <c r="S52" s="566"/>
      <c r="T52" s="392">
        <f>'[10]Rates in detail'!D44+[10]Temporaries!T44-[10]Temporaries!BD44+[10]Temporaries!S44-[10]Temporaries!BC44+[10]Temporaries!P44-[10]Temporaries!BB44++[10]Temporaries!Q44-[10]Temporaries!AW44</f>
        <v>0.38574000000000003</v>
      </c>
      <c r="U52" s="391"/>
      <c r="V52" s="390"/>
      <c r="W52" s="325">
        <f>'[10]Rates in summary'!D44+[10]Temporaries!R44-[10]Temporaries!AZ44</f>
        <v>0.38663000000000003</v>
      </c>
      <c r="X52" s="493"/>
      <c r="Y52" s="566"/>
      <c r="Z52" s="325">
        <f>'[10]Rates in summary'!D44+[10]Permanents!F44</f>
        <v>0.38640000000000002</v>
      </c>
      <c r="AA52" s="493"/>
      <c r="AB52" s="566"/>
      <c r="AC52" s="567">
        <f>'[10]Rates in summary'!D44+[10]Temporaries!U44-[10]Temporaries!BE44</f>
        <v>0.38640000000000008</v>
      </c>
      <c r="AD52" s="504"/>
      <c r="AE52" s="568"/>
      <c r="AF52" s="325">
        <f>'[10]Rates in summary'!D44+[10]Temporaries!V44-[10]Temporaries!BF44</f>
        <v>0.38639999999999997</v>
      </c>
      <c r="AG52" s="493"/>
      <c r="AH52" s="566"/>
      <c r="AI52" s="325">
        <f>'[10]Rates in summary'!G44+[10]Temporaries!J44</f>
        <v>0.38640000000000002</v>
      </c>
      <c r="AJ52" s="493"/>
      <c r="AK52" s="569"/>
      <c r="AL52" s="325">
        <f>+'[10]Rates in summary'!Q44</f>
        <v>0.38597000000000004</v>
      </c>
      <c r="AM52" s="493"/>
      <c r="AN52" s="570"/>
      <c r="AO52" s="496"/>
      <c r="AP52" s="557"/>
      <c r="AQ52" s="495">
        <f t="shared" si="34"/>
        <v>0</v>
      </c>
      <c r="AR52" s="495">
        <f t="shared" si="35"/>
        <v>0</v>
      </c>
      <c r="AS52" s="495">
        <f t="shared" si="36"/>
        <v>-4.2999999999998595E-4</v>
      </c>
      <c r="AT52" s="495">
        <f t="shared" si="37"/>
        <v>-4.2999999999998595E-4</v>
      </c>
      <c r="AU52" s="243">
        <f>+'[10]Rates in summary'!D44+[10]Temporaries!K44+[10]Temporaries!M44+[10]Temporaries!L44-[10]Temporaries!AZ44</f>
        <v>0.38467000000000001</v>
      </c>
      <c r="AV52" s="500"/>
      <c r="AW52" s="571"/>
      <c r="AX52" s="325"/>
      <c r="AY52" s="325"/>
      <c r="AZ52" s="325"/>
      <c r="BA52" s="325"/>
    </row>
    <row r="53" spans="1:57" x14ac:dyDescent="0.35">
      <c r="A53" s="234">
        <f t="shared" si="33"/>
        <v>47</v>
      </c>
      <c r="B53" s="234"/>
      <c r="C53" s="344" t="s">
        <v>69</v>
      </c>
      <c r="D53" s="323">
        <f>+'[10]Washington volumes'!J45</f>
        <v>245087.75279786045</v>
      </c>
      <c r="E53" s="323">
        <v>20000</v>
      </c>
      <c r="F53" s="572"/>
      <c r="G53" s="493"/>
      <c r="H53" s="572"/>
      <c r="I53" s="493"/>
      <c r="J53" s="572"/>
      <c r="K53" s="493"/>
      <c r="L53" s="325">
        <f>+'[10]Rates in summary'!D45</f>
        <v>0.35268999999999995</v>
      </c>
      <c r="M53" s="493"/>
      <c r="N53" s="325">
        <f>'[10]Rates in summary'!D45+[10]Temporaries!K45+[10]Temporaries!L45+[10]Temporaries!M45-[10]Temporaries!AX45</f>
        <v>0.35268999999999995</v>
      </c>
      <c r="O53" s="493"/>
      <c r="P53" s="566"/>
      <c r="Q53" s="325">
        <f>'[10]Rates in summary'!D45+[10]Temporaries!N45+[10]Temporaries!O45-[10]Temporaries!AY45</f>
        <v>0.35268999999999995</v>
      </c>
      <c r="R53" s="493"/>
      <c r="S53" s="566"/>
      <c r="T53" s="392">
        <f>'[10]Rates in detail'!D45+[10]Temporaries!T45-[10]Temporaries!BD45+[10]Temporaries!S45-[10]Temporaries!BC45+[10]Temporaries!P45-[10]Temporaries!BB45++[10]Temporaries!Q45-[10]Temporaries!AW45</f>
        <v>0.35200999999999999</v>
      </c>
      <c r="U53" s="391"/>
      <c r="V53" s="390"/>
      <c r="W53" s="325">
        <f>'[10]Rates in summary'!D45+[10]Temporaries!R45-[10]Temporaries!AZ45</f>
        <v>0.35285999999999995</v>
      </c>
      <c r="X53" s="493"/>
      <c r="Y53" s="566"/>
      <c r="Z53" s="325">
        <f>'[10]Rates in summary'!D45+[10]Permanents!F45</f>
        <v>0.35268999999999995</v>
      </c>
      <c r="AA53" s="493"/>
      <c r="AB53" s="566"/>
      <c r="AC53" s="567">
        <f>'[10]Rates in summary'!D45+[10]Temporaries!U45-[10]Temporaries!BE45</f>
        <v>0.35268999999999995</v>
      </c>
      <c r="AD53" s="504"/>
      <c r="AE53" s="568"/>
      <c r="AF53" s="325">
        <f>'[10]Rates in summary'!D45+[10]Temporaries!V45-[10]Temporaries!BF45</f>
        <v>0.35268999999999995</v>
      </c>
      <c r="AG53" s="493"/>
      <c r="AH53" s="566"/>
      <c r="AI53" s="325">
        <f>'[10]Rates in summary'!G45+[10]Temporaries!J45</f>
        <v>0.35268999999999995</v>
      </c>
      <c r="AJ53" s="493"/>
      <c r="AK53" s="569"/>
      <c r="AL53" s="325">
        <f>+'[10]Rates in summary'!Q45</f>
        <v>0.35217999999999994</v>
      </c>
      <c r="AM53" s="493"/>
      <c r="AN53" s="570"/>
      <c r="AO53" s="496"/>
      <c r="AP53" s="557"/>
      <c r="AQ53" s="495">
        <f t="shared" si="34"/>
        <v>0</v>
      </c>
      <c r="AR53" s="495">
        <f t="shared" si="35"/>
        <v>0</v>
      </c>
      <c r="AS53" s="495">
        <f t="shared" si="36"/>
        <v>-5.1000000000001044E-4</v>
      </c>
      <c r="AT53" s="495">
        <f t="shared" si="37"/>
        <v>-5.1000000000001044E-4</v>
      </c>
      <c r="AU53" s="243">
        <f>+'[10]Rates in summary'!D45+[10]Temporaries!K45+[10]Temporaries!M45+[10]Temporaries!L45-[10]Temporaries!AZ45</f>
        <v>0.35135999999999995</v>
      </c>
      <c r="AV53" s="500"/>
      <c r="AW53" s="571"/>
      <c r="AX53" s="325"/>
      <c r="AY53" s="325"/>
      <c r="AZ53" s="325"/>
      <c r="BA53" s="325"/>
    </row>
    <row r="54" spans="1:57" x14ac:dyDescent="0.35">
      <c r="A54" s="234">
        <f t="shared" si="33"/>
        <v>48</v>
      </c>
      <c r="B54" s="234"/>
      <c r="C54" s="344" t="s">
        <v>70</v>
      </c>
      <c r="D54" s="323">
        <f>+'[10]Washington volumes'!J46</f>
        <v>403343.97837634891</v>
      </c>
      <c r="E54" s="323">
        <v>100000</v>
      </c>
      <c r="F54" s="572"/>
      <c r="G54" s="493"/>
      <c r="H54" s="572"/>
      <c r="I54" s="493"/>
      <c r="J54" s="572"/>
      <c r="K54" s="493"/>
      <c r="L54" s="325">
        <f>+'[10]Rates in summary'!D46</f>
        <v>0.33054000000000006</v>
      </c>
      <c r="M54" s="493"/>
      <c r="N54" s="325">
        <f>'[10]Rates in summary'!D46+[10]Temporaries!K46+[10]Temporaries!L46+[10]Temporaries!M46-[10]Temporaries!AX46</f>
        <v>0.33054000000000006</v>
      </c>
      <c r="O54" s="493"/>
      <c r="P54" s="566"/>
      <c r="Q54" s="325">
        <f>'[10]Rates in summary'!D46+[10]Temporaries!N46+[10]Temporaries!O46-[10]Temporaries!AY46</f>
        <v>0.33054000000000006</v>
      </c>
      <c r="R54" s="493"/>
      <c r="S54" s="566"/>
      <c r="T54" s="392">
        <f>'[10]Rates in detail'!D46+[10]Temporaries!T46-[10]Temporaries!BD46+[10]Temporaries!S46-[10]Temporaries!BC46+[10]Temporaries!P46-[10]Temporaries!BB46++[10]Temporaries!Q46-[10]Temporaries!AW46</f>
        <v>0.32982000000000011</v>
      </c>
      <c r="U54" s="391"/>
      <c r="V54" s="390"/>
      <c r="W54" s="325">
        <f>'[10]Rates in summary'!D46+[10]Temporaries!R46-[10]Temporaries!AZ46</f>
        <v>0.33068000000000003</v>
      </c>
      <c r="X54" s="493"/>
      <c r="Y54" s="566"/>
      <c r="Z54" s="325">
        <f>'[10]Rates in summary'!D46+[10]Permanents!F46</f>
        <v>0.33054000000000006</v>
      </c>
      <c r="AA54" s="493"/>
      <c r="AB54" s="566"/>
      <c r="AC54" s="567">
        <f>'[10]Rates in summary'!D46+[10]Temporaries!U46-[10]Temporaries!BE46</f>
        <v>0.33054000000000006</v>
      </c>
      <c r="AD54" s="504"/>
      <c r="AE54" s="568"/>
      <c r="AF54" s="325">
        <f>'[10]Rates in summary'!D46+[10]Temporaries!V46-[10]Temporaries!BF46</f>
        <v>0.33054000000000006</v>
      </c>
      <c r="AG54" s="493"/>
      <c r="AH54" s="566"/>
      <c r="AI54" s="325">
        <f>'[10]Rates in summary'!G46+[10]Temporaries!J46</f>
        <v>0.33054000000000006</v>
      </c>
      <c r="AJ54" s="493"/>
      <c r="AK54" s="569"/>
      <c r="AL54" s="325">
        <f>+'[10]Rates in summary'!Q46</f>
        <v>0.32996000000000003</v>
      </c>
      <c r="AM54" s="493"/>
      <c r="AN54" s="570"/>
      <c r="AO54" s="496"/>
      <c r="AP54" s="557"/>
      <c r="AQ54" s="495">
        <f t="shared" si="34"/>
        <v>0</v>
      </c>
      <c r="AR54" s="495">
        <f t="shared" si="35"/>
        <v>0</v>
      </c>
      <c r="AS54" s="495">
        <f t="shared" si="36"/>
        <v>-5.8000000000002494E-4</v>
      </c>
      <c r="AT54" s="495">
        <f t="shared" si="37"/>
        <v>-5.8000000000002494E-4</v>
      </c>
      <c r="AU54" s="243">
        <f>+'[10]Rates in summary'!D46+[10]Temporaries!K46+[10]Temporaries!M46+[10]Temporaries!L46-[10]Temporaries!AZ46</f>
        <v>0.32948000000000005</v>
      </c>
      <c r="AV54" s="500"/>
      <c r="AW54" s="571"/>
      <c r="AX54" s="325"/>
      <c r="AY54" s="325"/>
      <c r="AZ54" s="325"/>
      <c r="BA54" s="325"/>
    </row>
    <row r="55" spans="1:57" x14ac:dyDescent="0.35">
      <c r="A55" s="234">
        <f t="shared" si="33"/>
        <v>49</v>
      </c>
      <c r="B55" s="234"/>
      <c r="C55" s="344" t="s">
        <v>71</v>
      </c>
      <c r="D55" s="323">
        <f>+'[10]Washington volumes'!J47</f>
        <v>0</v>
      </c>
      <c r="E55" s="323">
        <v>600000</v>
      </c>
      <c r="F55" s="572"/>
      <c r="G55" s="493"/>
      <c r="H55" s="572"/>
      <c r="I55" s="493"/>
      <c r="J55" s="572"/>
      <c r="K55" s="493"/>
      <c r="L55" s="325">
        <f>+'[10]Rates in summary'!D47</f>
        <v>0.30097000000000007</v>
      </c>
      <c r="M55" s="493"/>
      <c r="N55" s="325">
        <f>'[10]Rates in summary'!D47+[10]Temporaries!K47+[10]Temporaries!L47+[10]Temporaries!M47-[10]Temporaries!AX47</f>
        <v>0.30097000000000007</v>
      </c>
      <c r="O55" s="493"/>
      <c r="P55" s="566"/>
      <c r="Q55" s="325">
        <f>'[10]Rates in summary'!D47+[10]Temporaries!N47+[10]Temporaries!O47-[10]Temporaries!AY47</f>
        <v>0.30097000000000007</v>
      </c>
      <c r="R55" s="493"/>
      <c r="S55" s="566"/>
      <c r="T55" s="392">
        <f>'[10]Rates in detail'!D47+[10]Temporaries!T47-[10]Temporaries!BD47+[10]Temporaries!S47-[10]Temporaries!BC47+[10]Temporaries!P47-[10]Temporaries!BB47++[10]Temporaries!Q47-[10]Temporaries!AW47</f>
        <v>0.30025000000000013</v>
      </c>
      <c r="U55" s="391"/>
      <c r="V55" s="390"/>
      <c r="W55" s="325">
        <f>'[10]Rates in summary'!D47+[10]Temporaries!R47-[10]Temporaries!AZ47</f>
        <v>0.30106000000000011</v>
      </c>
      <c r="X55" s="493"/>
      <c r="Y55" s="566"/>
      <c r="Z55" s="325">
        <f>'[10]Rates in summary'!D47+[10]Permanents!F47</f>
        <v>0.30097000000000007</v>
      </c>
      <c r="AA55" s="493"/>
      <c r="AB55" s="566"/>
      <c r="AC55" s="567">
        <f>'[10]Rates in summary'!D47+[10]Temporaries!U47-[10]Temporaries!BE47</f>
        <v>0.30097000000000007</v>
      </c>
      <c r="AD55" s="504"/>
      <c r="AE55" s="568"/>
      <c r="AF55" s="325">
        <f>'[10]Rates in summary'!D47+[10]Temporaries!V47-[10]Temporaries!BF47</f>
        <v>0.30097000000000007</v>
      </c>
      <c r="AG55" s="493"/>
      <c r="AH55" s="566"/>
      <c r="AI55" s="325">
        <f>'[10]Rates in summary'!G47+[10]Temporaries!J47</f>
        <v>0.30097000000000007</v>
      </c>
      <c r="AJ55" s="493"/>
      <c r="AK55" s="569"/>
      <c r="AL55" s="325">
        <f>+'[10]Rates in summary'!Q47</f>
        <v>0.30034000000000005</v>
      </c>
      <c r="AM55" s="493"/>
      <c r="AN55" s="570"/>
      <c r="AO55" s="496"/>
      <c r="AP55" s="557"/>
      <c r="AQ55" s="495">
        <f t="shared" si="34"/>
        <v>0</v>
      </c>
      <c r="AR55" s="495">
        <f t="shared" si="35"/>
        <v>0</v>
      </c>
      <c r="AS55" s="495">
        <f t="shared" si="36"/>
        <v>-6.3000000000001943E-4</v>
      </c>
      <c r="AT55" s="495">
        <f t="shared" si="37"/>
        <v>-6.3000000000001943E-4</v>
      </c>
      <c r="AU55" s="243">
        <f>+'[10]Rates in summary'!D47+[10]Temporaries!K47+[10]Temporaries!M47+[10]Temporaries!L47-[10]Temporaries!AZ47</f>
        <v>0.30026000000000008</v>
      </c>
      <c r="AV55" s="243"/>
      <c r="AW55" s="571"/>
      <c r="AX55" s="325"/>
      <c r="AY55" s="325"/>
      <c r="AZ55" s="325"/>
      <c r="BA55" s="325"/>
    </row>
    <row r="56" spans="1:57" x14ac:dyDescent="0.35">
      <c r="A56" s="234">
        <f t="shared" si="33"/>
        <v>50</v>
      </c>
      <c r="B56" s="234"/>
      <c r="C56" s="344" t="s">
        <v>72</v>
      </c>
      <c r="D56" s="323">
        <f>+'[10]Washington volumes'!J48</f>
        <v>0</v>
      </c>
      <c r="E56" s="525" t="s">
        <v>243</v>
      </c>
      <c r="F56" s="572"/>
      <c r="G56" s="493"/>
      <c r="H56" s="572"/>
      <c r="I56" s="493"/>
      <c r="J56" s="572"/>
      <c r="K56" s="493"/>
      <c r="L56" s="325">
        <f>+'[10]Rates in summary'!D48</f>
        <v>0.26403000000000004</v>
      </c>
      <c r="M56" s="493"/>
      <c r="N56" s="325">
        <f>'[10]Rates in summary'!D48+[10]Temporaries!K48+[10]Temporaries!L48+[10]Temporaries!M48-[10]Temporaries!AX48</f>
        <v>0.26403000000000004</v>
      </c>
      <c r="O56" s="493"/>
      <c r="P56" s="566"/>
      <c r="Q56" s="325">
        <f>'[10]Rates in summary'!D48+[10]Temporaries!N48+[10]Temporaries!O48-[10]Temporaries!AY48</f>
        <v>0.26403000000000004</v>
      </c>
      <c r="R56" s="493"/>
      <c r="S56" s="566"/>
      <c r="T56" s="392">
        <f>'[10]Rates in detail'!D48+[10]Temporaries!T48-[10]Temporaries!BD48+[10]Temporaries!S48-[10]Temporaries!BC48+[10]Temporaries!P48-[10]Temporaries!BB48++[10]Temporaries!Q48-[10]Temporaries!AW48</f>
        <v>0.26328000000000013</v>
      </c>
      <c r="U56" s="391"/>
      <c r="V56" s="390"/>
      <c r="W56" s="325">
        <f>'[10]Rates in summary'!D48+[10]Temporaries!R48-[10]Temporaries!AZ48</f>
        <v>0.26406000000000007</v>
      </c>
      <c r="X56" s="493"/>
      <c r="Y56" s="566"/>
      <c r="Z56" s="325">
        <f>'[10]Rates in summary'!D48+[10]Permanents!F48</f>
        <v>0.26403000000000004</v>
      </c>
      <c r="AA56" s="493"/>
      <c r="AB56" s="566"/>
      <c r="AC56" s="567">
        <f>'[10]Rates in summary'!D48+[10]Temporaries!U48-[10]Temporaries!BE48</f>
        <v>0.26403000000000004</v>
      </c>
      <c r="AD56" s="504"/>
      <c r="AE56" s="568"/>
      <c r="AF56" s="325">
        <f>'[10]Rates in summary'!D48+[10]Temporaries!V48-[10]Temporaries!BF48</f>
        <v>0.2640300000000001</v>
      </c>
      <c r="AG56" s="493"/>
      <c r="AH56" s="566"/>
      <c r="AI56" s="325">
        <f>'[10]Rates in summary'!G48+[10]Temporaries!J48</f>
        <v>0.26403000000000004</v>
      </c>
      <c r="AJ56" s="493"/>
      <c r="AK56" s="569"/>
      <c r="AL56" s="325">
        <f>+'[10]Rates in summary'!Q48</f>
        <v>0.26331000000000004</v>
      </c>
      <c r="AM56" s="493"/>
      <c r="AN56" s="570"/>
      <c r="AO56" s="496"/>
      <c r="AP56" s="557"/>
      <c r="AQ56" s="495">
        <f t="shared" si="34"/>
        <v>0</v>
      </c>
      <c r="AR56" s="495">
        <f t="shared" si="35"/>
        <v>0</v>
      </c>
      <c r="AS56" s="495">
        <f t="shared" si="36"/>
        <v>-7.1999999999999842E-4</v>
      </c>
      <c r="AT56" s="495">
        <f t="shared" si="37"/>
        <v>-7.1999999999999842E-4</v>
      </c>
      <c r="AU56" s="243">
        <f>+'[10]Rates in summary'!D48+[10]Temporaries!K48+[10]Temporaries!M48+[10]Temporaries!L48-[10]Temporaries!AZ48</f>
        <v>0.26376000000000005</v>
      </c>
      <c r="AV56" s="243"/>
      <c r="AW56" s="571"/>
      <c r="AX56" s="325"/>
      <c r="AY56" s="325"/>
      <c r="AZ56" s="325"/>
      <c r="BA56" s="325"/>
    </row>
    <row r="57" spans="1:57" x14ac:dyDescent="0.35">
      <c r="A57" s="234">
        <f t="shared" si="33"/>
        <v>51</v>
      </c>
      <c r="B57" s="338"/>
      <c r="C57" s="573" t="s">
        <v>27</v>
      </c>
      <c r="D57" s="574"/>
      <c r="E57" s="575"/>
      <c r="F57" s="576"/>
      <c r="G57" s="577"/>
      <c r="H57" s="576"/>
      <c r="I57" s="577"/>
      <c r="J57" s="576"/>
      <c r="K57" s="577"/>
      <c r="L57" s="578"/>
      <c r="M57" s="577">
        <f>$I51+ROUND(IF($F51&lt;$E51,($F51*L51),IF($F51&lt;SUM($E51:$E52),(($E51*L51)+(($F51-$E51)*L52)),IF($F51&lt;SUM($E51:$E53),(($E51*L51)+($E52*L52)+(($F51-$E51-$E52)*L53)),IF($F51&lt;SUM($E51:$E54),(($E51*L51)+($E52*L52)+($E53*L53)+(($F51-SUM($E51:$E53))*L54)),IF($F51&lt;SUM($E51:$E55),(($E51*L51)+($E52*L52)+($E53*L53)+($E54*L54)+(($F51-SUM($E51:$E54))*L55)),(($E51*L51)+($E52*L52)+($E53*L53)+($E54*L53)+($E55*L55)+(($F51-SUM($E51:$E55))*L56))))))),2)</f>
        <v>15708.620663486881</v>
      </c>
      <c r="N57" s="578"/>
      <c r="O57" s="577">
        <f>$I51+ROUND(IF($F51&lt;$E51,($F51*N51),IF($F51&lt;SUM($E51:$E52),(($E51*N51)+(($F51-$E51)*N52)),IF($F51&lt;SUM($E51:$E53),(($E51*N51)+($E52*N52)+(($F51-$E51-$E52)*N53)),IF($F51&lt;SUM($E51:$E54),(($E51*N51)+($E52*N52)+($E53*N53)+(($F51-SUM($E51:$E53))*N54)),IF($F51&lt;SUM($E51:$E55),(($E51*N51)+($E52*N52)+($E53*N53)+($E54*N54)+(($F51-SUM($E51:$E54))*N55)),(($E51*N51)+($E52*N52)+($E53*N53)+($E54*N53)+($E55*N55)+(($F51-SUM($E51:$E55))*N56))))))),2)</f>
        <v>15708.620663486881</v>
      </c>
      <c r="P57" s="579">
        <f>ROUND((O57-M57)/M57,3)</f>
        <v>0</v>
      </c>
      <c r="Q57" s="578"/>
      <c r="R57" s="577">
        <f>$I51+ROUND(IF($F51&lt;$E51,($F51*Q51),IF($F51&lt;SUM($E51:$E52),(($E51*Q51)+(($F51-$E51)*Q52)),IF($F51&lt;SUM($E51:$E53),(($E51*Q51)+($E52*Q52)+(($F51-$E51-$E52)*Q53)),IF($F51&lt;SUM($E51:$E54),(($E51*Q51)+($E52*Q52)+($E53*Q53)+(($F51-SUM($E51:$E53))*Q54)),IF($F51&lt;SUM($E51:$E55),(($E51*Q51)+($E52*Q52)+($E53*Q53)+($E54*Q54)+(($F51-SUM($E51:$E54))*Q55)),(($E51*Q51)+($E52*Q52)+($E53*Q53)+($E54*Q53)+($E55*Q55)+(($F51-SUM($E51:$E55))*Q56))))))),2)</f>
        <v>15708.620663486881</v>
      </c>
      <c r="S57" s="579">
        <f>ROUND((R57-M57)/M57,3)</f>
        <v>0</v>
      </c>
      <c r="T57" s="394"/>
      <c r="U57" s="388">
        <f>$I51+ROUND(IF($F51&lt;$E51,($F51*T51),IF($F51&lt;SUM($E51:$E52),(($E51*T51)+(($F51-$E51)*T52)),IF($F51&lt;SUM($E51:$E53),(($E51*T51)+($E52*T52)+(($F51-$E51-$E52)*T53)),IF($F51&lt;SUM($E51:$E54),(($E51*T51)+($E52*T52)+($E53*T53)+(($F51-SUM($E51:$E53))*T54)),IF($F51&lt;SUM($E51:$E55),(($E51*T51)+($E52*T52)+($E53*T53)+($E54*T54)+(($F51-SUM($E51:$E54))*T55)),(($E51*T51)+($E52*T52)+($E53*T53)+($E54*T53)+($E55*T55)+(($F51-SUM($E51:$E55))*T56))))))),2)</f>
        <v>15674.170663486881</v>
      </c>
      <c r="V57" s="387">
        <f>ROUND((U57-M57)/M57,3)</f>
        <v>-2E-3</v>
      </c>
      <c r="W57" s="578"/>
      <c r="X57" s="577">
        <f>$I51+ROUND(IF($F51&lt;$E51,($F51*W51),IF($F51&lt;SUM($E51:$E52),(($E51*W51)+(($F51-$E51)*W52)),IF($F51&lt;SUM($E51:$E53),(($E51*W51)+($E52*W52)+(($F51-$E51-$E52)*W53)),IF($F51&lt;SUM($E51:$E54),(($E51*W51)+($E52*W52)+($E53*W53)+(($F51-SUM($E51:$E53))*W54)),IF($F51&lt;SUM($E51:$E55),(($E51*W51)+($E52*W52)+($E53*W53)+($E54*W54)+(($F51-SUM($E51:$E54))*W55)),(($E51*W51)+($E52*W52)+($E53*W53)+($E54*W53)+($E55*W55)+(($F51-SUM($E51:$E55))*W56))))))),2)</f>
        <v>15719.430663486883</v>
      </c>
      <c r="Y57" s="579">
        <f>(X57-M57)/M57</f>
        <v>6.8815717379490068E-4</v>
      </c>
      <c r="Z57" s="578"/>
      <c r="AA57" s="577">
        <f>$I51+ROUND(IF($F51&lt;$E51,($F51*Z51),IF($F51&lt;SUM($E51:$E52),(($E51*Z51)+(($F51-$E51)*Z52)),IF($F51&lt;SUM($E51:$E53),(($E51*Z51)+($E52*Z52)+(($F51-$E51-$E52)*Z53)),IF($F51&lt;SUM($E51:$E54),(($E51*Z51)+($E52*Z52)+($E53*Z53)+(($F51-SUM($E51:$E53))*Z54)),IF($F51&lt;SUM($E51:$E55),(($E51*Z51)+($E52*Z52)+($E53*Z53)+($E54*Z54)+(($F51-SUM($E51:$E54))*Z55)),(($E51*Z51)+($E52*Z52)+($E53*Z53)+($E54*Z53)+($E55*Z55)+(($F51-SUM($E51:$E55))*Z56))))))),2)</f>
        <v>15708.620663486881</v>
      </c>
      <c r="AB57" s="579">
        <f>(AA57-M57)/M57</f>
        <v>0</v>
      </c>
      <c r="AC57" s="580"/>
      <c r="AD57" s="581">
        <f>$I51+ROUND(IF($F51&lt;$E51,($F51*AC51),IF($F51&lt;SUM($E51:$E52),(($E51*AC51)+(($F51-$E51)*AC52)),IF($F51&lt;SUM($E51:$E53),(($E51*AC51)+($E52*AC52)+(($F51-$E51-$E52)*AC53)),IF($F51&lt;SUM($E51:$E54),(($E51*AC51)+($E52*AC52)+($E53*AC53)+(($F51-SUM($E51:$E53))*AC54)),IF($F51&lt;SUM($E51:$E55),(($E51*AC51)+($E52*AC52)+($E53*AC53)+($E54*AC54)+(($F51-SUM($E51:$E54))*AC55)),(($E51*AC51)+($E52*AC52)+($E53*AC53)+($E54*AC53)+($E55*AC55)+(($F51-SUM($E51:$E55))*AC56))))))),2)</f>
        <v>15708.620663486881</v>
      </c>
      <c r="AE57" s="582">
        <f>(AD57-M57)/M57</f>
        <v>0</v>
      </c>
      <c r="AF57" s="578"/>
      <c r="AG57" s="577">
        <f>$K51+ROUND(IF($F51&lt;$E51,($F51*AF51),IF($F51&lt;SUM($E51:$E52),(($E51*AF51)+(($F51-$E51)*AF52)),IF($F51&lt;SUM($E51:$E53),(($E51*AF51)+($E52*AF52)+(($F51-$E51-$E52)*AF53)),IF($F51&lt;SUM($E51:$E54),(($E51*AF51)+($E52*AF52)+($E53*AF53)+(($F51-SUM($E51:$E53))*AF54)),IF($F51&lt;SUM($E51:$E55),(($E51*AF51)+($E52*AF52)+($E53*AF53)+($E54*AF54)+(($F51-SUM($E51:$E54))*AF55)),(($E51*AF51)+($E52*AF52)+($E53*AF53)+($E54*AF53)+($E55*AF55)+(($F51-SUM($E51:$E55))*AF56))))))),2)</f>
        <v>15708.620663486881</v>
      </c>
      <c r="AH57" s="579">
        <f>(AG57-M57)/M57</f>
        <v>0</v>
      </c>
      <c r="AI57" s="578"/>
      <c r="AJ57" s="577">
        <f>$I51+ROUND(IF($F51&lt;$E51,($F51*AI51),IF($F51&lt;SUM($E51:$E52),(($E51*AI51)+(($F51-$E51)*AI52)),IF($F51&lt;SUM($E51:$E53),(($E51*AI51)+($E52*AI52)+(($F51-$E51-$E52)*AI53)),IF($F51&lt;SUM($E51:$E54),(($E51*AI51)+($E52*AI52)+($E53*AI53)+(($F51-SUM($E51:$E53))*AI54)),IF($F51&lt;SUM($E51:$E55),(($E51*AI51)+($E52*AI52)+($E53*AI53)+($E54*AI54)+(($F51-SUM($E51:$E54))*AI55)),(($E51*AI51)+($E52*AI52)+($E53*AI53)+($E54*AI53)+($E55*AI55)+(($F51-SUM($E51:$E55))*AI56))))))),2)</f>
        <v>15708.620663486881</v>
      </c>
      <c r="AK57" s="594">
        <f>ROUND((AJ57-M57)/M57,3)</f>
        <v>0</v>
      </c>
      <c r="AL57" s="578"/>
      <c r="AM57" s="577">
        <f>$K51+ROUND(IF($F51&lt;$E51,($F51*AL51),IF($F51&lt;SUM($E51:$E52),(($E51*AL51)+(($F51-$E51)*AL52)),IF($F51&lt;SUM($E51:$E53),(($E51*AL51)+($E52*AL52)+(($F51-$E51-$E52)*AL53)),IF($F51&lt;SUM($E51:$E54),(($E51*AL51)+($E52*AL52)+($E53*AL53)+(($F51-SUM($E51:$E53))*AL54)),IF($F51&lt;SUM($E51:$E55),(($E51*AL51)+($E52*AL52)+($E53*AL53)+($E54*AL54)+(($F51-SUM($E51:$E54))*AL55)),(($E51*AL51)+($E52*AL52)+($E53*AL53)+($E54*AL53)+($E55*AL55)+(($F51-SUM($E51:$E55))*AL56))))))),2)</f>
        <v>15684.970663486883</v>
      </c>
      <c r="AN57" s="594">
        <f>ROUND((AM57-M57)/M57,3)</f>
        <v>-2E-3</v>
      </c>
      <c r="AO57" s="496"/>
      <c r="AP57" s="557"/>
      <c r="AQ57" s="495">
        <f t="shared" si="34"/>
        <v>0</v>
      </c>
      <c r="AR57" s="495">
        <f t="shared" si="35"/>
        <v>0</v>
      </c>
      <c r="AS57" s="495">
        <f t="shared" si="36"/>
        <v>0</v>
      </c>
      <c r="AT57" s="495">
        <f t="shared" si="37"/>
        <v>0</v>
      </c>
      <c r="AU57" s="583"/>
      <c r="AV57" s="584">
        <f>$I51+ROUND(IF($F51&lt;$E51,($F51*AU51),IF($F51&lt;SUM($E51:$E52),(($E51*AU51)+(($F51-$E51)*AU52)),IF($F51&lt;SUM($E51:$E53),(($E51*AU51)+($E52*AU52)+(($F51-$E51-$E52)*AU53)),IF($F51&lt;SUM($E51:$E54),(($E51*AU51)+($E52*AU52)+($E53*AU53)+(($F51-SUM($E51:$E53))*AU54)),IF($F51&lt;SUM($E51:$E55),(($E51*AU51)+($E52*AU52)+($E53*AU53)+($E54*AU54)+(($F51-SUM($E51:$E54))*AU55)),(($E51*AU51)+($E52*AU52)+($E53*AU53)+($E54*AU53)+($E55*AU55)+(($F51-SUM($E51:$E55))*AU56))))))),2)</f>
        <v>15626.570663486882</v>
      </c>
      <c r="AW57" s="585">
        <f>ROUND((AV57-M57)/M57,3)</f>
        <v>-5.0000000000000001E-3</v>
      </c>
      <c r="AX57" s="325"/>
      <c r="AY57" s="325"/>
      <c r="AZ57" s="325"/>
      <c r="BA57" s="325"/>
      <c r="BB57" s="596"/>
      <c r="BC57" s="597"/>
      <c r="BD57" s="597"/>
      <c r="BE57" s="597"/>
    </row>
    <row r="58" spans="1:57" x14ac:dyDescent="0.35">
      <c r="A58" s="234">
        <f t="shared" si="33"/>
        <v>52</v>
      </c>
      <c r="B58" s="234" t="s">
        <v>75</v>
      </c>
      <c r="C58" s="344" t="s">
        <v>61</v>
      </c>
      <c r="D58" s="323">
        <f>+'[10]Washington volumes'!J49</f>
        <v>933451.95163091726</v>
      </c>
      <c r="E58" s="323">
        <v>10000</v>
      </c>
      <c r="F58" s="572">
        <v>63374</v>
      </c>
      <c r="G58" s="493">
        <f>1300+250</f>
        <v>1550</v>
      </c>
      <c r="H58" s="493">
        <f>'[33]Aver Bill by RS'!$J58</f>
        <v>3945.7691048183847</v>
      </c>
      <c r="I58" s="493">
        <f>G58-(IF(H58&gt;(F58*$H$3),(F58*$H$3),H58))</f>
        <v>-2395.7691048183847</v>
      </c>
      <c r="J58" s="493">
        <f>'[33]Aver Bill by RS'!$J58</f>
        <v>3945.7691048183847</v>
      </c>
      <c r="K58" s="493">
        <f>G58-(IF(J58&gt;($F58*$H$4),($F58*$H$4),J58))</f>
        <v>-2395.7691048183847</v>
      </c>
      <c r="L58" s="325">
        <f>+'[10]Rates in summary'!D49</f>
        <v>0.40095999999999998</v>
      </c>
      <c r="M58" s="493"/>
      <c r="N58" s="325">
        <f>'[10]Rates in summary'!D49+[10]Temporaries!K49+[10]Temporaries!L49+[10]Temporaries!M49-[10]Temporaries!AX49</f>
        <v>0.40095999999999998</v>
      </c>
      <c r="O58" s="493"/>
      <c r="P58" s="566"/>
      <c r="Q58" s="325">
        <f>'[10]Rates in summary'!D49+[10]Temporaries!N49+[10]Temporaries!O49-[10]Temporaries!AY49</f>
        <v>0.40095999999999998</v>
      </c>
      <c r="R58" s="493"/>
      <c r="S58" s="566"/>
      <c r="T58" s="392">
        <f>'[10]Rates in detail'!D49+[10]Temporaries!T49-[10]Temporaries!BD49+[10]Temporaries!S49-[10]Temporaries!BC49+[10]Temporaries!P49-[10]Temporaries!BB49++[10]Temporaries!Q49-[10]Temporaries!AW49</f>
        <v>0.40032000000000006</v>
      </c>
      <c r="U58" s="391"/>
      <c r="V58" s="390"/>
      <c r="W58" s="325">
        <f>'[10]Rates in summary'!D49+[10]Temporaries!R49-[10]Temporaries!AZ49</f>
        <v>0.40120999999999996</v>
      </c>
      <c r="X58" s="493"/>
      <c r="Y58" s="566"/>
      <c r="Z58" s="325">
        <f>'[10]Rates in summary'!D49+[10]Permanents!F49</f>
        <v>0.40095999999999998</v>
      </c>
      <c r="AA58" s="493"/>
      <c r="AB58" s="566"/>
      <c r="AC58" s="567">
        <f>'[10]Rates in summary'!D49+[10]Temporaries!U49-[10]Temporaries!BE49</f>
        <v>0.40095999999999998</v>
      </c>
      <c r="AD58" s="504"/>
      <c r="AE58" s="568"/>
      <c r="AF58" s="325">
        <f>'[10]Rates in summary'!D49+[10]Temporaries!V49-[10]Temporaries!BF49</f>
        <v>0.40095999999999998</v>
      </c>
      <c r="AG58" s="493"/>
      <c r="AH58" s="566"/>
      <c r="AI58" s="325">
        <f>'[10]Rates in summary'!G49+[10]Temporaries!J49</f>
        <v>0.40095999999999998</v>
      </c>
      <c r="AJ58" s="493"/>
      <c r="AK58" s="566"/>
      <c r="AL58" s="325">
        <f>+'[10]Rates in summary'!Q49</f>
        <v>0.40056999999999998</v>
      </c>
      <c r="AM58" s="493"/>
      <c r="AN58" s="570"/>
      <c r="AO58" s="496"/>
      <c r="AP58" s="557"/>
      <c r="AQ58" s="495">
        <f t="shared" si="34"/>
        <v>0</v>
      </c>
      <c r="AR58" s="495">
        <f t="shared" si="35"/>
        <v>0</v>
      </c>
      <c r="AS58" s="495">
        <f t="shared" si="36"/>
        <v>-3.9000000000000146E-4</v>
      </c>
      <c r="AT58" s="495">
        <f t="shared" si="37"/>
        <v>-3.9000000000000146E-4</v>
      </c>
      <c r="AU58" s="243">
        <f>+'[10]Rates in summary'!D49+[10]Temporaries!K49+[10]Temporaries!M49+[10]Temporaries!L49-[10]Temporaries!AZ49</f>
        <v>0.39889999999999998</v>
      </c>
      <c r="AV58" s="500"/>
      <c r="AW58" s="571"/>
      <c r="AX58" s="325"/>
      <c r="AY58" s="325"/>
      <c r="AZ58" s="325"/>
      <c r="BA58" s="325"/>
      <c r="BB58" s="596"/>
      <c r="BC58" s="597"/>
      <c r="BD58" s="597"/>
      <c r="BE58" s="597"/>
    </row>
    <row r="59" spans="1:57" x14ac:dyDescent="0.35">
      <c r="A59" s="234">
        <f t="shared" si="33"/>
        <v>53</v>
      </c>
      <c r="B59" s="234"/>
      <c r="C59" s="344" t="s">
        <v>62</v>
      </c>
      <c r="D59" s="323">
        <f>+'[10]Washington volumes'!J50</f>
        <v>1354331.8549391942</v>
      </c>
      <c r="E59" s="323">
        <v>20000</v>
      </c>
      <c r="F59" s="572"/>
      <c r="G59" s="493"/>
      <c r="H59" s="572"/>
      <c r="I59" s="493"/>
      <c r="J59" s="572"/>
      <c r="K59" s="493"/>
      <c r="L59" s="325">
        <f>+'[10]Rates in summary'!D50</f>
        <v>0.38426999999999989</v>
      </c>
      <c r="M59" s="493"/>
      <c r="N59" s="325">
        <f>'[10]Rates in summary'!D50+[10]Temporaries!K50+[10]Temporaries!L50+[10]Temporaries!M50-[10]Temporaries!AX50</f>
        <v>0.38426999999999989</v>
      </c>
      <c r="O59" s="493"/>
      <c r="P59" s="566"/>
      <c r="Q59" s="325">
        <f>'[10]Rates in summary'!D50+[10]Temporaries!N50+[10]Temporaries!O50-[10]Temporaries!AY50</f>
        <v>0.38426999999999989</v>
      </c>
      <c r="R59" s="493"/>
      <c r="S59" s="566"/>
      <c r="T59" s="392">
        <f>'[10]Rates in detail'!D50+[10]Temporaries!T50-[10]Temporaries!BD50+[10]Temporaries!S50-[10]Temporaries!BC50+[10]Temporaries!P50-[10]Temporaries!BB50++[10]Temporaries!Q50-[10]Temporaries!AW50</f>
        <v>0.38361999999999996</v>
      </c>
      <c r="U59" s="391"/>
      <c r="V59" s="390"/>
      <c r="W59" s="325">
        <f>'[10]Rates in summary'!D50+[10]Temporaries!R50-[10]Temporaries!AZ50</f>
        <v>0.3844999999999999</v>
      </c>
      <c r="X59" s="493"/>
      <c r="Y59" s="566"/>
      <c r="Z59" s="325">
        <f>'[10]Rates in summary'!D50+[10]Permanents!F50</f>
        <v>0.38426999999999989</v>
      </c>
      <c r="AA59" s="493"/>
      <c r="AB59" s="566"/>
      <c r="AC59" s="567">
        <f>'[10]Rates in summary'!D50+[10]Temporaries!U50-[10]Temporaries!BE50</f>
        <v>0.38426999999999989</v>
      </c>
      <c r="AD59" s="504"/>
      <c r="AE59" s="568"/>
      <c r="AF59" s="325">
        <f>'[10]Rates in summary'!D50+[10]Temporaries!V50-[10]Temporaries!BF50</f>
        <v>0.38426999999999989</v>
      </c>
      <c r="AG59" s="493"/>
      <c r="AH59" s="566"/>
      <c r="AI59" s="325">
        <f>'[10]Rates in summary'!G50+[10]Temporaries!J50</f>
        <v>0.38426999999999989</v>
      </c>
      <c r="AJ59" s="493"/>
      <c r="AK59" s="566"/>
      <c r="AL59" s="325">
        <f>+'[10]Rates in summary'!Q50</f>
        <v>0.38384999999999991</v>
      </c>
      <c r="AM59" s="493"/>
      <c r="AN59" s="570"/>
      <c r="AO59" s="496"/>
      <c r="AP59" s="557"/>
      <c r="AQ59" s="495">
        <f t="shared" si="34"/>
        <v>0</v>
      </c>
      <c r="AR59" s="495">
        <f t="shared" si="35"/>
        <v>0</v>
      </c>
      <c r="AS59" s="495">
        <f t="shared" si="36"/>
        <v>-4.1999999999997595E-4</v>
      </c>
      <c r="AT59" s="495">
        <f t="shared" si="37"/>
        <v>-4.1999999999997595E-4</v>
      </c>
      <c r="AU59" s="243">
        <f>+'[10]Rates in summary'!D50+[10]Temporaries!K50+[10]Temporaries!M50+[10]Temporaries!L50-[10]Temporaries!AZ50</f>
        <v>0.38242999999999988</v>
      </c>
      <c r="AV59" s="500"/>
      <c r="AW59" s="571"/>
      <c r="AX59" s="325"/>
      <c r="AY59" s="325"/>
      <c r="AZ59" s="325"/>
      <c r="BA59" s="325"/>
      <c r="BB59" s="596"/>
      <c r="BC59" s="597"/>
      <c r="BD59" s="597"/>
      <c r="BE59" s="597"/>
    </row>
    <row r="60" spans="1:57" x14ac:dyDescent="0.35">
      <c r="A60" s="234">
        <f t="shared" si="33"/>
        <v>54</v>
      </c>
      <c r="B60" s="234"/>
      <c r="C60" s="344" t="s">
        <v>69</v>
      </c>
      <c r="D60" s="323">
        <f>+'[10]Washington volumes'!J51</f>
        <v>1182764.9803330612</v>
      </c>
      <c r="E60" s="323">
        <v>20000</v>
      </c>
      <c r="F60" s="572"/>
      <c r="G60" s="493"/>
      <c r="H60" s="572"/>
      <c r="I60" s="493"/>
      <c r="J60" s="572"/>
      <c r="K60" s="493"/>
      <c r="L60" s="325">
        <f>+'[10]Rates in summary'!D51</f>
        <v>0.35105000000000003</v>
      </c>
      <c r="M60" s="493"/>
      <c r="N60" s="325">
        <f>'[10]Rates in summary'!D51+[10]Temporaries!K51+[10]Temporaries!L51+[10]Temporaries!M51-[10]Temporaries!AX51</f>
        <v>0.35105000000000003</v>
      </c>
      <c r="O60" s="493"/>
      <c r="P60" s="566"/>
      <c r="Q60" s="325">
        <f>'[10]Rates in summary'!D51+[10]Temporaries!N51+[10]Temporaries!O51-[10]Temporaries!AY51</f>
        <v>0.35105000000000003</v>
      </c>
      <c r="R60" s="493"/>
      <c r="S60" s="566"/>
      <c r="T60" s="392">
        <f>'[10]Rates in detail'!D51+[10]Temporaries!T51-[10]Temporaries!BD51+[10]Temporaries!S51-[10]Temporaries!BC51+[10]Temporaries!P51-[10]Temporaries!BB51++[10]Temporaries!Q51-[10]Temporaries!AW51</f>
        <v>0.35038000000000008</v>
      </c>
      <c r="U60" s="391"/>
      <c r="V60" s="390"/>
      <c r="W60" s="325">
        <f>'[10]Rates in summary'!D51+[10]Temporaries!R51-[10]Temporaries!AZ51</f>
        <v>0.35122999999999999</v>
      </c>
      <c r="X60" s="493"/>
      <c r="Y60" s="566"/>
      <c r="Z60" s="325">
        <f>'[10]Rates in summary'!D51+[10]Permanents!F51</f>
        <v>0.35105000000000003</v>
      </c>
      <c r="AA60" s="493"/>
      <c r="AB60" s="566"/>
      <c r="AC60" s="567">
        <f>'[10]Rates in summary'!D51+[10]Temporaries!U51-[10]Temporaries!BE51</f>
        <v>0.35105000000000003</v>
      </c>
      <c r="AD60" s="504"/>
      <c r="AE60" s="568"/>
      <c r="AF60" s="325">
        <f>'[10]Rates in summary'!D51+[10]Temporaries!V51-[10]Temporaries!BF51</f>
        <v>0.35104999999999997</v>
      </c>
      <c r="AG60" s="493"/>
      <c r="AH60" s="566"/>
      <c r="AI60" s="325">
        <f>'[10]Rates in summary'!G51+[10]Temporaries!J51</f>
        <v>0.35105000000000003</v>
      </c>
      <c r="AJ60" s="493"/>
      <c r="AK60" s="566"/>
      <c r="AL60" s="325">
        <f>+'[10]Rates in summary'!Q51</f>
        <v>0.35056000000000004</v>
      </c>
      <c r="AM60" s="493"/>
      <c r="AN60" s="570"/>
      <c r="AO60" s="496"/>
      <c r="AP60" s="557"/>
      <c r="AQ60" s="495">
        <f t="shared" si="34"/>
        <v>0</v>
      </c>
      <c r="AR60" s="495">
        <f t="shared" si="35"/>
        <v>0</v>
      </c>
      <c r="AS60" s="495">
        <f t="shared" si="36"/>
        <v>-4.8999999999999044E-4</v>
      </c>
      <c r="AT60" s="495">
        <f t="shared" si="37"/>
        <v>-4.8999999999999044E-4</v>
      </c>
      <c r="AU60" s="243">
        <f>+'[10]Rates in summary'!D51+[10]Temporaries!K51+[10]Temporaries!M51+[10]Temporaries!L51-[10]Temporaries!AZ51</f>
        <v>0.34964000000000001</v>
      </c>
      <c r="AV60" s="500"/>
      <c r="AW60" s="571"/>
      <c r="AX60" s="325"/>
      <c r="AY60" s="325"/>
      <c r="AZ60" s="325"/>
      <c r="BA60" s="325"/>
      <c r="BB60" s="596"/>
      <c r="BC60" s="597"/>
      <c r="BD60" s="597"/>
      <c r="BE60" s="597"/>
    </row>
    <row r="61" spans="1:57" x14ac:dyDescent="0.35">
      <c r="A61" s="234">
        <f t="shared" si="33"/>
        <v>55</v>
      </c>
      <c r="B61" s="234"/>
      <c r="C61" s="344" t="s">
        <v>70</v>
      </c>
      <c r="D61" s="323">
        <f>+'[10]Washington volumes'!J52</f>
        <v>2743941.1371104051</v>
      </c>
      <c r="E61" s="323">
        <v>100000</v>
      </c>
      <c r="F61" s="572"/>
      <c r="G61" s="493"/>
      <c r="H61" s="572"/>
      <c r="I61" s="493"/>
      <c r="J61" s="572"/>
      <c r="K61" s="493"/>
      <c r="L61" s="325">
        <f>+'[10]Rates in summary'!D52</f>
        <v>0.32922000000000012</v>
      </c>
      <c r="M61" s="493"/>
      <c r="N61" s="325">
        <f>'[10]Rates in summary'!D52+[10]Temporaries!K52+[10]Temporaries!L52+[10]Temporaries!M52-[10]Temporaries!AX52</f>
        <v>0.32922000000000012</v>
      </c>
      <c r="O61" s="493"/>
      <c r="P61" s="566"/>
      <c r="Q61" s="325">
        <f>'[10]Rates in summary'!D52+[10]Temporaries!N52+[10]Temporaries!O52-[10]Temporaries!AY52</f>
        <v>0.32922000000000012</v>
      </c>
      <c r="R61" s="493"/>
      <c r="S61" s="566"/>
      <c r="T61" s="392">
        <f>'[10]Rates in detail'!D52+[10]Temporaries!T52-[10]Temporaries!BD52+[10]Temporaries!S52-[10]Temporaries!BC52+[10]Temporaries!P52-[10]Temporaries!BB52++[10]Temporaries!Q52-[10]Temporaries!AW52</f>
        <v>0.32853000000000016</v>
      </c>
      <c r="U61" s="391"/>
      <c r="V61" s="390"/>
      <c r="W61" s="325">
        <f>'[10]Rates in summary'!D52+[10]Temporaries!R52-[10]Temporaries!AZ52</f>
        <v>0.3293600000000001</v>
      </c>
      <c r="X61" s="493"/>
      <c r="Y61" s="566"/>
      <c r="Z61" s="325">
        <f>'[10]Rates in summary'!D52+[10]Permanents!F52</f>
        <v>0.32922000000000012</v>
      </c>
      <c r="AA61" s="493"/>
      <c r="AB61" s="566"/>
      <c r="AC61" s="567">
        <f>'[10]Rates in summary'!D52+[10]Temporaries!U52-[10]Temporaries!BE52</f>
        <v>0.32922000000000012</v>
      </c>
      <c r="AD61" s="504"/>
      <c r="AE61" s="568"/>
      <c r="AF61" s="325">
        <f>'[10]Rates in summary'!D52+[10]Temporaries!V52-[10]Temporaries!BF52</f>
        <v>0.32922000000000018</v>
      </c>
      <c r="AG61" s="493"/>
      <c r="AH61" s="566"/>
      <c r="AI61" s="325">
        <f>'[10]Rates in summary'!G52+[10]Temporaries!J52</f>
        <v>0.32922000000000012</v>
      </c>
      <c r="AJ61" s="493"/>
      <c r="AK61" s="566"/>
      <c r="AL61" s="325">
        <f>+'[10]Rates in summary'!Q52</f>
        <v>0.32867000000000013</v>
      </c>
      <c r="AM61" s="493"/>
      <c r="AN61" s="570"/>
      <c r="AO61" s="496"/>
      <c r="AP61" s="557"/>
      <c r="AQ61" s="495">
        <f t="shared" si="34"/>
        <v>0</v>
      </c>
      <c r="AR61" s="495">
        <f t="shared" si="35"/>
        <v>0</v>
      </c>
      <c r="AS61" s="495">
        <f t="shared" si="36"/>
        <v>-5.4999999999999494E-4</v>
      </c>
      <c r="AT61" s="495">
        <f t="shared" si="37"/>
        <v>-5.4999999999999494E-4</v>
      </c>
      <c r="AU61" s="243">
        <f>+'[10]Rates in summary'!D52+[10]Temporaries!K52+[10]Temporaries!M52+[10]Temporaries!L52-[10]Temporaries!AZ52</f>
        <v>0.3280900000000001</v>
      </c>
      <c r="AV61" s="500"/>
      <c r="AW61" s="571"/>
      <c r="AX61" s="325"/>
      <c r="AY61" s="325"/>
      <c r="AZ61" s="325"/>
      <c r="BA61" s="325"/>
      <c r="BB61" s="596"/>
      <c r="BC61" s="597"/>
      <c r="BD61" s="597"/>
      <c r="BE61" s="597"/>
    </row>
    <row r="62" spans="1:57" x14ac:dyDescent="0.35">
      <c r="A62" s="234">
        <f t="shared" si="33"/>
        <v>56</v>
      </c>
      <c r="B62" s="234"/>
      <c r="C62" s="344" t="s">
        <v>71</v>
      </c>
      <c r="D62" s="323">
        <f>+'[10]Washington volumes'!J53</f>
        <v>1030133.9063092957</v>
      </c>
      <c r="E62" s="323">
        <v>600000</v>
      </c>
      <c r="F62" s="572"/>
      <c r="G62" s="493"/>
      <c r="H62" s="572"/>
      <c r="I62" s="493"/>
      <c r="J62" s="572"/>
      <c r="K62" s="493"/>
      <c r="L62" s="325">
        <f>+'[10]Rates in summary'!D53</f>
        <v>0.30008999999999997</v>
      </c>
      <c r="M62" s="493"/>
      <c r="N62" s="325">
        <f>'[10]Rates in summary'!D53+[10]Temporaries!K53+[10]Temporaries!L53+[10]Temporaries!M53-[10]Temporaries!AX53</f>
        <v>0.30008999999999997</v>
      </c>
      <c r="O62" s="493"/>
      <c r="P62" s="566"/>
      <c r="Q62" s="325">
        <f>'[10]Rates in summary'!D53+[10]Temporaries!N53+[10]Temporaries!O53-[10]Temporaries!AY53</f>
        <v>0.30008999999999997</v>
      </c>
      <c r="R62" s="493"/>
      <c r="S62" s="566"/>
      <c r="T62" s="392">
        <f>'[10]Rates in detail'!D53+[10]Temporaries!T53-[10]Temporaries!BD53+[10]Temporaries!S53-[10]Temporaries!BC53+[10]Temporaries!P53-[10]Temporaries!BB53++[10]Temporaries!Q53-[10]Temporaries!AW53</f>
        <v>0.29938000000000003</v>
      </c>
      <c r="U62" s="391"/>
      <c r="V62" s="390"/>
      <c r="W62" s="325">
        <f>'[10]Rates in summary'!D53+[10]Temporaries!R53-[10]Temporaries!AZ53</f>
        <v>0.30019000000000001</v>
      </c>
      <c r="X62" s="493"/>
      <c r="Y62" s="566"/>
      <c r="Z62" s="325">
        <f>'[10]Rates in summary'!D53+[10]Permanents!F53</f>
        <v>0.30008999999999997</v>
      </c>
      <c r="AA62" s="493"/>
      <c r="AB62" s="566"/>
      <c r="AC62" s="567">
        <f>'[10]Rates in summary'!D53+[10]Temporaries!U53-[10]Temporaries!BE53</f>
        <v>0.30008999999999997</v>
      </c>
      <c r="AD62" s="504"/>
      <c r="AE62" s="568"/>
      <c r="AF62" s="325">
        <f>'[10]Rates in summary'!D53+[10]Temporaries!V53-[10]Temporaries!BF53</f>
        <v>0.30008999999999997</v>
      </c>
      <c r="AG62" s="493"/>
      <c r="AH62" s="566"/>
      <c r="AI62" s="325">
        <f>'[10]Rates in summary'!G53+[10]Temporaries!J53</f>
        <v>0.30008999999999997</v>
      </c>
      <c r="AJ62" s="493"/>
      <c r="AK62" s="566"/>
      <c r="AL62" s="325">
        <f>+'[10]Rates in summary'!Q53</f>
        <v>0.29947999999999997</v>
      </c>
      <c r="AM62" s="493"/>
      <c r="AN62" s="570"/>
      <c r="AO62" s="496"/>
      <c r="AP62" s="557"/>
      <c r="AQ62" s="495">
        <f t="shared" si="34"/>
        <v>0</v>
      </c>
      <c r="AR62" s="495">
        <f t="shared" si="35"/>
        <v>0</v>
      </c>
      <c r="AS62" s="495">
        <f t="shared" si="36"/>
        <v>-6.0999999999999943E-4</v>
      </c>
      <c r="AT62" s="495">
        <f t="shared" si="37"/>
        <v>-6.0999999999999943E-4</v>
      </c>
      <c r="AU62" s="243">
        <f>+'[10]Rates in summary'!D53+[10]Temporaries!K53+[10]Temporaries!M53+[10]Temporaries!L53-[10]Temporaries!AZ53</f>
        <v>0.29933999999999999</v>
      </c>
      <c r="AV62" s="243"/>
      <c r="AW62" s="571"/>
      <c r="AX62" s="325"/>
      <c r="AY62" s="325"/>
      <c r="AZ62" s="325"/>
      <c r="BA62" s="325"/>
      <c r="BB62" s="596"/>
      <c r="BC62" s="597"/>
      <c r="BD62" s="597"/>
      <c r="BE62" s="597"/>
    </row>
    <row r="63" spans="1:57" x14ac:dyDescent="0.35">
      <c r="A63" s="234">
        <f t="shared" si="33"/>
        <v>57</v>
      </c>
      <c r="B63" s="234"/>
      <c r="C63" s="344" t="s">
        <v>72</v>
      </c>
      <c r="D63" s="323">
        <f>+'[10]Washington volumes'!J54</f>
        <v>0</v>
      </c>
      <c r="E63" s="525" t="s">
        <v>243</v>
      </c>
      <c r="F63" s="572"/>
      <c r="G63" s="493"/>
      <c r="H63" s="572"/>
      <c r="I63" s="493"/>
      <c r="J63" s="572"/>
      <c r="K63" s="493"/>
      <c r="L63" s="325">
        <f>+'[10]Rates in summary'!D54</f>
        <v>0.26369000000000009</v>
      </c>
      <c r="M63" s="493"/>
      <c r="N63" s="325">
        <f>'[10]Rates in summary'!D54+[10]Temporaries!K54+[10]Temporaries!L54+[10]Temporaries!M54-[10]Temporaries!AX54</f>
        <v>0.26369000000000009</v>
      </c>
      <c r="O63" s="493"/>
      <c r="P63" s="566"/>
      <c r="Q63" s="325">
        <f>'[10]Rates in summary'!D54+[10]Temporaries!N54+[10]Temporaries!O54-[10]Temporaries!AY54</f>
        <v>0.26369000000000009</v>
      </c>
      <c r="R63" s="493"/>
      <c r="S63" s="566"/>
      <c r="T63" s="392">
        <f>'[10]Rates in detail'!D54+[10]Temporaries!T54-[10]Temporaries!BD54+[10]Temporaries!S54-[10]Temporaries!BC54+[10]Temporaries!P54-[10]Temporaries!BB54++[10]Temporaries!Q54-[10]Temporaries!AW54</f>
        <v>0.26296000000000014</v>
      </c>
      <c r="U63" s="391"/>
      <c r="V63" s="390"/>
      <c r="W63" s="325">
        <f>'[10]Rates in summary'!D54+[10]Temporaries!R54-[10]Temporaries!AZ54</f>
        <v>0.26373000000000008</v>
      </c>
      <c r="X63" s="493"/>
      <c r="Y63" s="566"/>
      <c r="Z63" s="325">
        <f>'[10]Rates in summary'!D54+[10]Permanents!F54</f>
        <v>0.26369000000000009</v>
      </c>
      <c r="AA63" s="493"/>
      <c r="AB63" s="566"/>
      <c r="AC63" s="567">
        <f>'[10]Rates in summary'!D54+[10]Temporaries!U54-[10]Temporaries!BE54</f>
        <v>0.26369000000000009</v>
      </c>
      <c r="AD63" s="504"/>
      <c r="AE63" s="568"/>
      <c r="AF63" s="325">
        <f>'[10]Rates in summary'!D54+[10]Temporaries!V54-[10]Temporaries!BF54</f>
        <v>0.26369000000000009</v>
      </c>
      <c r="AG63" s="493"/>
      <c r="AH63" s="566"/>
      <c r="AI63" s="325">
        <f>'[10]Rates in summary'!G54+[10]Temporaries!J54</f>
        <v>0.26369000000000009</v>
      </c>
      <c r="AJ63" s="493"/>
      <c r="AK63" s="566"/>
      <c r="AL63" s="325">
        <f>+'[10]Rates in summary'!Q54</f>
        <v>0.26300000000000012</v>
      </c>
      <c r="AM63" s="493"/>
      <c r="AN63" s="570"/>
      <c r="AO63" s="496"/>
      <c r="AP63" s="557"/>
      <c r="AQ63" s="495">
        <f t="shared" si="34"/>
        <v>0</v>
      </c>
      <c r="AR63" s="495">
        <f t="shared" si="35"/>
        <v>0</v>
      </c>
      <c r="AS63" s="495">
        <f t="shared" si="36"/>
        <v>-6.8999999999996842E-4</v>
      </c>
      <c r="AT63" s="495">
        <f t="shared" si="37"/>
        <v>-6.8999999999996842E-4</v>
      </c>
      <c r="AU63" s="243">
        <f>+'[10]Rates in summary'!D54+[10]Temporaries!K54+[10]Temporaries!M54+[10]Temporaries!L54-[10]Temporaries!AZ54</f>
        <v>0.26341000000000009</v>
      </c>
      <c r="AV63" s="243"/>
      <c r="AW63" s="571"/>
      <c r="AX63" s="325"/>
      <c r="AY63" s="325"/>
      <c r="AZ63" s="325"/>
      <c r="BA63" s="325"/>
      <c r="BB63" s="596"/>
      <c r="BC63" s="597"/>
      <c r="BD63" s="597"/>
      <c r="BE63" s="597"/>
    </row>
    <row r="64" spans="1:57" x14ac:dyDescent="0.35">
      <c r="A64" s="234">
        <f t="shared" si="33"/>
        <v>58</v>
      </c>
      <c r="B64" s="338"/>
      <c r="C64" s="573" t="s">
        <v>27</v>
      </c>
      <c r="D64" s="574"/>
      <c r="E64" s="575"/>
      <c r="F64" s="576"/>
      <c r="G64" s="577"/>
      <c r="H64" s="576"/>
      <c r="I64" s="577"/>
      <c r="J64" s="576"/>
      <c r="K64" s="577"/>
      <c r="L64" s="578"/>
      <c r="M64" s="577">
        <f>$I58+ROUND(IF($F58&lt;$E58,($F58*L58),IF($F58&lt;SUM($E58:$E59),(($E58*L58)+(($F58-$E58)*L59)),IF($F58&lt;SUM($E58:$E60),(($E58*L58)+($E59*L59)+(($F58-$E58-$E59)*L60)),IF($F58&lt;SUM($E58:$E61),(($E58*L58)+($E59*L59)+($E60*L60)+(($F58-SUM($E58:$E60))*L61)),IF($F58&lt;SUM($E58:$E62),(($E58*L58)+($E59*L59)+($E60*L60)+($E61*L61)+(($F58-SUM($E58:$E61))*L62)),(($E58*L58)+($E59*L59)+($E60*L60)+($E61*L60)+($E62*L62)+(($F58-SUM($E58:$E62))*L63))))))),2)</f>
        <v>20723.220895181617</v>
      </c>
      <c r="N64" s="578"/>
      <c r="O64" s="577">
        <f>$I58+ROUND(IF($F58&lt;$E58,($F58*N58),IF($F58&lt;SUM($E58:$E59),(($E58*N58)+(($F58-$E58)*N59)),IF($F58&lt;SUM($E58:$E60),(($E58*N58)+($E59*N59)+(($F58-$E58-$E59)*N60)),IF($F58&lt;SUM($E58:$E61),(($E58*N58)+($E59*N59)+($E60*N60)+(($F58-SUM($E58:$E60))*N61)),IF($F58&lt;SUM($E58:$E62),(($E58*N58)+($E59*N59)+($E60*N60)+($E61*N61)+(($F58-SUM($E58:$E61))*N62)),(($E58*N58)+($E59*N59)+($E60*N60)+($E61*N60)+($E62*N62)+(($F58-SUM($E58:$E62))*N63))))))),2)</f>
        <v>20723.220895181617</v>
      </c>
      <c r="P64" s="579">
        <f>ROUND((O64-M64)/M64,3)</f>
        <v>0</v>
      </c>
      <c r="Q64" s="578"/>
      <c r="R64" s="577">
        <f>$I58+ROUND(IF($F58&lt;$E58,($F58*Q58),IF($F58&lt;SUM($E58:$E59),(($E58*Q58)+(($F58-$E58)*Q59)),IF($F58&lt;SUM($E58:$E60),(($E58*Q58)+($E59*Q59)+(($F58-$E58-$E59)*Q60)),IF($F58&lt;SUM($E58:$E61),(($E58*Q58)+($E59*Q59)+($E60*Q60)+(($F58-SUM($E58:$E60))*Q61)),IF($F58&lt;SUM($E58:$E62),(($E58*Q58)+($E59*Q59)+($E60*Q60)+($E61*Q61)+(($F58-SUM($E58:$E61))*Q62)),(($E58*Q58)+($E59*Q59)+($E60*Q60)+($E61*Q60)+($E62*Q62)+(($F58-SUM($E58:$E62))*Q63))))))),2)</f>
        <v>20723.220895181617</v>
      </c>
      <c r="S64" s="579">
        <f>ROUND((R64-M64)/M64,3)</f>
        <v>0</v>
      </c>
      <c r="T64" s="394"/>
      <c r="U64" s="388">
        <f>$I58+ROUND(IF($F58&lt;$E58,($F58*T58),IF($F58&lt;SUM($E58:$E59),(($E58*T58)+(($F58-$E58)*T59)),IF($F58&lt;SUM($E58:$E60),(($E58*T58)+($E59*T59)+(($F58-$E58-$E59)*T60)),IF($F58&lt;SUM($E58:$E61),(($E58*T58)+($E59*T59)+($E60*T60)+(($F58-SUM($E58:$E60))*T61)),IF($F58&lt;SUM($E58:$E62),(($E58*T58)+($E59*T59)+($E60*T60)+($E61*T61)+(($F58-SUM($E58:$E61))*T62)),(($E58*T58)+($E59*T59)+($E60*T60)+($E61*T60)+($E62*T62)+(($F58-SUM($E58:$E62))*T63))))))),2)</f>
        <v>20681.190895181615</v>
      </c>
      <c r="V64" s="387">
        <f>ROUND((U64-M64)/M64,3)</f>
        <v>-2E-3</v>
      </c>
      <c r="W64" s="578"/>
      <c r="X64" s="577">
        <f>$I58+ROUND(IF($F58&lt;$E58,($F58*W58),IF($F58&lt;SUM($E58:$E59),(($E58*W58)+(($F58-$E58)*W59)),IF($F58&lt;SUM($E58:$E60),(($E58*W58)+($E59*W59)+(($F58-$E58-$E59)*W60)),IF($F58&lt;SUM($E58:$E61),(($E58*W58)+($E59*W59)+($E60*W60)+(($F58-SUM($E58:$E60))*W61)),IF($F58&lt;SUM($E58:$E62),(($E58*W58)+($E59*W59)+($E60*W60)+($E61*W61)+(($F58-SUM($E58:$E61))*W62)),(($E58*W58)+($E59*W59)+($E60*W60)+($E61*W60)+($E62*W62)+(($F58-SUM($E58:$E62))*W63))))))),2)</f>
        <v>20735.790895181617</v>
      </c>
      <c r="Y64" s="579">
        <f>(X64-M64)/M64</f>
        <v>6.0656594182820179E-4</v>
      </c>
      <c r="Z64" s="578"/>
      <c r="AA64" s="577">
        <f>$I58+ROUND(IF($F58&lt;$E58,($F58*Z58),IF($F58&lt;SUM($E58:$E59),(($E58*Z58)+(($F58-$E58)*Z59)),IF($F58&lt;SUM($E58:$E60),(($E58*Z58)+($E59*Z59)+(($F58-$E58-$E59)*Z60)),IF($F58&lt;SUM($E58:$E61),(($E58*Z58)+($E59*Z59)+($E60*Z60)+(($F58-SUM($E58:$E60))*Z61)),IF($F58&lt;SUM($E58:$E62),(($E58*Z58)+($E59*Z59)+($E60*Z60)+($E61*Z61)+(($F58-SUM($E58:$E61))*Z62)),(($E58*Z58)+($E59*Z59)+($E60*Z60)+($E61*Z60)+($E62*Z62)+(($F58-SUM($E58:$E62))*Z63))))))),2)</f>
        <v>20723.220895181617</v>
      </c>
      <c r="AB64" s="579">
        <f>(AA64-M64)/M64</f>
        <v>0</v>
      </c>
      <c r="AC64" s="580"/>
      <c r="AD64" s="581">
        <f>$I58+ROUND(IF($F58&lt;$E58,($F58*AC58),IF($F58&lt;SUM($E58:$E59),(($E58*AC58)+(($F58-$E58)*AC59)),IF($F58&lt;SUM($E58:$E60),(($E58*AC58)+($E59*AC59)+(($F58-$E58-$E59)*AC60)),IF($F58&lt;SUM($E58:$E61),(($E58*AC58)+($E59*AC59)+($E60*AC60)+(($F58-SUM($E58:$E60))*AC61)),IF($F58&lt;SUM($E58:$E62),(($E58*AC58)+($E59*AC59)+($E60*AC60)+($E61*AC61)+(($F58-SUM($E58:$E61))*AC62)),(($E58*AC58)+($E59*AC59)+($E60*AC60)+($E61*AC60)+($E62*AC62)+(($F58-SUM($E58:$E62))*AC63))))))),2)</f>
        <v>20723.220895181617</v>
      </c>
      <c r="AE64" s="582">
        <f>(AD64-M64)/M64</f>
        <v>0</v>
      </c>
      <c r="AF64" s="578"/>
      <c r="AG64" s="577">
        <f>$K58+ROUND(IF($F58&lt;$E58,($F58*AF58),IF($F58&lt;SUM($E58:$E59),(($E58*AF58)+(($F58-$E58)*AF59)),IF($F58&lt;SUM($E58:$E60),(($E58*AF58)+($E59*AF59)+(($F58-$E58-$E59)*AF60)),IF($F58&lt;SUM($E58:$E61),(($E58*AF58)+($E59*AF59)+($E60*AF60)+(($F58-SUM($E58:$E60))*AF61)),IF($F58&lt;SUM($E58:$E62),(($E58*AF58)+($E59*AF59)+($E60*AF60)+($E61*AF61)+(($F58-SUM($E58:$E61))*AF62)),(($E58*AF58)+($E59*AF59)+($E60*AF60)+($E61*AF60)+($E62*AF62)+(($F58-SUM($E58:$E62))*AF63))))))),2)</f>
        <v>20723.220895181617</v>
      </c>
      <c r="AH64" s="579">
        <f>(AG64-M64)/M64</f>
        <v>0</v>
      </c>
      <c r="AI64" s="578"/>
      <c r="AJ64" s="577">
        <f>$I58+ROUND(IF($F58&lt;$E58,($F58*AI58),IF($F58&lt;SUM($E58:$E59),(($E58*AI58)+(($F58-$E58)*AI59)),IF($F58&lt;SUM($E58:$E60),(($E58*AI58)+($E59*AI59)+(($F58-$E58-$E59)*AI60)),IF($F58&lt;SUM($E58:$E61),(($E58*AI58)+($E59*AI59)+($E60*AI60)+(($F58-SUM($E58:$E60))*AI61)),IF($F58&lt;SUM($E58:$E62),(($E58*AI58)+($E59*AI59)+($E60*AI60)+($E61*AI61)+(($F58-SUM($E58:$E61))*AI62)),(($E58*AI58)+($E59*AI59)+($E60*AI60)+($E61*AI60)+($E62*AI62)+(($F58-SUM($E58:$E62))*AI63))))))),2)</f>
        <v>20723.220895181617</v>
      </c>
      <c r="AK64" s="579">
        <f>ROUND((AJ64-M64)/M64,3)</f>
        <v>0</v>
      </c>
      <c r="AL64" s="578"/>
      <c r="AM64" s="577">
        <f>$K58+ROUND(IF($F58&lt;$E58,($F58*AL58),IF($F58&lt;SUM($E58:$E59),(($E58*AL58)+(($F58-$E58)*AL59)),IF($F58&lt;SUM($E58:$E60),(($E58*AL58)+($E59*AL59)+(($F58-$E58-$E59)*AL60)),IF($F58&lt;SUM($E58:$E61),(($E58*AL58)+($E59*AL59)+($E60*AL60)+(($F58-SUM($E58:$E60))*AL61)),IF($F58&lt;SUM($E58:$E62),(($E58*AL58)+($E59*AL59)+($E60*AL60)+($E61*AL61)+(($F58-SUM($E58:$E61))*AL62)),(($E58*AL58)+($E59*AL59)+($E60*AL60)+($E61*AL60)+($E62*AL62)+(($F58-SUM($E58:$E62))*AL63))))))),2)</f>
        <v>20693.760895181615</v>
      </c>
      <c r="AN64" s="579">
        <f>ROUND((AM64-M64)/M64,3)</f>
        <v>-1E-3</v>
      </c>
      <c r="AO64" s="496"/>
      <c r="AP64" s="557"/>
      <c r="AQ64" s="495">
        <f t="shared" si="34"/>
        <v>0</v>
      </c>
      <c r="AR64" s="495">
        <f t="shared" si="35"/>
        <v>0</v>
      </c>
      <c r="AS64" s="495">
        <f t="shared" si="36"/>
        <v>0</v>
      </c>
      <c r="AT64" s="495">
        <f t="shared" si="37"/>
        <v>0</v>
      </c>
      <c r="AU64" s="583"/>
      <c r="AV64" s="584">
        <f>$I58+ROUND(IF($F58&lt;$E58,($F58*AU58),IF($F58&lt;SUM($E58:$E59),(($E58*AU58)+(($F58-$E58)*AU59)),IF($F58&lt;SUM($E58:$E60),(($E58*AU58)+($E59*AU59)+(($F58-$E58-$E59)*AU60)),IF($F58&lt;SUM($E58:$E61),(($E58*AU58)+($E59*AU59)+($E60*AU60)+(($F58-SUM($E58:$E60))*AU61)),IF($F58&lt;SUM($E58:$E62),(($E58*AU58)+($E59*AU59)+($E60*AU60)+($E61*AU61)+(($F58-SUM($E58:$E61))*AU62)),(($E58*AU58)+($E59*AU59)+($E60*AU60)+($E61*AU60)+($E62*AU62)+(($F58-SUM($E58:$E62))*AU63))))))),2)</f>
        <v>20622.510895181615</v>
      </c>
      <c r="AW64" s="598">
        <f>ROUND((AV64-M64)/M64,3)</f>
        <v>-5.0000000000000001E-3</v>
      </c>
      <c r="AX64" s="325"/>
      <c r="AY64" s="325"/>
      <c r="AZ64" s="325"/>
      <c r="BA64" s="325"/>
    </row>
    <row r="65" spans="1:53" x14ac:dyDescent="0.35">
      <c r="A65" s="234">
        <f t="shared" si="33"/>
        <v>59</v>
      </c>
      <c r="B65" s="234" t="s">
        <v>76</v>
      </c>
      <c r="C65" s="344" t="s">
        <v>61</v>
      </c>
      <c r="D65" s="323">
        <f>+'[10]Washington volumes'!J55</f>
        <v>237823.79371068976</v>
      </c>
      <c r="E65" s="323">
        <v>10000</v>
      </c>
      <c r="F65" s="572">
        <v>39322</v>
      </c>
      <c r="G65" s="493">
        <v>1300</v>
      </c>
      <c r="H65" s="493">
        <f>'[33]Aver Bill by RS'!$J65</f>
        <v>5142.2693365131181</v>
      </c>
      <c r="I65" s="493">
        <f>G65-(IF(H65&gt;(F65*$H$3),(F65*$H$3),H65))</f>
        <v>-3842.2693365131181</v>
      </c>
      <c r="J65" s="493">
        <f>'[33]Aver Bill by RS'!$J65</f>
        <v>5142.2693365131181</v>
      </c>
      <c r="K65" s="493">
        <f>G65-(IF(J65&gt;($F65*$H$4),($F65*$H$4),J65))</f>
        <v>-3842.2693365131181</v>
      </c>
      <c r="L65" s="325">
        <f>+'[10]Rates in summary'!D55</f>
        <v>0.71133000000000013</v>
      </c>
      <c r="M65" s="493"/>
      <c r="N65" s="325">
        <f>'[10]Rates in summary'!D55+[10]Temporaries!K55+[10]Temporaries!L55+[10]Temporaries!M55-[10]Temporaries!AX55</f>
        <v>0.71192000000000011</v>
      </c>
      <c r="O65" s="493"/>
      <c r="P65" s="566"/>
      <c r="Q65" s="325">
        <f>'[10]Rates in summary'!D55+[10]Temporaries!N55+[10]Temporaries!O55-[10]Temporaries!AY55</f>
        <v>0.71109000000000011</v>
      </c>
      <c r="R65" s="493"/>
      <c r="S65" s="566"/>
      <c r="T65" s="392">
        <f>'[10]Rates in detail'!D55+[10]Temporaries!T55-[10]Temporaries!BD55+[10]Temporaries!S55-[10]Temporaries!BC55+[10]Temporaries!P55-[10]Temporaries!BB55++[10]Temporaries!Q55-[10]Temporaries!AW55</f>
        <v>0.71132000000000017</v>
      </c>
      <c r="U65" s="391"/>
      <c r="V65" s="390"/>
      <c r="W65" s="325">
        <f>'[10]Rates in summary'!D55+[10]Temporaries!R55-[10]Temporaries!AZ55</f>
        <v>0.71149000000000007</v>
      </c>
      <c r="X65" s="493"/>
      <c r="Y65" s="566"/>
      <c r="Z65" s="325">
        <f>'[10]Rates in summary'!D55+[10]Permanents!F55</f>
        <v>0.7113600000000001</v>
      </c>
      <c r="AA65" s="493"/>
      <c r="AB65" s="566"/>
      <c r="AC65" s="567">
        <f>'[10]Rates in summary'!D55+[10]Temporaries!U55-[10]Temporaries!BE55</f>
        <v>0.71133000000000013</v>
      </c>
      <c r="AD65" s="504"/>
      <c r="AE65" s="568"/>
      <c r="AF65" s="325">
        <f>'[10]Rates in summary'!D55+[10]Temporaries!V55-[10]Temporaries!BF55</f>
        <v>0.71133000000000013</v>
      </c>
      <c r="AG65" s="493"/>
      <c r="AH65" s="566"/>
      <c r="AI65" s="325">
        <f>'[10]Rates in summary'!G55+[10]Temporaries!J55</f>
        <v>0.67227000000000003</v>
      </c>
      <c r="AJ65" s="493"/>
      <c r="AK65" s="569"/>
      <c r="AL65" s="325">
        <f>+'[10]Rates in summary'!Q55</f>
        <v>0.67280000000000006</v>
      </c>
      <c r="AM65" s="493"/>
      <c r="AN65" s="586"/>
      <c r="AO65" s="496"/>
      <c r="AP65" s="557"/>
      <c r="AQ65" s="495">
        <f t="shared" si="34"/>
        <v>0</v>
      </c>
      <c r="AR65" s="495">
        <f t="shared" si="35"/>
        <v>0</v>
      </c>
      <c r="AS65" s="495">
        <f t="shared" si="36"/>
        <v>-3.8530000000000064E-2</v>
      </c>
      <c r="AT65" s="495">
        <f t="shared" si="37"/>
        <v>-3.8530000000000064E-2</v>
      </c>
      <c r="AU65" s="243">
        <f>+'[10]Rates in summary'!D55+[10]Temporaries!K55+[10]Temporaries!M55+[10]Temporaries!L55-[10]Temporaries!AZ55</f>
        <v>0.72826000000000013</v>
      </c>
      <c r="AV65" s="500"/>
      <c r="AW65" s="587"/>
      <c r="AX65" s="325"/>
      <c r="AY65" s="325"/>
      <c r="AZ65" s="325"/>
      <c r="BA65" s="325"/>
    </row>
    <row r="66" spans="1:53" x14ac:dyDescent="0.35">
      <c r="A66" s="234">
        <f t="shared" si="33"/>
        <v>60</v>
      </c>
      <c r="B66" s="234"/>
      <c r="C66" s="344" t="s">
        <v>62</v>
      </c>
      <c r="D66" s="323">
        <f>+'[10]Washington volumes'!J56</f>
        <v>449890.27963003801</v>
      </c>
      <c r="E66" s="323">
        <v>20000</v>
      </c>
      <c r="F66" s="588"/>
      <c r="G66" s="589"/>
      <c r="H66" s="588"/>
      <c r="I66" s="589"/>
      <c r="J66" s="588"/>
      <c r="K66" s="589"/>
      <c r="L66" s="325">
        <f>+'[10]Rates in summary'!D56</f>
        <v>0.69042999999999966</v>
      </c>
      <c r="M66" s="493"/>
      <c r="N66" s="325">
        <f>'[10]Rates in summary'!D56+[10]Temporaries!K56+[10]Temporaries!L56+[10]Temporaries!M56-[10]Temporaries!AX56</f>
        <v>0.69094999999999973</v>
      </c>
      <c r="O66" s="493"/>
      <c r="P66" s="566"/>
      <c r="Q66" s="325">
        <f>'[10]Rates in summary'!D56+[10]Temporaries!N56+[10]Temporaries!O56-[10]Temporaries!AY56</f>
        <v>0.69021999999999961</v>
      </c>
      <c r="R66" s="493"/>
      <c r="S66" s="566"/>
      <c r="T66" s="392">
        <f>'[10]Rates in detail'!D56+[10]Temporaries!T56-[10]Temporaries!BD56+[10]Temporaries!S56-[10]Temporaries!BC56+[10]Temporaries!P56-[10]Temporaries!BB56++[10]Temporaries!Q56-[10]Temporaries!AW56</f>
        <v>0.69039999999999968</v>
      </c>
      <c r="U66" s="391"/>
      <c r="V66" s="390"/>
      <c r="W66" s="325">
        <f>'[10]Rates in summary'!D56+[10]Temporaries!R56-[10]Temporaries!AZ56</f>
        <v>0.69056999999999968</v>
      </c>
      <c r="X66" s="493"/>
      <c r="Y66" s="566"/>
      <c r="Z66" s="325">
        <f>'[10]Rates in summary'!D56+[10]Permanents!F56</f>
        <v>0.69045999999999963</v>
      </c>
      <c r="AA66" s="493"/>
      <c r="AB66" s="566"/>
      <c r="AC66" s="567">
        <f>'[10]Rates in summary'!D56+[10]Temporaries!U56-[10]Temporaries!BE56</f>
        <v>0.69042999999999966</v>
      </c>
      <c r="AD66" s="504"/>
      <c r="AE66" s="568"/>
      <c r="AF66" s="325">
        <f>'[10]Rates in summary'!D56+[10]Temporaries!V56-[10]Temporaries!BF56</f>
        <v>0.69042999999999966</v>
      </c>
      <c r="AG66" s="493"/>
      <c r="AH66" s="566"/>
      <c r="AI66" s="325">
        <f>'[10]Rates in summary'!G56+[10]Temporaries!J56</f>
        <v>0.65136999999999967</v>
      </c>
      <c r="AJ66" s="493"/>
      <c r="AK66" s="569"/>
      <c r="AL66" s="325">
        <f>+'[10]Rates in summary'!Q56</f>
        <v>0.65181999999999962</v>
      </c>
      <c r="AM66" s="493"/>
      <c r="AN66" s="586"/>
      <c r="AO66" s="496"/>
      <c r="AP66" s="557"/>
      <c r="AQ66" s="495">
        <f t="shared" si="34"/>
        <v>0</v>
      </c>
      <c r="AR66" s="495">
        <f t="shared" si="35"/>
        <v>0</v>
      </c>
      <c r="AS66" s="495">
        <f t="shared" si="36"/>
        <v>-3.8610000000000033E-2</v>
      </c>
      <c r="AT66" s="495">
        <f t="shared" si="37"/>
        <v>-3.8610000000000033E-2</v>
      </c>
      <c r="AU66" s="243">
        <f>+'[10]Rates in summary'!D56+[10]Temporaries!K56+[10]Temporaries!M56+[10]Temporaries!L56-[10]Temporaries!AZ56</f>
        <v>0.7055699999999997</v>
      </c>
      <c r="AV66" s="500"/>
      <c r="AW66" s="587"/>
      <c r="AX66" s="325"/>
      <c r="AY66" s="325"/>
      <c r="AZ66" s="325"/>
      <c r="BA66" s="325"/>
    </row>
    <row r="67" spans="1:53" x14ac:dyDescent="0.35">
      <c r="A67" s="234">
        <f t="shared" si="33"/>
        <v>61</v>
      </c>
      <c r="B67" s="234"/>
      <c r="C67" s="344" t="s">
        <v>69</v>
      </c>
      <c r="D67" s="323">
        <f>+'[10]Washington volumes'!J57</f>
        <v>201896.54594079489</v>
      </c>
      <c r="E67" s="323">
        <v>20000</v>
      </c>
      <c r="F67" s="588"/>
      <c r="G67" s="589"/>
      <c r="H67" s="588"/>
      <c r="I67" s="589"/>
      <c r="J67" s="588"/>
      <c r="K67" s="589"/>
      <c r="L67" s="325">
        <f>+'[10]Rates in summary'!D57</f>
        <v>0.64878000000000013</v>
      </c>
      <c r="M67" s="493"/>
      <c r="N67" s="325">
        <f>'[10]Rates in summary'!D57+[10]Temporaries!K57+[10]Temporaries!L57+[10]Temporaries!M57-[10]Temporaries!AX57</f>
        <v>0.64917000000000014</v>
      </c>
      <c r="O67" s="493"/>
      <c r="P67" s="566"/>
      <c r="Q67" s="325">
        <f>'[10]Rates in summary'!D57+[10]Temporaries!N57+[10]Temporaries!O57-[10]Temporaries!AY57</f>
        <v>0.64862000000000009</v>
      </c>
      <c r="R67" s="493"/>
      <c r="S67" s="566"/>
      <c r="T67" s="392">
        <f>'[10]Rates in detail'!D57+[10]Temporaries!T57-[10]Temporaries!BD57+[10]Temporaries!S57-[10]Temporaries!BC57+[10]Temporaries!P57-[10]Temporaries!BB57++[10]Temporaries!Q57-[10]Temporaries!AW57</f>
        <v>0.64873000000000003</v>
      </c>
      <c r="U67" s="391"/>
      <c r="V67" s="390"/>
      <c r="W67" s="325">
        <f>'[10]Rates in summary'!D57+[10]Temporaries!R57-[10]Temporaries!AZ57</f>
        <v>0.64889000000000019</v>
      </c>
      <c r="X67" s="493"/>
      <c r="Y67" s="566"/>
      <c r="Z67" s="325">
        <f>'[10]Rates in summary'!D57+[10]Permanents!F57</f>
        <v>0.64880000000000015</v>
      </c>
      <c r="AA67" s="493"/>
      <c r="AB67" s="566"/>
      <c r="AC67" s="567">
        <f>'[10]Rates in summary'!D57+[10]Temporaries!U57-[10]Temporaries!BE57</f>
        <v>0.64878000000000013</v>
      </c>
      <c r="AD67" s="504"/>
      <c r="AE67" s="568"/>
      <c r="AF67" s="325">
        <f>'[10]Rates in summary'!D57+[10]Temporaries!V57-[10]Temporaries!BF57</f>
        <v>0.64878000000000013</v>
      </c>
      <c r="AG67" s="493"/>
      <c r="AH67" s="566"/>
      <c r="AI67" s="325">
        <f>'[10]Rates in summary'!G57+[10]Temporaries!J57</f>
        <v>0.60972000000000015</v>
      </c>
      <c r="AJ67" s="493"/>
      <c r="AK67" s="569"/>
      <c r="AL67" s="325">
        <f>+'[10]Rates in summary'!Q57</f>
        <v>0.61003000000000018</v>
      </c>
      <c r="AM67" s="493"/>
      <c r="AN67" s="586"/>
      <c r="AO67" s="496"/>
      <c r="AP67" s="557"/>
      <c r="AQ67" s="495">
        <f t="shared" si="34"/>
        <v>0</v>
      </c>
      <c r="AR67" s="495">
        <f t="shared" si="35"/>
        <v>0</v>
      </c>
      <c r="AS67" s="495">
        <f t="shared" si="36"/>
        <v>-3.8749999999999951E-2</v>
      </c>
      <c r="AT67" s="495">
        <f t="shared" si="37"/>
        <v>-3.8749999999999951E-2</v>
      </c>
      <c r="AU67" s="243">
        <f>+'[10]Rates in summary'!D57+[10]Temporaries!K57+[10]Temporaries!M57+[10]Temporaries!L57-[10]Temporaries!AZ57</f>
        <v>0.66039000000000014</v>
      </c>
      <c r="AV67" s="500"/>
      <c r="AW67" s="587"/>
      <c r="AX67" s="325"/>
      <c r="AY67" s="325"/>
      <c r="AZ67" s="325"/>
      <c r="BA67" s="325"/>
    </row>
    <row r="68" spans="1:53" x14ac:dyDescent="0.35">
      <c r="A68" s="234">
        <f t="shared" si="33"/>
        <v>62</v>
      </c>
      <c r="B68" s="234"/>
      <c r="C68" s="344" t="s">
        <v>70</v>
      </c>
      <c r="D68" s="323">
        <f>+'[10]Washington volumes'!J58</f>
        <v>59595.669906477466</v>
      </c>
      <c r="E68" s="323">
        <v>100000</v>
      </c>
      <c r="F68" s="588"/>
      <c r="G68" s="589"/>
      <c r="H68" s="588"/>
      <c r="I68" s="589"/>
      <c r="J68" s="588"/>
      <c r="K68" s="589"/>
      <c r="L68" s="325">
        <f>+'[10]Rates in summary'!D58</f>
        <v>0.62140999999999991</v>
      </c>
      <c r="M68" s="493"/>
      <c r="N68" s="325">
        <f>'[10]Rates in summary'!D58+[10]Temporaries!K58+[10]Temporaries!L58+[10]Temporaries!M58-[10]Temporaries!AX58</f>
        <v>0.62173999999999985</v>
      </c>
      <c r="O68" s="493"/>
      <c r="P68" s="566"/>
      <c r="Q68" s="325">
        <f>'[10]Rates in summary'!D58+[10]Temporaries!N58+[10]Temporaries!O58-[10]Temporaries!AY58</f>
        <v>0.62126999999999988</v>
      </c>
      <c r="R68" s="493"/>
      <c r="S68" s="566"/>
      <c r="T68" s="392">
        <f>'[10]Rates in detail'!D58+[10]Temporaries!T58-[10]Temporaries!BD58+[10]Temporaries!S58-[10]Temporaries!BC58+[10]Temporaries!P58-[10]Temporaries!BB58++[10]Temporaries!Q58-[10]Temporaries!AW58</f>
        <v>0.62132999999999983</v>
      </c>
      <c r="U68" s="391"/>
      <c r="V68" s="390"/>
      <c r="W68" s="325">
        <f>'[10]Rates in summary'!D58+[10]Temporaries!R58-[10]Temporaries!AZ58</f>
        <v>0.62148999999999999</v>
      </c>
      <c r="X68" s="493"/>
      <c r="Y68" s="566"/>
      <c r="Z68" s="325">
        <f>'[10]Rates in summary'!D58+[10]Permanents!F58</f>
        <v>0.62142999999999993</v>
      </c>
      <c r="AA68" s="493"/>
      <c r="AB68" s="566"/>
      <c r="AC68" s="567">
        <f>'[10]Rates in summary'!D58+[10]Temporaries!U58-[10]Temporaries!BE58</f>
        <v>0.62140999999999991</v>
      </c>
      <c r="AD68" s="504"/>
      <c r="AE68" s="568"/>
      <c r="AF68" s="325">
        <f>'[10]Rates in summary'!D58+[10]Temporaries!V58-[10]Temporaries!BF58</f>
        <v>0.62140999999999991</v>
      </c>
      <c r="AG68" s="493"/>
      <c r="AH68" s="566"/>
      <c r="AI68" s="325">
        <f>'[10]Rates in summary'!G58+[10]Temporaries!J58</f>
        <v>0.58234999999999981</v>
      </c>
      <c r="AJ68" s="493"/>
      <c r="AK68" s="569"/>
      <c r="AL68" s="325">
        <f>+'[10]Rates in summary'!Q58</f>
        <v>0.58255999999999986</v>
      </c>
      <c r="AM68" s="493"/>
      <c r="AN68" s="586"/>
      <c r="AO68" s="496"/>
      <c r="AP68" s="557"/>
      <c r="AQ68" s="495">
        <f t="shared" si="34"/>
        <v>0</v>
      </c>
      <c r="AR68" s="495">
        <f t="shared" si="35"/>
        <v>0</v>
      </c>
      <c r="AS68" s="495">
        <f t="shared" si="36"/>
        <v>-3.8850000000000051E-2</v>
      </c>
      <c r="AT68" s="495">
        <f t="shared" si="37"/>
        <v>-3.8850000000000051E-2</v>
      </c>
      <c r="AU68" s="243">
        <f>+'[10]Rates in summary'!D58+[10]Temporaries!K58+[10]Temporaries!M58+[10]Temporaries!L58-[10]Temporaries!AZ58</f>
        <v>0.63069999999999993</v>
      </c>
      <c r="AV68" s="500"/>
      <c r="AW68" s="587"/>
      <c r="AX68" s="325"/>
      <c r="AY68" s="325"/>
      <c r="AZ68" s="325"/>
      <c r="BA68" s="325"/>
    </row>
    <row r="69" spans="1:53" x14ac:dyDescent="0.35">
      <c r="A69" s="234">
        <f t="shared" si="33"/>
        <v>63</v>
      </c>
      <c r="B69" s="234"/>
      <c r="C69" s="344" t="s">
        <v>71</v>
      </c>
      <c r="D69" s="323">
        <f>+'[10]Washington volumes'!J59</f>
        <v>0</v>
      </c>
      <c r="E69" s="323">
        <v>600000</v>
      </c>
      <c r="F69" s="588"/>
      <c r="G69" s="589"/>
      <c r="H69" s="588"/>
      <c r="I69" s="589"/>
      <c r="J69" s="588"/>
      <c r="K69" s="589"/>
      <c r="L69" s="325">
        <f>+'[10]Rates in summary'!D59</f>
        <v>0.58492999999999984</v>
      </c>
      <c r="M69" s="493"/>
      <c r="N69" s="325">
        <f>'[10]Rates in summary'!D59+[10]Temporaries!K59+[10]Temporaries!L59+[10]Temporaries!M59-[10]Temporaries!AX59</f>
        <v>0.58513999999999977</v>
      </c>
      <c r="O69" s="493"/>
      <c r="P69" s="566"/>
      <c r="Q69" s="325">
        <f>'[10]Rates in summary'!D59+[10]Temporaries!N59+[10]Temporaries!O59-[10]Temporaries!AY59</f>
        <v>0.58483999999999992</v>
      </c>
      <c r="R69" s="493"/>
      <c r="S69" s="566"/>
      <c r="T69" s="392">
        <f>'[10]Rates in detail'!D59+[10]Temporaries!T59-[10]Temporaries!BD59+[10]Temporaries!S59-[10]Temporaries!BC59+[10]Temporaries!P59-[10]Temporaries!BB59++[10]Temporaries!Q59-[10]Temporaries!AW59</f>
        <v>0.5848399999999998</v>
      </c>
      <c r="U69" s="391"/>
      <c r="V69" s="390"/>
      <c r="W69" s="325">
        <f>'[10]Rates in summary'!D59+[10]Temporaries!R59-[10]Temporaries!AZ59</f>
        <v>0.58497999999999983</v>
      </c>
      <c r="X69" s="493"/>
      <c r="Y69" s="566"/>
      <c r="Z69" s="325">
        <f>'[10]Rates in summary'!D59+[10]Permanents!F59</f>
        <v>0.58493999999999979</v>
      </c>
      <c r="AA69" s="493"/>
      <c r="AB69" s="566"/>
      <c r="AC69" s="567">
        <f>'[10]Rates in summary'!D59+[10]Temporaries!U59-[10]Temporaries!BE59</f>
        <v>0.58492999999999984</v>
      </c>
      <c r="AD69" s="504"/>
      <c r="AE69" s="568"/>
      <c r="AF69" s="325">
        <f>'[10]Rates in summary'!D59+[10]Temporaries!V59-[10]Temporaries!BF59</f>
        <v>0.58492999999999984</v>
      </c>
      <c r="AG69" s="493"/>
      <c r="AH69" s="566"/>
      <c r="AI69" s="325">
        <f>'[10]Rates in summary'!G59+[10]Temporaries!J59</f>
        <v>0.54586999999999974</v>
      </c>
      <c r="AJ69" s="493"/>
      <c r="AK69" s="569"/>
      <c r="AL69" s="325">
        <f>+'[10]Rates in summary'!Q59</f>
        <v>0.54595999999999978</v>
      </c>
      <c r="AM69" s="493"/>
      <c r="AN69" s="586"/>
      <c r="AO69" s="496"/>
      <c r="AP69" s="557"/>
      <c r="AQ69" s="495">
        <f t="shared" si="34"/>
        <v>0</v>
      </c>
      <c r="AR69" s="495">
        <f t="shared" si="35"/>
        <v>0</v>
      </c>
      <c r="AS69" s="495">
        <f t="shared" si="36"/>
        <v>-3.897000000000006E-2</v>
      </c>
      <c r="AT69" s="495">
        <f t="shared" si="37"/>
        <v>-3.897000000000006E-2</v>
      </c>
      <c r="AU69" s="243">
        <f>+'[10]Rates in summary'!D59+[10]Temporaries!K59+[10]Temporaries!M59+[10]Temporaries!L59-[10]Temporaries!AZ59</f>
        <v>0.59111999999999976</v>
      </c>
      <c r="AV69" s="243"/>
      <c r="AW69" s="587"/>
      <c r="AX69" s="325"/>
      <c r="AY69" s="325"/>
      <c r="AZ69" s="325"/>
      <c r="BA69" s="325"/>
    </row>
    <row r="70" spans="1:53" x14ac:dyDescent="0.35">
      <c r="A70" s="234">
        <f t="shared" si="33"/>
        <v>64</v>
      </c>
      <c r="B70" s="234"/>
      <c r="C70" s="344" t="s">
        <v>72</v>
      </c>
      <c r="D70" s="323">
        <f>+'[10]Washington volumes'!J60</f>
        <v>0</v>
      </c>
      <c r="E70" s="525" t="s">
        <v>243</v>
      </c>
      <c r="F70" s="588"/>
      <c r="G70" s="589"/>
      <c r="H70" s="588"/>
      <c r="I70" s="589"/>
      <c r="J70" s="588"/>
      <c r="K70" s="589"/>
      <c r="L70" s="325">
        <f>+'[10]Rates in summary'!D60</f>
        <v>0.53925000000000001</v>
      </c>
      <c r="M70" s="493"/>
      <c r="N70" s="325">
        <f>'[10]Rates in summary'!D60+[10]Temporaries!K60+[10]Temporaries!L60+[10]Temporaries!M60-[10]Temporaries!AX60</f>
        <v>0.53934000000000004</v>
      </c>
      <c r="O70" s="493"/>
      <c r="P70" s="566"/>
      <c r="Q70" s="325">
        <f>'[10]Rates in summary'!D60+[10]Temporaries!N60+[10]Temporaries!O60-[10]Temporaries!AY60</f>
        <v>0.53921999999999992</v>
      </c>
      <c r="R70" s="493"/>
      <c r="S70" s="566"/>
      <c r="T70" s="392">
        <f>'[10]Rates in detail'!D60+[10]Temporaries!T60-[10]Temporaries!BD60+[10]Temporaries!S60-[10]Temporaries!BC60+[10]Temporaries!P60-[10]Temporaries!BB60++[10]Temporaries!Q60-[10]Temporaries!AW60</f>
        <v>0.53913999999999995</v>
      </c>
      <c r="U70" s="391"/>
      <c r="V70" s="390"/>
      <c r="W70" s="325">
        <f>'[10]Rates in summary'!D60+[10]Temporaries!R60-[10]Temporaries!AZ60</f>
        <v>0.53927999999999998</v>
      </c>
      <c r="X70" s="493"/>
      <c r="Y70" s="566"/>
      <c r="Z70" s="325">
        <f>'[10]Rates in summary'!D60+[10]Permanents!F60</f>
        <v>0.53925000000000001</v>
      </c>
      <c r="AA70" s="493"/>
      <c r="AB70" s="566"/>
      <c r="AC70" s="567">
        <f>'[10]Rates in summary'!D60+[10]Temporaries!U60-[10]Temporaries!BE60</f>
        <v>0.53925000000000001</v>
      </c>
      <c r="AD70" s="504"/>
      <c r="AE70" s="568"/>
      <c r="AF70" s="325">
        <f>'[10]Rates in summary'!D60+[10]Temporaries!V60-[10]Temporaries!BF60</f>
        <v>0.53925000000000001</v>
      </c>
      <c r="AG70" s="493"/>
      <c r="AH70" s="566"/>
      <c r="AI70" s="325">
        <f>'[10]Rates in summary'!G60+[10]Temporaries!J60</f>
        <v>0.50019000000000002</v>
      </c>
      <c r="AJ70" s="493"/>
      <c r="AK70" s="569"/>
      <c r="AL70" s="325">
        <f>+'[10]Rates in summary'!Q60</f>
        <v>0.50017</v>
      </c>
      <c r="AM70" s="493"/>
      <c r="AN70" s="586"/>
      <c r="AO70" s="496"/>
      <c r="AP70" s="557"/>
      <c r="AQ70" s="495">
        <f t="shared" si="34"/>
        <v>0</v>
      </c>
      <c r="AR70" s="495">
        <f t="shared" si="35"/>
        <v>0</v>
      </c>
      <c r="AS70" s="495">
        <f t="shared" si="36"/>
        <v>-3.9080000000000004E-2</v>
      </c>
      <c r="AT70" s="495">
        <f t="shared" si="37"/>
        <v>-3.9080000000000004E-2</v>
      </c>
      <c r="AU70" s="243">
        <f>+'[10]Rates in summary'!D60+[10]Temporaries!K60+[10]Temporaries!M60+[10]Temporaries!L60-[10]Temporaries!AZ60</f>
        <v>0.54158000000000006</v>
      </c>
      <c r="AV70" s="243"/>
      <c r="AW70" s="587"/>
      <c r="AX70" s="325"/>
      <c r="AY70" s="325"/>
      <c r="AZ70" s="325"/>
      <c r="BA70" s="325"/>
    </row>
    <row r="71" spans="1:53" x14ac:dyDescent="0.35">
      <c r="A71" s="234">
        <f t="shared" si="33"/>
        <v>65</v>
      </c>
      <c r="B71" s="338"/>
      <c r="C71" s="573" t="s">
        <v>27</v>
      </c>
      <c r="D71" s="574"/>
      <c r="E71" s="575"/>
      <c r="F71" s="576"/>
      <c r="G71" s="577"/>
      <c r="H71" s="576"/>
      <c r="I71" s="577"/>
      <c r="J71" s="576"/>
      <c r="K71" s="577"/>
      <c r="L71" s="578"/>
      <c r="M71" s="577">
        <f>$I65+ROUND(IF($F65&lt;$E65,($F65*L65),IF($F65&lt;SUM($E65:$E66),(($E65*L65)+(($F65-$E65)*L66)),IF($F65&lt;SUM($E65:$E67),(($E65*L65)+($E66*L66)+(($F65-$E65-$E66)*L67)),IF($F65&lt;SUM($E65:$E68),(($E65*L65)+($E66*L66)+($E67*L67)+(($F65-SUM($E65:$E67))*L68)),IF($F65&lt;SUM($E65:$E69),(($E65*L65)+($E66*L66)+($E67*L67)+($E68*L68)+(($F65-SUM($E65:$E68))*L69)),(($E65*L65)+($E66*L66)+($E67*L67)+($E68*L67)+($E69*L69)+(($F65-SUM($E65:$E69))*L70))))))),2)</f>
        <v>23127.560663486882</v>
      </c>
      <c r="N71" s="578"/>
      <c r="O71" s="577">
        <f>$I65+ROUND(IF($F65&lt;$E65,($F65*N65),IF($F65&lt;SUM($E65:$E66),(($E65*N65)+(($F65-$E65)*N66)),IF($F65&lt;SUM($E65:$E67),(($E65*N65)+($E66*N66)+(($F65-$E65-$E66)*N67)),IF($F65&lt;SUM($E65:$E68),(($E65*N65)+($E66*N66)+($E67*N67)+(($F65-SUM($E65:$E67))*N68)),IF($F65&lt;SUM($E65:$E69),(($E65*N65)+($E66*N66)+($E67*N67)+($E68*N68)+(($F65-SUM($E65:$E68))*N69)),(($E65*N65)+($E66*N66)+($E67*N67)+($E68*N67)+($E69*N69)+(($F65-SUM($E65:$E69))*N70))))))),2)</f>
        <v>23147.490663486882</v>
      </c>
      <c r="P71" s="579">
        <f>ROUND((O71-M71)/M71,3)</f>
        <v>1E-3</v>
      </c>
      <c r="Q71" s="578"/>
      <c r="R71" s="577">
        <f>$I65+ROUND(IF($F65&lt;$E65,($F65*Q65),IF($F65&lt;SUM($E65:$E66),(($E65*Q65)+(($F65-$E65)*Q66)),IF($F65&lt;SUM($E65:$E67),(($E65*Q65)+($E66*Q66)+(($F65-$E65-$E66)*Q67)),IF($F65&lt;SUM($E65:$E68),(($E65*Q65)+($E66*Q66)+($E67*Q67)+(($F65-SUM($E65:$E67))*Q68)),IF($F65&lt;SUM($E65:$E69),(($E65*Q65)+($E66*Q66)+($E67*Q67)+($E68*Q68)+(($F65-SUM($E65:$E68))*Q69)),(($E65*Q65)+($E66*Q66)+($E67*Q67)+($E68*Q67)+($E69*Q69)+(($F65-SUM($E65:$E69))*Q70))))))),2)</f>
        <v>23119.470663486885</v>
      </c>
      <c r="S71" s="579">
        <f>ROUND((R71-M71)/M71,3)</f>
        <v>0</v>
      </c>
      <c r="T71" s="394"/>
      <c r="U71" s="388">
        <f>$I65+ROUND(IF($F65&lt;$E65,($F65*T65),IF($F65&lt;SUM($E65:$E66),(($E65*T65)+(($F65-$E65)*T66)),IF($F65&lt;SUM($E65:$E67),(($E65*T65)+($E66*T66)+(($F65-$E65-$E66)*T67)),IF($F65&lt;SUM($E65:$E68),(($E65*T65)+($E66*T66)+($E67*T67)+(($F65-SUM($E65:$E67))*T68)),IF($F65&lt;SUM($E65:$E69),(($E65*T65)+($E66*T66)+($E67*T67)+($E68*T68)+(($F65-SUM($E65:$E68))*T69)),(($E65*T65)+($E66*T66)+($E67*T67)+($E68*T67)+($E69*T69)+(($F65-SUM($E65:$E69))*T70))))))),2)</f>
        <v>23126.390663486884</v>
      </c>
      <c r="V71" s="387">
        <f>ROUND((U71-M71)/M71,3)</f>
        <v>0</v>
      </c>
      <c r="W71" s="578"/>
      <c r="X71" s="577">
        <f>$I65+ROUND(IF($F65&lt;$E65,($F65*W65),IF($F65&lt;SUM($E65:$E66),(($E65*W65)+(($F65-$E65)*W66)),IF($F65&lt;SUM($E65:$E67),(($E65*W65)+($E66*W66)+(($F65-$E65-$E66)*W67)),IF($F65&lt;SUM($E65:$E68),(($E65*W65)+($E66*W66)+($E67*W67)+(($F65-SUM($E65:$E67))*W68)),IF($F65&lt;SUM($E65:$E69),(($E65*W65)+($E66*W66)+($E67*W67)+($E68*W68)+(($F65-SUM($E65:$E68))*W69)),(($E65*W65)+($E66*W66)+($E67*W67)+($E68*W67)+($E69*W69)+(($F65-SUM($E65:$E69))*W70))))))),2)</f>
        <v>23132.98066348688</v>
      </c>
      <c r="Y71" s="579">
        <f>(X71-M71)/M71</f>
        <v>2.3435242820723379E-4</v>
      </c>
      <c r="Z71" s="578"/>
      <c r="AA71" s="577">
        <f>$I65+ROUND(IF($F65&lt;$E65,($F65*Z65),IF($F65&lt;SUM($E65:$E66),(($E65*Z65)+(($F65-$E65)*Z66)),IF($F65&lt;SUM($E65:$E67),(($E65*Z65)+($E66*Z66)+(($F65-$E65-$E66)*Z67)),IF($F65&lt;SUM($E65:$E68),(($E65*Z65)+($E66*Z66)+($E67*Z67)+(($F65-SUM($E65:$E67))*Z68)),IF($F65&lt;SUM($E65:$E69),(($E65*Z65)+($E66*Z66)+($E67*Z67)+($E68*Z68)+(($F65-SUM($E65:$E68))*Z69)),(($E65*Z65)+($E66*Z66)+($E67*Z67)+($E68*Z67)+($E69*Z69)+(($F65-SUM($E65:$E69))*Z70))))))),2)</f>
        <v>23128.640663486884</v>
      </c>
      <c r="AB71" s="579">
        <f>(AA71-M71)/M71</f>
        <v>4.6697531819982153E-5</v>
      </c>
      <c r="AC71" s="580"/>
      <c r="AD71" s="581">
        <f>$I65+ROUND(IF($F65&lt;$E65,($F65*AC65),IF($F65&lt;SUM($E65:$E66),(($E65*AC65)+(($F65-$E65)*AC66)),IF($F65&lt;SUM($E65:$E67),(($E65*AC65)+($E66*AC66)+(($F65-$E65-$E66)*AC67)),IF($F65&lt;SUM($E65:$E68),(($E65*AC65)+($E66*AC66)+($E67*AC67)+(($F65-SUM($E65:$E67))*AC68)),IF($F65&lt;SUM($E65:$E69),(($E65*AC65)+($E66*AC66)+($E67*AC67)+($E68*AC68)+(($F65-SUM($E65:$E68))*AC69)),(($E65*AC65)+($E66*AC66)+($E67*AC67)+($E68*AC67)+($E69*AC69)+(($F65-SUM($E65:$E69))*AC70))))))),2)</f>
        <v>23127.560663486882</v>
      </c>
      <c r="AE71" s="582">
        <f>(AD71-M71)/M71</f>
        <v>0</v>
      </c>
      <c r="AF71" s="578"/>
      <c r="AG71" s="577">
        <f>$K65+ROUND(IF($F65&lt;$E65,($F65*AF65),IF($F65&lt;SUM($E65:$E66),(($E65*AF65)+(($F65-$E65)*AF66)),IF($F65&lt;SUM($E65:$E67),(($E65*AF65)+($E66*AF66)+(($F65-$E65-$E66)*AF67)),IF($F65&lt;SUM($E65:$E68),(($E65*AF65)+($E66*AF66)+($E67*AF67)+(($F65-SUM($E65:$E67))*AF68)),IF($F65&lt;SUM($E65:$E69),(($E65*AF65)+($E66*AF66)+($E67*AF67)+($E68*AF68)+(($F65-SUM($E65:$E68))*AF69)),(($E65*AF65)+($E66*AF66)+($E67*AF67)+($E68*AF67)+($E69*AF69)+(($F65-SUM($E65:$E69))*AF70))))))),2)</f>
        <v>23127.560663486882</v>
      </c>
      <c r="AH71" s="579">
        <f>(AG71-M71)/M71</f>
        <v>0</v>
      </c>
      <c r="AI71" s="578"/>
      <c r="AJ71" s="577">
        <f>$I65+ROUND(IF($F65&lt;$E65,($F65*AI65),IF($F65&lt;SUM($E65:$E66),(($E65*AI65)+(($F65-$E65)*AI66)),IF($F65&lt;SUM($E65:$E67),(($E65*AI65)+($E66*AI66)+(($F65-$E65-$E66)*AI67)),IF($F65&lt;SUM($E65:$E68),(($E65*AI65)+($E66*AI66)+($E67*AI67)+(($F65-SUM($E65:$E67))*AI68)),IF($F65&lt;SUM($E65:$E69),(($E65*AI65)+($E66*AI66)+($E67*AI67)+($E68*AI68)+(($F65-SUM($E65:$E68))*AI69)),(($E65*AI65)+($E66*AI66)+($E67*AI67)+($E68*AI67)+($E69*AI69)+(($F65-SUM($E65:$E69))*AI70))))))),2)</f>
        <v>21591.640663486884</v>
      </c>
      <c r="AK71" s="594">
        <f>ROUND((AJ71-M71)/M71,3)</f>
        <v>-6.6000000000000003E-2</v>
      </c>
      <c r="AL71" s="578"/>
      <c r="AM71" s="577">
        <f>$K65+ROUND(IF($F65&lt;$E65,($F65*AL65),IF($F65&lt;SUM($E65:$E66),(($E65*AL65)+(($F65-$E65)*AL66)),IF($F65&lt;SUM($E65:$E67),(($E65*AL65)+($E66*AL66)+(($F65-$E65-$E66)*AL67)),IF($F65&lt;SUM($E65:$E68),(($E65*AL65)+($E66*AL66)+($E67*AL67)+(($F65-SUM($E65:$E67))*AL68)),IF($F65&lt;SUM($E65:$E69),(($E65*AL65)+($E66*AL66)+($E67*AL67)+($E68*AL68)+(($F65-SUM($E65:$E68))*AL69)),(($E65*AL65)+($E66*AL66)+($E67*AL67)+($E68*AL67)+($E69*AL69)+(($F65-SUM($E65:$E69))*AL70))))))),2)</f>
        <v>21608.830663486879</v>
      </c>
      <c r="AN71" s="594">
        <f>ROUND((AM71-M71)/M71,3)</f>
        <v>-6.6000000000000003E-2</v>
      </c>
      <c r="AO71" s="496"/>
      <c r="AP71" s="557"/>
      <c r="AQ71" s="495">
        <f t="shared" si="34"/>
        <v>0</v>
      </c>
      <c r="AR71" s="495">
        <f t="shared" si="35"/>
        <v>0</v>
      </c>
      <c r="AS71" s="495">
        <f t="shared" si="36"/>
        <v>0</v>
      </c>
      <c r="AT71" s="495">
        <f t="shared" si="37"/>
        <v>0</v>
      </c>
      <c r="AU71" s="583"/>
      <c r="AV71" s="584">
        <f>$I65+ROUND(IF($F65&lt;$E65,($F65*AU65),IF($F65&lt;SUM($E65:$E66),(($E65*AU65)+(($F65-$E65)*AU66)),IF($F65&lt;SUM($E65:$E67),(($E65*AU65)+($E66*AU66)+(($F65-$E65-$E66)*AU67)),IF($F65&lt;SUM($E65:$E68),(($E65*AU65)+($E66*AU66)+($E67*AU67)+(($F65-SUM($E65:$E67))*AU68)),IF($F65&lt;SUM($E65:$E69),(($E65*AU65)+($E66*AU66)+($E67*AU67)+($E68*AU68)+(($F65-SUM($E65:$E68))*AU69)),(($E65*AU65)+($E66*AU66)+($E67*AU67)+($E68*AU67)+($E69*AU69)+(($F65-SUM($E65:$E69))*AU70))))))),2)</f>
        <v>23707.890663486884</v>
      </c>
      <c r="AW71" s="585">
        <f>ROUND((AV71-M71)/M71,3)</f>
        <v>2.5000000000000001E-2</v>
      </c>
      <c r="AX71" s="325"/>
      <c r="AY71" s="325"/>
      <c r="AZ71" s="325"/>
      <c r="BA71" s="325"/>
    </row>
    <row r="72" spans="1:53" x14ac:dyDescent="0.35">
      <c r="A72" s="234">
        <f t="shared" ref="A72:A105" si="38">+A71+1</f>
        <v>66</v>
      </c>
      <c r="B72" s="234" t="s">
        <v>77</v>
      </c>
      <c r="C72" s="344" t="s">
        <v>61</v>
      </c>
      <c r="D72" s="323">
        <f>+'[10]Washington volumes'!J61</f>
        <v>171532.62817612645</v>
      </c>
      <c r="E72" s="323">
        <v>10000</v>
      </c>
      <c r="F72" s="572">
        <v>13758</v>
      </c>
      <c r="G72" s="493">
        <v>1300</v>
      </c>
      <c r="H72" s="493">
        <f>'[33]Aver Bill by RS'!$J72</f>
        <v>3945.7691048183847</v>
      </c>
      <c r="I72" s="493">
        <f>G72-(IF(H72&gt;(F72*$H$3),(F72*$H$3),H72))</f>
        <v>-2011.9633399999998</v>
      </c>
      <c r="J72" s="493">
        <f>'[33]Aver Bill by RS'!$J72</f>
        <v>3945.7691048183847</v>
      </c>
      <c r="K72" s="493">
        <f>G72-(IF(J72&gt;($F72*$H$4),($F72*$H$4),J72))</f>
        <v>-2011.9633399999998</v>
      </c>
      <c r="L72" s="325">
        <f>+'[10]Rates in summary'!D61</f>
        <v>0.69063999999999992</v>
      </c>
      <c r="M72" s="493"/>
      <c r="N72" s="325">
        <f>'[10]Rates in summary'!D61+[10]Temporaries!K61+[10]Temporaries!L61+[10]Temporaries!M61-[10]Temporaries!AX61</f>
        <v>0.69063999999999992</v>
      </c>
      <c r="O72" s="493"/>
      <c r="P72" s="566"/>
      <c r="Q72" s="325">
        <f>'[10]Rates in summary'!D61+[10]Temporaries!N61+[10]Temporaries!O61-[10]Temporaries!AY61</f>
        <v>0.69030999999999987</v>
      </c>
      <c r="R72" s="493"/>
      <c r="S72" s="566"/>
      <c r="T72" s="392">
        <f>'[10]Rates in detail'!D61+[10]Temporaries!T61-[10]Temporaries!BD61+[10]Temporaries!S61-[10]Temporaries!BC61+[10]Temporaries!P61-[10]Temporaries!BB61++[10]Temporaries!Q61-[10]Temporaries!AW61</f>
        <v>0.6900799999999998</v>
      </c>
      <c r="U72" s="391"/>
      <c r="V72" s="390"/>
      <c r="W72" s="325">
        <f>'[10]Rates in summary'!D61+[10]Temporaries!R61-[10]Temporaries!AZ61</f>
        <v>0.6907899999999999</v>
      </c>
      <c r="X72" s="493"/>
      <c r="Y72" s="566"/>
      <c r="Z72" s="325">
        <f>'[10]Rates in summary'!D61+[10]Permanents!F61</f>
        <v>0.69067999999999996</v>
      </c>
      <c r="AA72" s="493"/>
      <c r="AB72" s="566"/>
      <c r="AC72" s="567">
        <f>'[10]Rates in summary'!D61+[10]Temporaries!U61-[10]Temporaries!BE61</f>
        <v>0.69063999999999992</v>
      </c>
      <c r="AD72" s="504"/>
      <c r="AE72" s="568"/>
      <c r="AF72" s="325">
        <f>'[10]Rates in summary'!D61+[10]Temporaries!V61-[10]Temporaries!BF61</f>
        <v>0.69063999999999992</v>
      </c>
      <c r="AG72" s="493"/>
      <c r="AH72" s="566"/>
      <c r="AI72" s="325">
        <f>'[10]Rates in summary'!G61+[10]Temporaries!J61</f>
        <v>0.65157999999999994</v>
      </c>
      <c r="AJ72" s="493"/>
      <c r="AK72" s="569"/>
      <c r="AL72" s="325">
        <f>+'[10]Rates in summary'!Q61</f>
        <v>0.65088000000000001</v>
      </c>
      <c r="AM72" s="493"/>
      <c r="AN72" s="570"/>
      <c r="AO72" s="496"/>
      <c r="AP72" s="557"/>
      <c r="AQ72" s="495">
        <f t="shared" si="34"/>
        <v>0</v>
      </c>
      <c r="AR72" s="495">
        <f t="shared" si="35"/>
        <v>0</v>
      </c>
      <c r="AS72" s="495">
        <f t="shared" si="36"/>
        <v>-3.9759999999999907E-2</v>
      </c>
      <c r="AT72" s="495">
        <f t="shared" si="37"/>
        <v>-3.9759999999999907E-2</v>
      </c>
      <c r="AU72" s="243">
        <f>+'[10]Rates in summary'!D61+[10]Temporaries!K61+[10]Temporaries!M61+[10]Temporaries!L61-[10]Temporaries!AZ61</f>
        <v>0.68782999999999994</v>
      </c>
      <c r="AV72" s="500"/>
      <c r="AW72" s="571"/>
      <c r="AX72" s="325"/>
      <c r="AY72" s="325"/>
      <c r="AZ72" s="325"/>
      <c r="BA72" s="325"/>
    </row>
    <row r="73" spans="1:53" x14ac:dyDescent="0.35">
      <c r="A73" s="234">
        <f t="shared" si="38"/>
        <v>67</v>
      </c>
      <c r="B73" s="234"/>
      <c r="C73" s="344" t="s">
        <v>62</v>
      </c>
      <c r="D73" s="323">
        <f>+'[10]Washington volumes'!J62</f>
        <v>27036.058789873507</v>
      </c>
      <c r="E73" s="323">
        <v>20000</v>
      </c>
      <c r="F73" s="572"/>
      <c r="G73" s="493"/>
      <c r="H73" s="572"/>
      <c r="I73" s="493"/>
      <c r="J73" s="572"/>
      <c r="K73" s="493"/>
      <c r="L73" s="325">
        <f>+'[10]Rates in summary'!D62</f>
        <v>0.67198999999999998</v>
      </c>
      <c r="M73" s="493"/>
      <c r="N73" s="325">
        <f>'[10]Rates in summary'!D62+[10]Temporaries!K62+[10]Temporaries!L62+[10]Temporaries!M62-[10]Temporaries!AX62</f>
        <v>0.67198999999999998</v>
      </c>
      <c r="O73" s="493"/>
      <c r="P73" s="566"/>
      <c r="Q73" s="325">
        <f>'[10]Rates in summary'!D62+[10]Temporaries!N62+[10]Temporaries!O62-[10]Temporaries!AY62</f>
        <v>0.67169000000000001</v>
      </c>
      <c r="R73" s="493"/>
      <c r="S73" s="566"/>
      <c r="T73" s="392">
        <f>'[10]Rates in detail'!D62+[10]Temporaries!T62-[10]Temporaries!BD62+[10]Temporaries!S62-[10]Temporaries!BC62+[10]Temporaries!P62-[10]Temporaries!BB62++[10]Temporaries!Q62-[10]Temporaries!AW62</f>
        <v>0.67140999999999995</v>
      </c>
      <c r="U73" s="391"/>
      <c r="V73" s="390"/>
      <c r="W73" s="325">
        <f>'[10]Rates in summary'!D62+[10]Temporaries!R62-[10]Temporaries!AZ62</f>
        <v>0.67212000000000005</v>
      </c>
      <c r="X73" s="493"/>
      <c r="Y73" s="566"/>
      <c r="Z73" s="325">
        <f>'[10]Rates in summary'!D62+[10]Permanents!F62</f>
        <v>0.67203000000000002</v>
      </c>
      <c r="AA73" s="493"/>
      <c r="AB73" s="566"/>
      <c r="AC73" s="567">
        <f>'[10]Rates in summary'!D62+[10]Temporaries!U62-[10]Temporaries!BE62</f>
        <v>0.67198999999999998</v>
      </c>
      <c r="AD73" s="504"/>
      <c r="AE73" s="568"/>
      <c r="AF73" s="325">
        <f>'[10]Rates in summary'!D62+[10]Temporaries!V62-[10]Temporaries!BF62</f>
        <v>0.67198999999999998</v>
      </c>
      <c r="AG73" s="493"/>
      <c r="AH73" s="566"/>
      <c r="AI73" s="325">
        <f>'[10]Rates in summary'!G62+[10]Temporaries!J62</f>
        <v>0.63292999999999988</v>
      </c>
      <c r="AJ73" s="493"/>
      <c r="AK73" s="569"/>
      <c r="AL73" s="325">
        <f>+'[10]Rates in summary'!Q62</f>
        <v>0.63222</v>
      </c>
      <c r="AM73" s="493"/>
      <c r="AN73" s="570"/>
      <c r="AO73" s="496"/>
      <c r="AP73" s="557"/>
      <c r="AQ73" s="495">
        <f t="shared" si="34"/>
        <v>0</v>
      </c>
      <c r="AR73" s="495">
        <f t="shared" si="35"/>
        <v>0</v>
      </c>
      <c r="AS73" s="495">
        <f t="shared" si="36"/>
        <v>-3.9769999999999972E-2</v>
      </c>
      <c r="AT73" s="495">
        <f t="shared" si="37"/>
        <v>-3.9769999999999972E-2</v>
      </c>
      <c r="AU73" s="243">
        <f>+'[10]Rates in summary'!D62+[10]Temporaries!K62+[10]Temporaries!M62+[10]Temporaries!L62-[10]Temporaries!AZ62</f>
        <v>0.66947000000000001</v>
      </c>
      <c r="AV73" s="500"/>
      <c r="AW73" s="571"/>
      <c r="AX73" s="325"/>
      <c r="AY73" s="325"/>
      <c r="AZ73" s="325"/>
      <c r="BA73" s="325"/>
    </row>
    <row r="74" spans="1:53" x14ac:dyDescent="0.35">
      <c r="A74" s="234">
        <f t="shared" si="38"/>
        <v>68</v>
      </c>
      <c r="B74" s="234"/>
      <c r="C74" s="344" t="s">
        <v>69</v>
      </c>
      <c r="D74" s="323">
        <f>+'[10]Washington volumes'!J63</f>
        <v>0</v>
      </c>
      <c r="E74" s="323">
        <v>20000</v>
      </c>
      <c r="F74" s="572"/>
      <c r="G74" s="493"/>
      <c r="H74" s="572"/>
      <c r="I74" s="493"/>
      <c r="J74" s="572"/>
      <c r="K74" s="493"/>
      <c r="L74" s="325">
        <f>+'[10]Rates in summary'!D63</f>
        <v>0.63488999999999995</v>
      </c>
      <c r="M74" s="493"/>
      <c r="N74" s="325">
        <f>'[10]Rates in summary'!D63+[10]Temporaries!K63+[10]Temporaries!L63+[10]Temporaries!M63-[10]Temporaries!AX63</f>
        <v>0.63488999999999995</v>
      </c>
      <c r="O74" s="493"/>
      <c r="P74" s="566"/>
      <c r="Q74" s="325">
        <f>'[10]Rates in summary'!D63+[10]Temporaries!N63+[10]Temporaries!O63-[10]Temporaries!AY63</f>
        <v>0.63464999999999994</v>
      </c>
      <c r="R74" s="493"/>
      <c r="S74" s="566"/>
      <c r="T74" s="392">
        <f>'[10]Rates in detail'!D63+[10]Temporaries!T63-[10]Temporaries!BD63+[10]Temporaries!S63-[10]Temporaries!BC63+[10]Temporaries!P63-[10]Temporaries!BB63++[10]Temporaries!Q63-[10]Temporaries!AW63</f>
        <v>0.63426999999999989</v>
      </c>
      <c r="U74" s="391"/>
      <c r="V74" s="390"/>
      <c r="W74" s="325">
        <f>'[10]Rates in summary'!D63+[10]Temporaries!R63-[10]Temporaries!AZ63</f>
        <v>0.63498999999999994</v>
      </c>
      <c r="X74" s="493"/>
      <c r="Y74" s="566"/>
      <c r="Z74" s="325">
        <f>'[10]Rates in summary'!D63+[10]Permanents!F63</f>
        <v>0.63491999999999993</v>
      </c>
      <c r="AA74" s="493"/>
      <c r="AB74" s="566"/>
      <c r="AC74" s="567">
        <f>'[10]Rates in summary'!D63+[10]Temporaries!U63-[10]Temporaries!BE63</f>
        <v>0.63488999999999995</v>
      </c>
      <c r="AD74" s="504"/>
      <c r="AE74" s="568"/>
      <c r="AF74" s="325">
        <f>'[10]Rates in summary'!D63+[10]Temporaries!V63-[10]Temporaries!BF63</f>
        <v>0.63488999999999995</v>
      </c>
      <c r="AG74" s="493"/>
      <c r="AH74" s="566"/>
      <c r="AI74" s="325">
        <f>'[10]Rates in summary'!G63+[10]Temporaries!J63</f>
        <v>0.59582999999999997</v>
      </c>
      <c r="AJ74" s="493"/>
      <c r="AK74" s="569"/>
      <c r="AL74" s="325">
        <f>+'[10]Rates in summary'!Q63</f>
        <v>0.59509999999999996</v>
      </c>
      <c r="AM74" s="493"/>
      <c r="AN74" s="570"/>
      <c r="AO74" s="496"/>
      <c r="AP74" s="557"/>
      <c r="AQ74" s="495">
        <f t="shared" si="34"/>
        <v>0</v>
      </c>
      <c r="AR74" s="495">
        <f t="shared" si="35"/>
        <v>0</v>
      </c>
      <c r="AS74" s="495">
        <f t="shared" si="36"/>
        <v>-3.9789999999999992E-2</v>
      </c>
      <c r="AT74" s="495">
        <f t="shared" si="37"/>
        <v>-3.9789999999999992E-2</v>
      </c>
      <c r="AU74" s="243">
        <f>+'[10]Rates in summary'!D63+[10]Temporaries!K63+[10]Temporaries!M63+[10]Temporaries!L63-[10]Temporaries!AZ63</f>
        <v>0.63295999999999997</v>
      </c>
      <c r="AV74" s="500"/>
      <c r="AW74" s="571"/>
      <c r="AX74" s="325"/>
      <c r="AY74" s="325"/>
      <c r="AZ74" s="325"/>
      <c r="BA74" s="325"/>
    </row>
    <row r="75" spans="1:53" x14ac:dyDescent="0.35">
      <c r="A75" s="234">
        <f t="shared" si="38"/>
        <v>69</v>
      </c>
      <c r="B75" s="234"/>
      <c r="C75" s="344" t="s">
        <v>70</v>
      </c>
      <c r="D75" s="323">
        <f>+'[10]Washington volumes'!J64</f>
        <v>0</v>
      </c>
      <c r="E75" s="323">
        <v>100000</v>
      </c>
      <c r="F75" s="572"/>
      <c r="G75" s="493"/>
      <c r="H75" s="572"/>
      <c r="I75" s="493"/>
      <c r="J75" s="572"/>
      <c r="K75" s="493"/>
      <c r="L75" s="325">
        <f>+'[10]Rates in summary'!D64</f>
        <v>0.61047999999999969</v>
      </c>
      <c r="M75" s="493"/>
      <c r="N75" s="325">
        <f>'[10]Rates in summary'!D64+[10]Temporaries!K64+[10]Temporaries!L64+[10]Temporaries!M64-[10]Temporaries!AX64</f>
        <v>0.61047999999999969</v>
      </c>
      <c r="O75" s="493"/>
      <c r="P75" s="566"/>
      <c r="Q75" s="325">
        <f>'[10]Rates in summary'!D64+[10]Temporaries!N64+[10]Temporaries!O64-[10]Temporaries!AY64</f>
        <v>0.61028999999999967</v>
      </c>
      <c r="R75" s="493"/>
      <c r="S75" s="566"/>
      <c r="T75" s="392">
        <f>'[10]Rates in detail'!D64+[10]Temporaries!T64-[10]Temporaries!BD64+[10]Temporaries!S64-[10]Temporaries!BC64+[10]Temporaries!P64-[10]Temporaries!BB64++[10]Temporaries!Q64-[10]Temporaries!AW64</f>
        <v>0.60982999999999965</v>
      </c>
      <c r="U75" s="391"/>
      <c r="V75" s="390"/>
      <c r="W75" s="325">
        <f>'[10]Rates in summary'!D64+[10]Temporaries!R64-[10]Temporaries!AZ64</f>
        <v>0.61056999999999972</v>
      </c>
      <c r="X75" s="493"/>
      <c r="Y75" s="566"/>
      <c r="Z75" s="325">
        <f>'[10]Rates in summary'!D64+[10]Permanents!F64</f>
        <v>0.61049999999999971</v>
      </c>
      <c r="AA75" s="493"/>
      <c r="AB75" s="566"/>
      <c r="AC75" s="567">
        <f>'[10]Rates in summary'!D64+[10]Temporaries!U64-[10]Temporaries!BE64</f>
        <v>0.61047999999999969</v>
      </c>
      <c r="AD75" s="504"/>
      <c r="AE75" s="568"/>
      <c r="AF75" s="325">
        <f>'[10]Rates in summary'!D64+[10]Temporaries!V64-[10]Temporaries!BF64</f>
        <v>0.61047999999999969</v>
      </c>
      <c r="AG75" s="493"/>
      <c r="AH75" s="566"/>
      <c r="AI75" s="325">
        <f>'[10]Rates in summary'!G64+[10]Temporaries!J64</f>
        <v>0.57141999999999971</v>
      </c>
      <c r="AJ75" s="493"/>
      <c r="AK75" s="569"/>
      <c r="AL75" s="325">
        <f>+'[10]Rates in summary'!Q64</f>
        <v>0.57068999999999981</v>
      </c>
      <c r="AM75" s="493"/>
      <c r="AN75" s="570"/>
      <c r="AO75" s="496"/>
      <c r="AP75" s="557"/>
      <c r="AQ75" s="495">
        <f t="shared" si="34"/>
        <v>0</v>
      </c>
      <c r="AR75" s="495">
        <f t="shared" si="35"/>
        <v>0</v>
      </c>
      <c r="AS75" s="495">
        <f t="shared" si="36"/>
        <v>-3.9789999999999881E-2</v>
      </c>
      <c r="AT75" s="495">
        <f t="shared" si="37"/>
        <v>-3.9789999999999881E-2</v>
      </c>
      <c r="AU75" s="243">
        <f>+'[10]Rates in summary'!D64+[10]Temporaries!K64+[10]Temporaries!M64+[10]Temporaries!L64-[10]Temporaries!AZ64</f>
        <v>0.6089399999999997</v>
      </c>
      <c r="AV75" s="500"/>
      <c r="AW75" s="571"/>
      <c r="AX75" s="325"/>
      <c r="AY75" s="325"/>
      <c r="AZ75" s="325"/>
      <c r="BA75" s="325"/>
    </row>
    <row r="76" spans="1:53" x14ac:dyDescent="0.35">
      <c r="A76" s="234">
        <f t="shared" si="38"/>
        <v>70</v>
      </c>
      <c r="B76" s="234"/>
      <c r="C76" s="344" t="s">
        <v>71</v>
      </c>
      <c r="D76" s="323">
        <f>+'[10]Washington volumes'!J65</f>
        <v>0</v>
      </c>
      <c r="E76" s="323">
        <v>600000</v>
      </c>
      <c r="F76" s="572"/>
      <c r="G76" s="493"/>
      <c r="H76" s="572"/>
      <c r="I76" s="493"/>
      <c r="J76" s="572"/>
      <c r="K76" s="493"/>
      <c r="L76" s="325">
        <f>+'[10]Rates in summary'!D65</f>
        <v>0.57791000000000003</v>
      </c>
      <c r="M76" s="493"/>
      <c r="N76" s="325">
        <f>'[10]Rates in summary'!D65+[10]Temporaries!K65+[10]Temporaries!L65+[10]Temporaries!M65-[10]Temporaries!AX65</f>
        <v>0.57791000000000003</v>
      </c>
      <c r="O76" s="493"/>
      <c r="P76" s="566"/>
      <c r="Q76" s="325">
        <f>'[10]Rates in summary'!D65+[10]Temporaries!N65+[10]Temporaries!O65-[10]Temporaries!AY65</f>
        <v>0.57780000000000009</v>
      </c>
      <c r="R76" s="493"/>
      <c r="S76" s="566"/>
      <c r="T76" s="392">
        <f>'[10]Rates in detail'!D65+[10]Temporaries!T65-[10]Temporaries!BD65+[10]Temporaries!S65-[10]Temporaries!BC65+[10]Temporaries!P65-[10]Temporaries!BB65++[10]Temporaries!Q65-[10]Temporaries!AW65</f>
        <v>0.57723000000000002</v>
      </c>
      <c r="U76" s="391"/>
      <c r="V76" s="390"/>
      <c r="W76" s="325">
        <f>'[10]Rates in summary'!D65+[10]Temporaries!R65-[10]Temporaries!AZ65</f>
        <v>0.57796000000000003</v>
      </c>
      <c r="X76" s="493"/>
      <c r="Y76" s="566"/>
      <c r="Z76" s="325">
        <f>'[10]Rates in summary'!D65+[10]Permanents!F65</f>
        <v>0.57791999999999999</v>
      </c>
      <c r="AA76" s="493"/>
      <c r="AB76" s="566"/>
      <c r="AC76" s="567">
        <f>'[10]Rates in summary'!D65+[10]Temporaries!U65-[10]Temporaries!BE65</f>
        <v>0.57791000000000003</v>
      </c>
      <c r="AD76" s="504"/>
      <c r="AE76" s="568"/>
      <c r="AF76" s="325">
        <f>'[10]Rates in summary'!D65+[10]Temporaries!V65-[10]Temporaries!BF65</f>
        <v>0.57791000000000003</v>
      </c>
      <c r="AG76" s="493"/>
      <c r="AH76" s="566"/>
      <c r="AI76" s="325">
        <f>'[10]Rates in summary'!G65+[10]Temporaries!J65</f>
        <v>0.53884999999999994</v>
      </c>
      <c r="AJ76" s="493"/>
      <c r="AK76" s="569"/>
      <c r="AL76" s="325">
        <f>+'[10]Rates in summary'!Q65</f>
        <v>0.53811999999999993</v>
      </c>
      <c r="AM76" s="493"/>
      <c r="AN76" s="570"/>
      <c r="AO76" s="496"/>
      <c r="AP76" s="557"/>
      <c r="AQ76" s="495">
        <f t="shared" si="34"/>
        <v>0</v>
      </c>
      <c r="AR76" s="495">
        <f t="shared" si="35"/>
        <v>0</v>
      </c>
      <c r="AS76" s="495">
        <f t="shared" si="36"/>
        <v>-3.9790000000000103E-2</v>
      </c>
      <c r="AT76" s="495">
        <f t="shared" si="37"/>
        <v>-3.9790000000000103E-2</v>
      </c>
      <c r="AU76" s="243">
        <f>+'[10]Rates in summary'!D65+[10]Temporaries!K65+[10]Temporaries!M65+[10]Temporaries!L65-[10]Temporaries!AZ65</f>
        <v>0.57688000000000006</v>
      </c>
      <c r="AV76" s="243"/>
      <c r="AW76" s="571"/>
      <c r="AX76" s="325"/>
      <c r="AY76" s="325"/>
      <c r="AZ76" s="325"/>
      <c r="BA76" s="325"/>
    </row>
    <row r="77" spans="1:53" x14ac:dyDescent="0.35">
      <c r="A77" s="234">
        <f t="shared" si="38"/>
        <v>71</v>
      </c>
      <c r="B77" s="234"/>
      <c r="C77" s="344" t="s">
        <v>72</v>
      </c>
      <c r="D77" s="323">
        <f>+'[10]Washington volumes'!J66</f>
        <v>0</v>
      </c>
      <c r="E77" s="525" t="s">
        <v>243</v>
      </c>
      <c r="F77" s="572"/>
      <c r="G77" s="493"/>
      <c r="H77" s="572"/>
      <c r="I77" s="493"/>
      <c r="J77" s="572"/>
      <c r="K77" s="493"/>
      <c r="L77" s="325">
        <f>+'[10]Rates in summary'!D66</f>
        <v>0.53723999999999983</v>
      </c>
      <c r="M77" s="493"/>
      <c r="N77" s="325">
        <f>'[10]Rates in summary'!D66+[10]Temporaries!K66+[10]Temporaries!L66+[10]Temporaries!M66-[10]Temporaries!AX66</f>
        <v>0.53723999999999983</v>
      </c>
      <c r="O77" s="493"/>
      <c r="P77" s="566"/>
      <c r="Q77" s="325">
        <f>'[10]Rates in summary'!D66+[10]Temporaries!N66+[10]Temporaries!O66-[10]Temporaries!AY66</f>
        <v>0.53718999999999983</v>
      </c>
      <c r="R77" s="493"/>
      <c r="S77" s="566"/>
      <c r="T77" s="392">
        <f>'[10]Rates in detail'!D66+[10]Temporaries!T66-[10]Temporaries!BD66+[10]Temporaries!S66-[10]Temporaries!BC66+[10]Temporaries!P66-[10]Temporaries!BB66++[10]Temporaries!Q66-[10]Temporaries!AW66</f>
        <v>0.53652999999999984</v>
      </c>
      <c r="U77" s="391"/>
      <c r="V77" s="390"/>
      <c r="W77" s="325">
        <f>'[10]Rates in summary'!D66+[10]Temporaries!R66-[10]Temporaries!AZ66</f>
        <v>0.53725999999999985</v>
      </c>
      <c r="X77" s="493"/>
      <c r="Y77" s="566"/>
      <c r="Z77" s="325">
        <f>'[10]Rates in summary'!D66+[10]Permanents!F66</f>
        <v>0.53724999999999978</v>
      </c>
      <c r="AA77" s="493"/>
      <c r="AB77" s="566"/>
      <c r="AC77" s="567">
        <f>'[10]Rates in summary'!D66+[10]Temporaries!U66-[10]Temporaries!BE66</f>
        <v>0.53723999999999983</v>
      </c>
      <c r="AD77" s="504"/>
      <c r="AE77" s="568"/>
      <c r="AF77" s="325">
        <f>'[10]Rates in summary'!D66+[10]Temporaries!V66-[10]Temporaries!BF66</f>
        <v>0.53723999999999983</v>
      </c>
      <c r="AG77" s="493"/>
      <c r="AH77" s="566"/>
      <c r="AI77" s="325">
        <f>'[10]Rates in summary'!G66+[10]Temporaries!J66</f>
        <v>0.49817999999999973</v>
      </c>
      <c r="AJ77" s="493"/>
      <c r="AK77" s="569"/>
      <c r="AL77" s="325">
        <f>+'[10]Rates in summary'!Q66</f>
        <v>0.49744999999999978</v>
      </c>
      <c r="AM77" s="493"/>
      <c r="AN77" s="570"/>
      <c r="AO77" s="496"/>
      <c r="AP77" s="557"/>
      <c r="AQ77" s="495">
        <f t="shared" ref="AQ77:AQ94" si="39">AC77-L77</f>
        <v>0</v>
      </c>
      <c r="AR77" s="495">
        <f t="shared" ref="AR77:AR94" si="40">AF77-L77</f>
        <v>0</v>
      </c>
      <c r="AS77" s="495">
        <f t="shared" ref="AS77:AS94" si="41">AL77-L77</f>
        <v>-3.9790000000000048E-2</v>
      </c>
      <c r="AT77" s="495">
        <f t="shared" ref="AT77:AT108" si="42">AS77-(AQ77+AR77)</f>
        <v>-3.9790000000000048E-2</v>
      </c>
      <c r="AU77" s="243">
        <f>+'[10]Rates in summary'!D66+[10]Temporaries!K66+[10]Temporaries!M66+[10]Temporaries!L66-[10]Temporaries!AZ66</f>
        <v>0.53684999999999983</v>
      </c>
      <c r="AV77" s="243"/>
      <c r="AW77" s="571"/>
      <c r="AX77" s="325"/>
      <c r="AY77" s="325"/>
      <c r="AZ77" s="325"/>
      <c r="BA77" s="325"/>
    </row>
    <row r="78" spans="1:53" x14ac:dyDescent="0.35">
      <c r="A78" s="234">
        <f t="shared" si="38"/>
        <v>72</v>
      </c>
      <c r="B78" s="338"/>
      <c r="C78" s="573" t="s">
        <v>27</v>
      </c>
      <c r="D78" s="574"/>
      <c r="E78" s="575"/>
      <c r="F78" s="576"/>
      <c r="G78" s="577"/>
      <c r="H78" s="576"/>
      <c r="I78" s="577"/>
      <c r="J78" s="576"/>
      <c r="K78" s="577"/>
      <c r="L78" s="578"/>
      <c r="M78" s="577">
        <f>$I72+ROUND(IF($F72&lt;$E72,($F72*L72),IF($F72&lt;SUM($E72:$E73),(($E72*L72)+(($F72-$E72)*L73)),IF($F72&lt;SUM($E72:$E74),(($E72*L72)+($E73*L73)+(($F72-$E72-$E73)*L74)),IF($F72&lt;SUM($E72:$E75),(($E72*L72)+($E73*L73)+($E74*L74)+(($F72-SUM($E72:$E74))*L75)),IF($F72&lt;SUM($E72:$E76),(($E72*L72)+($E73*L73)+($E74*L74)+($E75*L75)+(($F72-SUM($E72:$E75))*L76)),(($E72*L72)+($E73*L73)+($E74*L74)+($E75*L74)+($E76*L76)+(($F72-SUM($E72:$E76))*L77))))))),2)</f>
        <v>7419.7766599999995</v>
      </c>
      <c r="N78" s="578"/>
      <c r="O78" s="577">
        <f>$I72+ROUND(IF($F72&lt;$E72,($F72*N72),IF($F72&lt;SUM($E72:$E73),(($E72*N72)+(($F72-$E72)*N73)),IF($F72&lt;SUM($E72:$E74),(($E72*N72)+($E73*N73)+(($F72-$E72-$E73)*N74)),IF($F72&lt;SUM($E72:$E75),(($E72*N72)+($E73*N73)+($E74*N74)+(($F72-SUM($E72:$E74))*N75)),IF($F72&lt;SUM($E72:$E76),(($E72*N72)+($E73*N73)+($E74*N74)+($E75*N75)+(($F72-SUM($E72:$E75))*N76)),(($E72*N72)+($E73*N73)+($E74*N74)+($E75*N74)+($E76*N76)+(($F72-SUM($E72:$E76))*N77))))))),2)</f>
        <v>7419.7766599999995</v>
      </c>
      <c r="P78" s="579">
        <f>ROUND((O78-M78)/M78,3)</f>
        <v>0</v>
      </c>
      <c r="Q78" s="578"/>
      <c r="R78" s="577">
        <f>$I72+ROUND(IF($F72&lt;$E72,($F72*Q72),IF($F72&lt;SUM($E72:$E73),(($E72*Q72)+(($F72-$E72)*Q73)),IF($F72&lt;SUM($E72:$E74),(($E72*Q72)+($E73*Q73)+(($F72-$E72-$E73)*Q74)),IF($F72&lt;SUM($E72:$E75),(($E72*Q72)+($E73*Q73)+($E74*Q74)+(($F72-SUM($E72:$E74))*Q75)),IF($F72&lt;SUM($E72:$E76),(($E72*Q72)+($E73*Q73)+($E74*Q74)+($E75*Q75)+(($F72-SUM($E72:$E75))*Q76)),(($E72*Q72)+($E73*Q73)+($E74*Q74)+($E75*Q74)+($E76*Q76)+(($F72-SUM($E72:$E76))*Q77))))))),2)</f>
        <v>7415.3466599999992</v>
      </c>
      <c r="S78" s="579">
        <f>ROUND((R78-M78)/M78,3)</f>
        <v>-1E-3</v>
      </c>
      <c r="T78" s="394"/>
      <c r="U78" s="388">
        <f>$I72+ROUND(IF($F72&lt;$E72,($F72*T72),IF($F72&lt;SUM($E72:$E73),(($E72*T72)+(($F72-$E72)*T73)),IF($F72&lt;SUM($E72:$E74),(($E72*T72)+($E73*T73)+(($F72-$E72-$E73)*T74)),IF($F72&lt;SUM($E72:$E75),(($E72*T72)+($E73*T73)+($E74*T74)+(($F72-SUM($E72:$E74))*T75)),IF($F72&lt;SUM($E72:$E76),(($E72*T72)+($E73*T73)+($E74*T74)+($E75*T75)+(($F72-SUM($E72:$E75))*T76)),(($E72*T72)+($E73*T73)+($E74*T74)+($E75*T74)+($E76*T76)+(($F72-SUM($E72:$E76))*T77))))))),2)</f>
        <v>7411.9966599999989</v>
      </c>
      <c r="V78" s="387">
        <f>ROUND((U78-M78)/M78,3)</f>
        <v>-1E-3</v>
      </c>
      <c r="W78" s="578"/>
      <c r="X78" s="577">
        <f>$I72+ROUND(IF($F72&lt;$E72,($F72*W72),IF($F72&lt;SUM($E72:$E73),(($E72*W72)+(($F72-$E72)*W73)),IF($F72&lt;SUM($E72:$E74),(($E72*W72)+($E73*W73)+(($F72-$E72-$E73)*W74)),IF($F72&lt;SUM($E72:$E75),(($E72*W72)+($E73*W73)+($E74*W74)+(($F72-SUM($E72:$E74))*W75)),IF($F72&lt;SUM($E72:$E76),(($E72*W72)+($E73*W73)+($E74*W74)+($E75*W75)+(($F72-SUM($E72:$E75))*W76)),(($E72*W72)+($E73*W73)+($E74*W74)+($E75*W74)+($E76*W76)+(($F72-SUM($E72:$E76))*W77))))))),2)</f>
        <v>7421.7666599999993</v>
      </c>
      <c r="Y78" s="579">
        <f>(X78-M78)/M78</f>
        <v>2.6820214289304255E-4</v>
      </c>
      <c r="Z78" s="578"/>
      <c r="AA78" s="577">
        <f>$I72+ROUND(IF($F72&lt;$E72,($F72*Z72),IF($F72&lt;SUM($E72:$E73),(($E72*Z72)+(($F72-$E72)*Z73)),IF($F72&lt;SUM($E72:$E74),(($E72*Z72)+($E73*Z73)+(($F72-$E72-$E73)*Z74)),IF($F72&lt;SUM($E72:$E75),(($E72*Z72)+($E73*Z73)+($E74*Z74)+(($F72-SUM($E72:$E74))*Z75)),IF($F72&lt;SUM($E72:$E76),(($E72*Z72)+($E73*Z73)+($E74*Z74)+($E75*Z75)+(($F72-SUM($E72:$E75))*Z76)),(($E72*Z72)+($E73*Z73)+($E74*Z74)+($E75*Z74)+($E76*Z76)+(($F72-SUM($E72:$E76))*Z77))))))),2)</f>
        <v>7420.3266600000006</v>
      </c>
      <c r="AB78" s="579">
        <f>(AA78-M78)/M78</f>
        <v>7.4126220397729785E-5</v>
      </c>
      <c r="AC78" s="580"/>
      <c r="AD78" s="581">
        <f>$I72+ROUND(IF($F72&lt;$E72,($F72*AC72),IF($F72&lt;SUM($E72:$E73),(($E72*AC72)+(($F72-$E72)*AC73)),IF($F72&lt;SUM($E72:$E74),(($E72*AC72)+($E73*AC73)+(($F72-$E72-$E73)*AC74)),IF($F72&lt;SUM($E72:$E75),(($E72*AC72)+($E73*AC73)+($E74*AC74)+(($F72-SUM($E72:$E74))*AC75)),IF($F72&lt;SUM($E72:$E76),(($E72*AC72)+($E73*AC73)+($E74*AC74)+($E75*AC75)+(($F72-SUM($E72:$E75))*AC76)),(($E72*AC72)+($E73*AC73)+($E74*AC74)+($E75*AC74)+($E76*AC76)+(($F72-SUM($E72:$E76))*AC77))))))),2)</f>
        <v>7419.7766599999995</v>
      </c>
      <c r="AE78" s="582">
        <f>(AD78-M78)/M78</f>
        <v>0</v>
      </c>
      <c r="AF78" s="578"/>
      <c r="AG78" s="577">
        <f>$K72+ROUND(IF($F72&lt;$E72,($F72*AF72),IF($F72&lt;SUM($E72:$E73),(($E72*AF72)+(($F72-$E72)*AF73)),IF($F72&lt;SUM($E72:$E74),(($E72*AF72)+($E73*AF73)+(($F72-$E72-$E73)*AF74)),IF($F72&lt;SUM($E72:$E75),(($E72*AF72)+($E73*AF73)+($E74*AF74)+(($F72-SUM($E72:$E74))*AF75)),IF($F72&lt;SUM($E72:$E76),(($E72*AF72)+($E73*AF73)+($E74*AF74)+($E75*AF75)+(($F72-SUM($E72:$E75))*AF76)),(($E72*AF72)+($E73*AF73)+($E74*AF74)+($E75*AF74)+($E76*AF76)+(($F72-SUM($E72:$E76))*AF77))))))),2)</f>
        <v>7419.7766599999995</v>
      </c>
      <c r="AH78" s="579">
        <f>(AG78-M78)/M78</f>
        <v>0</v>
      </c>
      <c r="AI78" s="578"/>
      <c r="AJ78" s="577">
        <f>$I72+ROUND(IF($F72&lt;$E72,($F72*AI72),IF($F72&lt;SUM($E72:$E73),(($E72*AI72)+(($F72-$E72)*AI73)),IF($F72&lt;SUM($E72:$E74),(($E72*AI72)+($E73*AI73)+(($F72-$E72-$E73)*AI74)),IF($F72&lt;SUM($E72:$E75),(($E72*AI72)+($E73*AI73)+($E74*AI74)+(($F72-SUM($E72:$E74))*AI75)),IF($F72&lt;SUM($E72:$E76),(($E72*AI72)+($E73*AI73)+($E74*AI74)+($E75*AI75)+(($F72-SUM($E72:$E75))*AI76)),(($E72*AI72)+($E73*AI73)+($E74*AI74)+($E75*AI74)+($E76*AI76)+(($F72-SUM($E72:$E76))*AI77))))))),2)</f>
        <v>6882.3866600000001</v>
      </c>
      <c r="AK78" s="594">
        <f>ROUND((AJ78-M78)/M78,3)</f>
        <v>-7.1999999999999995E-2</v>
      </c>
      <c r="AL78" s="578"/>
      <c r="AM78" s="577">
        <f>$K72+ROUND(IF($F72&lt;$E72,($F72*AL72),IF($F72&lt;SUM($E72:$E73),(($E72*AL72)+(($F72-$E72)*AL73)),IF($F72&lt;SUM($E72:$E74),(($E72*AL72)+($E73*AL73)+(($F72-$E72-$E73)*AL74)),IF($F72&lt;SUM($E72:$E75),(($E72*AL72)+($E73*AL73)+($E74*AL74)+(($F72-SUM($E72:$E74))*AL75)),IF($F72&lt;SUM($E72:$E76),(($E72*AL72)+($E73*AL73)+($E74*AL74)+($E75*AL75)+(($F72-SUM($E72:$E75))*AL76)),(($E72*AL72)+($E73*AL73)+($E74*AL74)+($E75*AL74)+($E76*AL76)+(($F72-SUM($E72:$E76))*AL77))))))),2)</f>
        <v>6872.71666</v>
      </c>
      <c r="AN78" s="594">
        <f>ROUND((AM78-M78)/M78,3)</f>
        <v>-7.3999999999999996E-2</v>
      </c>
      <c r="AO78" s="496"/>
      <c r="AP78" s="557"/>
      <c r="AQ78" s="495">
        <f t="shared" si="39"/>
        <v>0</v>
      </c>
      <c r="AR78" s="495">
        <f t="shared" si="40"/>
        <v>0</v>
      </c>
      <c r="AS78" s="495">
        <f t="shared" si="41"/>
        <v>0</v>
      </c>
      <c r="AT78" s="495">
        <f t="shared" si="42"/>
        <v>0</v>
      </c>
      <c r="AU78" s="583"/>
      <c r="AV78" s="584">
        <f>$I72+ROUND(IF($F72&lt;$E72,($F72*AU72),IF($F72&lt;SUM($E72:$E73),(($E72*AU72)+(($F72-$E72)*AU73)),IF($F72&lt;SUM($E72:$E74),(($E72*AU72)+($E73*AU73)+(($F72-$E72-$E73)*AU74)),IF($F72&lt;SUM($E72:$E75),(($E72*AU72)+($E73*AU73)+($E74*AU74)+(($F72-SUM($E72:$E74))*AU75)),IF($F72&lt;SUM($E72:$E76),(($E72*AU72)+($E73*AU73)+($E74*AU74)+($E75*AU75)+(($F72-SUM($E72:$E75))*AU76)),(($E72*AU72)+($E73*AU73)+($E74*AU74)+($E75*AU74)+($E76*AU76)+(($F72-SUM($E72:$E76))*AU77))))))),2)</f>
        <v>7382.2066599999998</v>
      </c>
      <c r="AW78" s="585">
        <f>ROUND((AV78-M78)/M78,3)</f>
        <v>-5.0000000000000001E-3</v>
      </c>
      <c r="AX78" s="325"/>
      <c r="AY78" s="325"/>
      <c r="AZ78" s="325"/>
      <c r="BA78" s="325"/>
    </row>
    <row r="79" spans="1:53" x14ac:dyDescent="0.35">
      <c r="A79" s="234">
        <f t="shared" si="38"/>
        <v>73</v>
      </c>
      <c r="B79" s="234" t="s">
        <v>78</v>
      </c>
      <c r="C79" s="344" t="s">
        <v>61</v>
      </c>
      <c r="D79" s="323">
        <f>+'[10]Washington volumes'!J67</f>
        <v>0</v>
      </c>
      <c r="E79" s="323">
        <v>10000</v>
      </c>
      <c r="F79" s="572">
        <v>0</v>
      </c>
      <c r="G79" s="493">
        <f>1300+250</f>
        <v>1550</v>
      </c>
      <c r="H79" s="493">
        <f>'[33]Aver Bill by RS'!$J79</f>
        <v>5142.2693365131181</v>
      </c>
      <c r="I79" s="493">
        <f>G79-(IF(H79&gt;(F79*$H$3),(F79*$H$3),H79))</f>
        <v>1550</v>
      </c>
      <c r="J79" s="493">
        <f>'[33]Aver Bill by RS'!$J79</f>
        <v>5142.2693365131181</v>
      </c>
      <c r="K79" s="493">
        <f>G79-(IF(J79&gt;($F79*$H$4),($F79*$H$4),J79))</f>
        <v>1550</v>
      </c>
      <c r="L79" s="325">
        <f>+'[10]Rates in summary'!D67</f>
        <v>0.39076</v>
      </c>
      <c r="M79" s="493"/>
      <c r="N79" s="325">
        <f>'[10]Rates in summary'!D67+[10]Temporaries!K67+[10]Temporaries!L67+[10]Temporaries!M67-[10]Temporaries!AX67</f>
        <v>0.39076</v>
      </c>
      <c r="O79" s="493"/>
      <c r="P79" s="566"/>
      <c r="Q79" s="325">
        <f>'[10]Rates in summary'!D67+[10]Temporaries!N67+[10]Temporaries!O67-[10]Temporaries!AY67</f>
        <v>0.39076</v>
      </c>
      <c r="R79" s="493"/>
      <c r="S79" s="566"/>
      <c r="T79" s="392">
        <f>'[10]Rates in detail'!D67+[10]Temporaries!T67-[10]Temporaries!BD67+[10]Temporaries!S67-[10]Temporaries!BC67+[10]Temporaries!P67-[10]Temporaries!BB67++[10]Temporaries!Q67-[10]Temporaries!AW67</f>
        <v>0.39021000000000006</v>
      </c>
      <c r="U79" s="391"/>
      <c r="V79" s="390"/>
      <c r="W79" s="325">
        <f>'[10]Rates in summary'!D67+[10]Temporaries!R67-[10]Temporaries!AZ67</f>
        <v>0.39088000000000001</v>
      </c>
      <c r="X79" s="493"/>
      <c r="Y79" s="566"/>
      <c r="Z79" s="325">
        <f>'[10]Rates in summary'!D67+[10]Permanents!F67</f>
        <v>0.39076</v>
      </c>
      <c r="AA79" s="493"/>
      <c r="AB79" s="566"/>
      <c r="AC79" s="567">
        <f>'[10]Rates in summary'!D67+[10]Temporaries!U67-[10]Temporaries!BE67</f>
        <v>0.39076</v>
      </c>
      <c r="AD79" s="504"/>
      <c r="AE79" s="568"/>
      <c r="AF79" s="325">
        <f>'[10]Rates in summary'!D67+[10]Temporaries!V67-[10]Temporaries!BF67</f>
        <v>0.39076</v>
      </c>
      <c r="AG79" s="493"/>
      <c r="AH79" s="566"/>
      <c r="AI79" s="325">
        <f>'[10]Rates in summary'!G67+[10]Temporaries!J67</f>
        <v>0.39076</v>
      </c>
      <c r="AJ79" s="493"/>
      <c r="AK79" s="569"/>
      <c r="AL79" s="325">
        <f>+'[10]Rates in summary'!Q67</f>
        <v>0.39032999999999995</v>
      </c>
      <c r="AM79" s="493"/>
      <c r="AN79" s="570"/>
      <c r="AO79" s="496"/>
      <c r="AP79" s="557"/>
      <c r="AQ79" s="495">
        <f t="shared" si="39"/>
        <v>0</v>
      </c>
      <c r="AR79" s="495">
        <f t="shared" si="40"/>
        <v>0</v>
      </c>
      <c r="AS79" s="495">
        <f t="shared" si="41"/>
        <v>-4.3000000000004146E-4</v>
      </c>
      <c r="AT79" s="495">
        <f t="shared" si="42"/>
        <v>-4.3000000000004146E-4</v>
      </c>
      <c r="AU79" s="243">
        <f>+'[10]Rates in summary'!D67+[10]Temporaries!K67+[10]Temporaries!M67+[10]Temporaries!L67-[10]Temporaries!AZ67</f>
        <v>0.38874999999999998</v>
      </c>
      <c r="AV79" s="500"/>
      <c r="AW79" s="571"/>
      <c r="AX79" s="325"/>
      <c r="AY79" s="325"/>
      <c r="AZ79" s="325"/>
      <c r="BA79" s="325"/>
    </row>
    <row r="80" spans="1:53" x14ac:dyDescent="0.35">
      <c r="A80" s="234">
        <f t="shared" si="38"/>
        <v>74</v>
      </c>
      <c r="B80" s="234"/>
      <c r="C80" s="344" t="s">
        <v>62</v>
      </c>
      <c r="D80" s="323">
        <f>+'[10]Washington volumes'!J68</f>
        <v>0</v>
      </c>
      <c r="E80" s="323">
        <v>20000</v>
      </c>
      <c r="F80" s="572"/>
      <c r="G80" s="493"/>
      <c r="H80" s="572"/>
      <c r="I80" s="493"/>
      <c r="J80" s="572"/>
      <c r="K80" s="493"/>
      <c r="L80" s="325">
        <f>+'[10]Rates in summary'!D68</f>
        <v>0.37516000000000005</v>
      </c>
      <c r="M80" s="493"/>
      <c r="N80" s="325">
        <f>'[10]Rates in summary'!D68+[10]Temporaries!K68+[10]Temporaries!L68+[10]Temporaries!M68-[10]Temporaries!AX68</f>
        <v>0.37516000000000005</v>
      </c>
      <c r="O80" s="493"/>
      <c r="P80" s="566"/>
      <c r="Q80" s="325">
        <f>'[10]Rates in summary'!D68+[10]Temporaries!N68+[10]Temporaries!O68-[10]Temporaries!AY68</f>
        <v>0.37516000000000005</v>
      </c>
      <c r="R80" s="493"/>
      <c r="S80" s="566"/>
      <c r="T80" s="392">
        <f>'[10]Rates in detail'!D68+[10]Temporaries!T68-[10]Temporaries!BD68+[10]Temporaries!S68-[10]Temporaries!BC68+[10]Temporaries!P68-[10]Temporaries!BB68++[10]Temporaries!Q68-[10]Temporaries!AW68</f>
        <v>0.37460000000000004</v>
      </c>
      <c r="U80" s="391"/>
      <c r="V80" s="390"/>
      <c r="W80" s="325">
        <f>'[10]Rates in summary'!D68+[10]Temporaries!R68-[10]Temporaries!AZ68</f>
        <v>0.37527000000000005</v>
      </c>
      <c r="X80" s="493"/>
      <c r="Y80" s="566"/>
      <c r="Z80" s="325">
        <f>'[10]Rates in summary'!D68+[10]Permanents!F68</f>
        <v>0.37516000000000005</v>
      </c>
      <c r="AA80" s="493"/>
      <c r="AB80" s="566"/>
      <c r="AC80" s="567">
        <f>'[10]Rates in summary'!D68+[10]Temporaries!U68-[10]Temporaries!BE68</f>
        <v>0.37516000000000005</v>
      </c>
      <c r="AD80" s="504"/>
      <c r="AE80" s="568"/>
      <c r="AF80" s="325">
        <f>'[10]Rates in summary'!D68+[10]Temporaries!V68-[10]Temporaries!BF68</f>
        <v>0.37516000000000005</v>
      </c>
      <c r="AG80" s="493"/>
      <c r="AH80" s="566"/>
      <c r="AI80" s="325">
        <f>'[10]Rates in summary'!G68+[10]Temporaries!J68</f>
        <v>0.37516000000000005</v>
      </c>
      <c r="AJ80" s="493"/>
      <c r="AK80" s="569"/>
      <c r="AL80" s="325">
        <f>+'[10]Rates in summary'!Q68</f>
        <v>0.37471000000000004</v>
      </c>
      <c r="AM80" s="493"/>
      <c r="AN80" s="570"/>
      <c r="AO80" s="496"/>
      <c r="AP80" s="557"/>
      <c r="AQ80" s="495">
        <f t="shared" si="39"/>
        <v>0</v>
      </c>
      <c r="AR80" s="495">
        <f t="shared" si="40"/>
        <v>0</v>
      </c>
      <c r="AS80" s="495">
        <f t="shared" si="41"/>
        <v>-4.5000000000000595E-4</v>
      </c>
      <c r="AT80" s="495">
        <f t="shared" si="42"/>
        <v>-4.5000000000000595E-4</v>
      </c>
      <c r="AU80" s="243">
        <f>+'[10]Rates in summary'!D68+[10]Temporaries!K68+[10]Temporaries!M68+[10]Temporaries!L68-[10]Temporaries!AZ68</f>
        <v>0.37336000000000003</v>
      </c>
      <c r="AV80" s="500"/>
      <c r="AW80" s="571"/>
      <c r="AX80" s="325"/>
      <c r="AY80" s="325"/>
      <c r="AZ80" s="325"/>
      <c r="BA80" s="325"/>
    </row>
    <row r="81" spans="1:53" x14ac:dyDescent="0.35">
      <c r="A81" s="234">
        <f t="shared" si="38"/>
        <v>75</v>
      </c>
      <c r="B81" s="234"/>
      <c r="C81" s="344" t="s">
        <v>69</v>
      </c>
      <c r="D81" s="323">
        <f>+'[10]Washington volumes'!J69</f>
        <v>0</v>
      </c>
      <c r="E81" s="323">
        <v>20000</v>
      </c>
      <c r="F81" s="572"/>
      <c r="G81" s="493"/>
      <c r="H81" s="572"/>
      <c r="I81" s="493"/>
      <c r="J81" s="572"/>
      <c r="K81" s="493"/>
      <c r="L81" s="325">
        <f>+'[10]Rates in summary'!D69</f>
        <v>0.34404999999999997</v>
      </c>
      <c r="M81" s="493"/>
      <c r="N81" s="325">
        <f>'[10]Rates in summary'!D69+[10]Temporaries!K69+[10]Temporaries!L69+[10]Temporaries!M69-[10]Temporaries!AX69</f>
        <v>0.34404999999999997</v>
      </c>
      <c r="O81" s="493"/>
      <c r="P81" s="566"/>
      <c r="Q81" s="325">
        <f>'[10]Rates in summary'!D69+[10]Temporaries!N69+[10]Temporaries!O69-[10]Temporaries!AY69</f>
        <v>0.34404999999999997</v>
      </c>
      <c r="R81" s="493"/>
      <c r="S81" s="566"/>
      <c r="T81" s="392">
        <f>'[10]Rates in detail'!D69+[10]Temporaries!T69-[10]Temporaries!BD69+[10]Temporaries!S69-[10]Temporaries!BC69+[10]Temporaries!P69-[10]Temporaries!BB69++[10]Temporaries!Q69-[10]Temporaries!AW69</f>
        <v>0.34345999999999999</v>
      </c>
      <c r="U81" s="391"/>
      <c r="V81" s="390"/>
      <c r="W81" s="325">
        <f>'[10]Rates in summary'!D69+[10]Temporaries!R69-[10]Temporaries!AZ69</f>
        <v>0.34412999999999999</v>
      </c>
      <c r="X81" s="493"/>
      <c r="Y81" s="566"/>
      <c r="Z81" s="325">
        <f>'[10]Rates in summary'!D69+[10]Permanents!F69</f>
        <v>0.34404999999999997</v>
      </c>
      <c r="AA81" s="493"/>
      <c r="AB81" s="566"/>
      <c r="AC81" s="567">
        <f>'[10]Rates in summary'!D69+[10]Temporaries!U69-[10]Temporaries!BE69</f>
        <v>0.34404999999999997</v>
      </c>
      <c r="AD81" s="504"/>
      <c r="AE81" s="568"/>
      <c r="AF81" s="325">
        <f>'[10]Rates in summary'!D69+[10]Temporaries!V69-[10]Temporaries!BF69</f>
        <v>0.34404999999999997</v>
      </c>
      <c r="AG81" s="493"/>
      <c r="AH81" s="566"/>
      <c r="AI81" s="325">
        <f>'[10]Rates in summary'!G69+[10]Temporaries!J69</f>
        <v>0.34404999999999997</v>
      </c>
      <c r="AJ81" s="493"/>
      <c r="AK81" s="569"/>
      <c r="AL81" s="325">
        <f>+'[10]Rates in summary'!Q69</f>
        <v>0.34353999999999996</v>
      </c>
      <c r="AM81" s="493"/>
      <c r="AN81" s="570"/>
      <c r="AO81" s="496"/>
      <c r="AP81" s="557"/>
      <c r="AQ81" s="495">
        <f t="shared" si="39"/>
        <v>0</v>
      </c>
      <c r="AR81" s="495">
        <f t="shared" si="40"/>
        <v>0</v>
      </c>
      <c r="AS81" s="495">
        <f t="shared" si="41"/>
        <v>-5.1000000000001044E-4</v>
      </c>
      <c r="AT81" s="495">
        <f t="shared" si="42"/>
        <v>-5.1000000000001044E-4</v>
      </c>
      <c r="AU81" s="243">
        <f>+'[10]Rates in summary'!D69+[10]Temporaries!K69+[10]Temporaries!M69+[10]Temporaries!L69-[10]Temporaries!AZ69</f>
        <v>0.34266999999999997</v>
      </c>
      <c r="AV81" s="500"/>
      <c r="AW81" s="571"/>
      <c r="AX81" s="325"/>
      <c r="AY81" s="325"/>
      <c r="AZ81" s="325"/>
      <c r="BA81" s="325"/>
    </row>
    <row r="82" spans="1:53" x14ac:dyDescent="0.35">
      <c r="A82" s="234">
        <f t="shared" si="38"/>
        <v>76</v>
      </c>
      <c r="B82" s="234"/>
      <c r="C82" s="344" t="s">
        <v>70</v>
      </c>
      <c r="D82" s="323">
        <f>+'[10]Washington volumes'!J70</f>
        <v>0</v>
      </c>
      <c r="E82" s="323">
        <v>100000</v>
      </c>
      <c r="F82" s="572"/>
      <c r="G82" s="493"/>
      <c r="H82" s="572"/>
      <c r="I82" s="493"/>
      <c r="J82" s="572"/>
      <c r="K82" s="493"/>
      <c r="L82" s="325">
        <f>+'[10]Rates in summary'!D70</f>
        <v>0.3236</v>
      </c>
      <c r="M82" s="493"/>
      <c r="N82" s="325">
        <f>'[10]Rates in summary'!D70+[10]Temporaries!K70+[10]Temporaries!L70+[10]Temporaries!M70-[10]Temporaries!AX70</f>
        <v>0.3236</v>
      </c>
      <c r="O82" s="493"/>
      <c r="P82" s="566"/>
      <c r="Q82" s="325">
        <f>'[10]Rates in summary'!D70+[10]Temporaries!N70+[10]Temporaries!O70-[10]Temporaries!AY70</f>
        <v>0.3236</v>
      </c>
      <c r="R82" s="493"/>
      <c r="S82" s="566"/>
      <c r="T82" s="392">
        <f>'[10]Rates in detail'!D70+[10]Temporaries!T70-[10]Temporaries!BD70+[10]Temporaries!S70-[10]Temporaries!BC70+[10]Temporaries!P70-[10]Temporaries!BB70++[10]Temporaries!Q70-[10]Temporaries!AW70</f>
        <v>0.32300000000000001</v>
      </c>
      <c r="U82" s="391"/>
      <c r="V82" s="390"/>
      <c r="W82" s="325">
        <f>'[10]Rates in summary'!D70+[10]Temporaries!R70-[10]Temporaries!AZ70</f>
        <v>0.32366</v>
      </c>
      <c r="X82" s="493"/>
      <c r="Y82" s="566"/>
      <c r="Z82" s="325">
        <f>'[10]Rates in summary'!D70+[10]Permanents!F70</f>
        <v>0.3236</v>
      </c>
      <c r="AA82" s="493"/>
      <c r="AB82" s="566"/>
      <c r="AC82" s="567">
        <f>'[10]Rates in summary'!D70+[10]Temporaries!U70-[10]Temporaries!BE70</f>
        <v>0.3236</v>
      </c>
      <c r="AD82" s="504"/>
      <c r="AE82" s="568"/>
      <c r="AF82" s="325">
        <f>'[10]Rates in summary'!D70+[10]Temporaries!V70-[10]Temporaries!BF70</f>
        <v>0.3236</v>
      </c>
      <c r="AG82" s="493"/>
      <c r="AH82" s="566"/>
      <c r="AI82" s="325">
        <f>'[10]Rates in summary'!G70+[10]Temporaries!J70</f>
        <v>0.3236</v>
      </c>
      <c r="AJ82" s="493"/>
      <c r="AK82" s="569"/>
      <c r="AL82" s="325">
        <f>+'[10]Rates in summary'!Q70</f>
        <v>0.32306000000000001</v>
      </c>
      <c r="AM82" s="493"/>
      <c r="AN82" s="570"/>
      <c r="AO82" s="496"/>
      <c r="AP82" s="557"/>
      <c r="AQ82" s="495">
        <f t="shared" si="39"/>
        <v>0</v>
      </c>
      <c r="AR82" s="495">
        <f t="shared" si="40"/>
        <v>0</v>
      </c>
      <c r="AS82" s="495">
        <f t="shared" si="41"/>
        <v>-5.3999999999998494E-4</v>
      </c>
      <c r="AT82" s="495">
        <f t="shared" si="42"/>
        <v>-5.3999999999998494E-4</v>
      </c>
      <c r="AU82" s="243">
        <f>+'[10]Rates in summary'!D70+[10]Temporaries!K70+[10]Temporaries!M70+[10]Temporaries!L70-[10]Temporaries!AZ70</f>
        <v>0.32249</v>
      </c>
      <c r="AV82" s="500"/>
      <c r="AW82" s="571"/>
      <c r="AX82" s="325"/>
      <c r="AY82" s="325"/>
      <c r="AZ82" s="325"/>
      <c r="BA82" s="325"/>
    </row>
    <row r="83" spans="1:53" x14ac:dyDescent="0.35">
      <c r="A83" s="234">
        <f t="shared" si="38"/>
        <v>77</v>
      </c>
      <c r="B83" s="234"/>
      <c r="C83" s="344" t="s">
        <v>71</v>
      </c>
      <c r="D83" s="323">
        <f>+'[10]Washington volumes'!J71</f>
        <v>0</v>
      </c>
      <c r="E83" s="323">
        <v>600000</v>
      </c>
      <c r="F83" s="572"/>
      <c r="G83" s="493"/>
      <c r="H83" s="572"/>
      <c r="I83" s="493"/>
      <c r="J83" s="572"/>
      <c r="K83" s="493"/>
      <c r="L83" s="325">
        <f>+'[10]Rates in summary'!D71</f>
        <v>0.29632999999999998</v>
      </c>
      <c r="M83" s="493"/>
      <c r="N83" s="325">
        <f>'[10]Rates in summary'!D71+[10]Temporaries!K71+[10]Temporaries!L71+[10]Temporaries!M71-[10]Temporaries!AX71</f>
        <v>0.29632999999999998</v>
      </c>
      <c r="O83" s="493"/>
      <c r="P83" s="566"/>
      <c r="Q83" s="325">
        <f>'[10]Rates in summary'!D71+[10]Temporaries!N71+[10]Temporaries!O71-[10]Temporaries!AY71</f>
        <v>0.29632999999999998</v>
      </c>
      <c r="R83" s="493"/>
      <c r="S83" s="566"/>
      <c r="T83" s="392">
        <f>'[10]Rates in detail'!D71+[10]Temporaries!T71-[10]Temporaries!BD71+[10]Temporaries!S71-[10]Temporaries!BC71+[10]Temporaries!P71-[10]Temporaries!BB71++[10]Temporaries!Q71-[10]Temporaries!AW71</f>
        <v>0.29570000000000002</v>
      </c>
      <c r="U83" s="391"/>
      <c r="V83" s="390"/>
      <c r="W83" s="325">
        <f>'[10]Rates in summary'!D71+[10]Temporaries!R71-[10]Temporaries!AZ71</f>
        <v>0.29636999999999997</v>
      </c>
      <c r="X83" s="493"/>
      <c r="Y83" s="566"/>
      <c r="Z83" s="325">
        <f>'[10]Rates in summary'!D71+[10]Permanents!F71</f>
        <v>0.29632999999999998</v>
      </c>
      <c r="AA83" s="493"/>
      <c r="AB83" s="566"/>
      <c r="AC83" s="567">
        <f>'[10]Rates in summary'!D71+[10]Temporaries!U71-[10]Temporaries!BE71</f>
        <v>0.29632999999999998</v>
      </c>
      <c r="AD83" s="504"/>
      <c r="AE83" s="568"/>
      <c r="AF83" s="325">
        <f>'[10]Rates in summary'!D71+[10]Temporaries!V71-[10]Temporaries!BF71</f>
        <v>0.29632999999999998</v>
      </c>
      <c r="AG83" s="493"/>
      <c r="AH83" s="566"/>
      <c r="AI83" s="325">
        <f>'[10]Rates in summary'!G71+[10]Temporaries!J71</f>
        <v>0.29632999999999998</v>
      </c>
      <c r="AJ83" s="493"/>
      <c r="AK83" s="569"/>
      <c r="AL83" s="325">
        <f>+'[10]Rates in summary'!Q71</f>
        <v>0.29574</v>
      </c>
      <c r="AM83" s="493"/>
      <c r="AN83" s="570"/>
      <c r="AO83" s="496"/>
      <c r="AP83" s="557"/>
      <c r="AQ83" s="495">
        <f t="shared" si="39"/>
        <v>0</v>
      </c>
      <c r="AR83" s="495">
        <f t="shared" si="40"/>
        <v>0</v>
      </c>
      <c r="AS83" s="495">
        <f t="shared" si="41"/>
        <v>-5.8999999999997943E-4</v>
      </c>
      <c r="AT83" s="495">
        <f t="shared" si="42"/>
        <v>-5.8999999999997943E-4</v>
      </c>
      <c r="AU83" s="243">
        <f>+'[10]Rates in summary'!D71+[10]Temporaries!K71+[10]Temporaries!M71+[10]Temporaries!L71-[10]Temporaries!AZ71</f>
        <v>0.29558999999999996</v>
      </c>
      <c r="AV83" s="243"/>
      <c r="AW83" s="571"/>
      <c r="AX83" s="325"/>
      <c r="AY83" s="325"/>
      <c r="AZ83" s="325"/>
      <c r="BA83" s="325"/>
    </row>
    <row r="84" spans="1:53" x14ac:dyDescent="0.35">
      <c r="A84" s="234">
        <f t="shared" si="38"/>
        <v>78</v>
      </c>
      <c r="B84" s="234"/>
      <c r="C84" s="344" t="s">
        <v>72</v>
      </c>
      <c r="D84" s="323">
        <f>+'[10]Washington volumes'!J72</f>
        <v>0</v>
      </c>
      <c r="E84" s="525" t="s">
        <v>243</v>
      </c>
      <c r="F84" s="572"/>
      <c r="G84" s="493"/>
      <c r="H84" s="572"/>
      <c r="I84" s="493"/>
      <c r="J84" s="572"/>
      <c r="K84" s="493"/>
      <c r="L84" s="325">
        <f>+'[10]Rates in summary'!D72</f>
        <v>0.26221000000000005</v>
      </c>
      <c r="M84" s="493"/>
      <c r="N84" s="325">
        <f>'[10]Rates in summary'!D72+[10]Temporaries!K72+[10]Temporaries!L72+[10]Temporaries!M72-[10]Temporaries!AX72</f>
        <v>0.26221000000000005</v>
      </c>
      <c r="O84" s="493"/>
      <c r="P84" s="566"/>
      <c r="Q84" s="325">
        <f>'[10]Rates in summary'!D72+[10]Temporaries!N72+[10]Temporaries!O72-[10]Temporaries!AY72</f>
        <v>0.26221000000000005</v>
      </c>
      <c r="R84" s="493"/>
      <c r="S84" s="566"/>
      <c r="T84" s="392">
        <f>'[10]Rates in detail'!D72+[10]Temporaries!T72-[10]Temporaries!BD72+[10]Temporaries!S72-[10]Temporaries!BC72+[10]Temporaries!P72-[10]Temporaries!BB72++[10]Temporaries!Q72-[10]Temporaries!AW72</f>
        <v>0.26155000000000012</v>
      </c>
      <c r="U84" s="391"/>
      <c r="V84" s="390"/>
      <c r="W84" s="325">
        <f>'[10]Rates in summary'!D72+[10]Temporaries!R72-[10]Temporaries!AZ72</f>
        <v>0.26222000000000006</v>
      </c>
      <c r="X84" s="493"/>
      <c r="Y84" s="566"/>
      <c r="Z84" s="325">
        <f>'[10]Rates in summary'!D72+[10]Permanents!F72</f>
        <v>0.26221000000000005</v>
      </c>
      <c r="AA84" s="493"/>
      <c r="AB84" s="566"/>
      <c r="AC84" s="567">
        <f>'[10]Rates in summary'!D72+[10]Temporaries!U72-[10]Temporaries!BE72</f>
        <v>0.26221000000000005</v>
      </c>
      <c r="AD84" s="504"/>
      <c r="AE84" s="568"/>
      <c r="AF84" s="325">
        <f>'[10]Rates in summary'!D72+[10]Temporaries!V72-[10]Temporaries!BF72</f>
        <v>0.26221000000000005</v>
      </c>
      <c r="AG84" s="493"/>
      <c r="AH84" s="566"/>
      <c r="AI84" s="325">
        <f>'[10]Rates in summary'!G72+[10]Temporaries!J72</f>
        <v>0.26221000000000005</v>
      </c>
      <c r="AJ84" s="493"/>
      <c r="AK84" s="569"/>
      <c r="AL84" s="325">
        <f>+'[10]Rates in summary'!Q72</f>
        <v>0.26156000000000007</v>
      </c>
      <c r="AM84" s="493"/>
      <c r="AN84" s="570"/>
      <c r="AO84" s="496"/>
      <c r="AP84" s="557"/>
      <c r="AQ84" s="495">
        <f t="shared" si="39"/>
        <v>0</v>
      </c>
      <c r="AR84" s="495">
        <f t="shared" si="40"/>
        <v>0</v>
      </c>
      <c r="AS84" s="495">
        <f t="shared" si="41"/>
        <v>-6.4999999999998392E-4</v>
      </c>
      <c r="AT84" s="495">
        <f t="shared" si="42"/>
        <v>-6.4999999999998392E-4</v>
      </c>
      <c r="AU84" s="243">
        <f>+'[10]Rates in summary'!D72+[10]Temporaries!K72+[10]Temporaries!M72+[10]Temporaries!L72-[10]Temporaries!AZ72</f>
        <v>0.26193000000000005</v>
      </c>
      <c r="AV84" s="243"/>
      <c r="AW84" s="571"/>
      <c r="AX84" s="325"/>
      <c r="AY84" s="325"/>
      <c r="AZ84" s="325"/>
      <c r="BA84" s="325"/>
    </row>
    <row r="85" spans="1:53" x14ac:dyDescent="0.35">
      <c r="A85" s="234">
        <f t="shared" si="38"/>
        <v>79</v>
      </c>
      <c r="B85" s="338"/>
      <c r="C85" s="573" t="s">
        <v>27</v>
      </c>
      <c r="D85" s="574"/>
      <c r="E85" s="575"/>
      <c r="F85" s="576"/>
      <c r="G85" s="577"/>
      <c r="H85" s="576"/>
      <c r="I85" s="577"/>
      <c r="J85" s="576"/>
      <c r="K85" s="577"/>
      <c r="L85" s="578"/>
      <c r="M85" s="577">
        <f>$I79+ROUND(IF($F79&lt;$E79,($F79*L79),IF($F79&lt;SUM($E79:$E80),(($E79*L79)+(($F79-$E79)*L80)),IF($F79&lt;SUM($E79:$E81),(($E79*L79)+($E80*L80)+(($F79-$E79-$E80)*L81)),IF($F79&lt;SUM($E79:$E82),(($E79*L79)+($E80*L80)+($E81*L81)+(($F79-SUM($E79:$E81))*L82)),IF($F79&lt;SUM($E79:$E83),(($E79*L79)+($E80*L80)+($E81*L81)+($E82*L82)+(($F79-SUM($E79:$E82))*L83)),(($E79*L79)+($E80*L80)+($E81*L81)+($E82*L81)+($E83*L83)+(($F79-SUM($E79:$E83))*L84))))))),2)</f>
        <v>1550</v>
      </c>
      <c r="N85" s="577"/>
      <c r="O85" s="577">
        <f>$I79+ROUND(IF($F79&lt;$E79,($F79*N79),IF($F79&lt;SUM($E79:$E80),(($E79*N79)+(($F79-$E79)*N80)),IF($F79&lt;SUM($E79:$E81),(($E79*N79)+($E80*N80)+(($F79-$E79-$E80)*N81)),IF($F79&lt;SUM($E79:$E82),(($E79*N79)+($E80*N80)+($E81*N81)+(($F79-SUM($E79:$E81))*N82)),IF($F79&lt;SUM($E79:$E83),(($E79*N79)+($E80*N80)+($E81*N81)+($E82*N82)+(($F79-SUM($E79:$E82))*N83)),(($E79*N79)+($E80*N80)+($E81*N81)+($E82*N81)+($E83*N83)+(($F79-SUM($E79:$E83))*N84))))))),2)</f>
        <v>1550</v>
      </c>
      <c r="P85" s="579">
        <f>ROUND((O85-M85)/M85,3)</f>
        <v>0</v>
      </c>
      <c r="Q85" s="577"/>
      <c r="R85" s="577">
        <f>$I79+ROUND(IF($F79&lt;$E79,($F79*Q79),IF($F79&lt;SUM($E79:$E80),(($E79*Q79)+(($F79-$E79)*Q80)),IF($F79&lt;SUM($E79:$E81),(($E79*Q79)+($E80*Q80)+(($F79-$E79-$E80)*Q81)),IF($F79&lt;SUM($E79:$E82),(($E79*Q79)+($E80*Q80)+($E81*Q81)+(($F79-SUM($E79:$E81))*Q82)),IF($F79&lt;SUM($E79:$E83),(($E79*Q79)+($E80*Q80)+($E81*Q81)+($E82*Q82)+(($F79-SUM($E79:$E82))*Q83)),(($E79*Q79)+($E80*Q80)+($E81*Q81)+($E82*Q81)+($E83*Q83)+(($F79-SUM($E79:$E83))*Q84))))))),2)</f>
        <v>1550</v>
      </c>
      <c r="S85" s="579">
        <f>ROUND((R85-M85)/M85,3)</f>
        <v>0</v>
      </c>
      <c r="T85" s="393"/>
      <c r="U85" s="388">
        <f>$I79+ROUND(IF($F79&lt;$E79,($F79*T79),IF($F79&lt;SUM($E79:$E80),(($E79*T79)+(($F79-$E79)*T80)),IF($F79&lt;SUM($E79:$E81),(($E79*T79)+($E80*T80)+(($F79-$E79-$E80)*T81)),IF($F79&lt;SUM($E79:$E82),(($E79*T79)+($E80*T80)+($E81*T81)+(($F79-SUM($E79:$E81))*T82)),IF($F79&lt;SUM($E79:$E83),(($E79*T79)+($E80*T80)+($E81*T81)+($E82*T82)+(($F79-SUM($E79:$E82))*T83)),(($E79*T79)+($E80*T80)+($E81*T81)+($E82*T81)+($E83*T83)+(($F79-SUM($E79:$E83))*T84))))))),2)</f>
        <v>1550</v>
      </c>
      <c r="V85" s="387">
        <f>ROUND((U85-M85)/M85,3)</f>
        <v>0</v>
      </c>
      <c r="W85" s="577"/>
      <c r="X85" s="577">
        <f>$I79+ROUND(IF($F79&lt;$E79,($F79*W79),IF($F79&lt;SUM($E79:$E80),(($E79*W79)+(($F79-$E79)*W80)),IF($F79&lt;SUM($E79:$E81),(($E79*W79)+($E80*W80)+(($F79-$E79-$E80)*W81)),IF($F79&lt;SUM($E79:$E82),(($E79*W79)+($E80*W80)+($E81*W81)+(($F79-SUM($E79:$E81))*W82)),IF($F79&lt;SUM($E79:$E83),(($E79*W79)+($E80*W80)+($E81*W81)+($E82*W82)+(($F79-SUM($E79:$E82))*W83)),(($E79*W79)+($E80*W80)+($E81*W81)+($E82*W81)+($E83*W83)+(($F79-SUM($E79:$E83))*W84))))))),2)</f>
        <v>1550</v>
      </c>
      <c r="Y85" s="599">
        <f>(X85-M85)/M85</f>
        <v>0</v>
      </c>
      <c r="Z85" s="578"/>
      <c r="AA85" s="577">
        <f>$I79+ROUND(IF($F79&lt;$E79,($F79*Z79),IF($F79&lt;SUM($E79:$E80),(($E79*Z79)+(($F79-$E79)*Z80)),IF($F79&lt;SUM($E79:$E81),(($E79*Z79)+($E80*Z80)+(($F79-$E79-$E80)*Z81)),IF($F79&lt;SUM($E79:$E82),(($E79*Z79)+($E80*Z80)+($E81*Z81)+(($F79-SUM($E79:$E81))*Z82)),IF($F79&lt;SUM($E79:$E83),(($E79*Z79)+($E80*Z80)+($E81*Z81)+($E82*Z82)+(($F79-SUM($E79:$E82))*Z83)),(($E79*Z79)+($E80*Z80)+($E81*Z81)+($E82*Z81)+($E83*Z83)+(($F79-SUM($E79:$E83))*Z84))))))),2)</f>
        <v>1550</v>
      </c>
      <c r="AB85" s="579">
        <f>(AA85-M85)/M85</f>
        <v>0</v>
      </c>
      <c r="AC85" s="580"/>
      <c r="AD85" s="581">
        <f>$I79+ROUND(IF($F79&lt;$E79,($F79*AC79),IF($F79&lt;SUM($E79:$E80),(($E79*AC79)+(($F79-$E79)*AC80)),IF($F79&lt;SUM($E79:$E81),(($E79*AC79)+($E80*AC80)+(($F79-$E79-$E80)*AC81)),IF($F79&lt;SUM($E79:$E82),(($E79*AC79)+($E80*AC80)+($E81*AC81)+(($F79-SUM($E79:$E81))*AC82)),IF($F79&lt;SUM($E79:$E83),(($E79*AC79)+($E80*AC80)+($E81*AC81)+($E82*AC82)+(($F79-SUM($E79:$E82))*AC83)),(($E79*AC79)+($E80*AC80)+($E81*AC81)+($E82*AC81)+($E83*AC83)+(($F79-SUM($E79:$E83))*AC84))))))),2)</f>
        <v>1550</v>
      </c>
      <c r="AE85" s="582">
        <f>(AD85-M85)/M85</f>
        <v>0</v>
      </c>
      <c r="AF85" s="578"/>
      <c r="AG85" s="577">
        <f>$K79+ROUND(IF($F79&lt;$E79,($F79*AF79),IF($F79&lt;SUM($E79:$E80),(($E79*AF79)+(($F79-$E79)*AF80)),IF($F79&lt;SUM($E79:$E81),(($E79*AF79)+($E80*AF80)+(($F79-$E79-$E80)*AF81)),IF($F79&lt;SUM($E79:$E82),(($E79*AF79)+($E80*AF80)+($E81*AF81)+(($F79-SUM($E79:$E81))*AF82)),IF($F79&lt;SUM($E79:$E83),(($E79*AF79)+($E80*AF80)+($E81*AF81)+($E82*AF82)+(($F79-SUM($E79:$E82))*AF83)),(($E79*AF79)+($E80*AF80)+($E81*AF81)+($E82*AF81)+($E83*AF83)+(($F79-SUM($E79:$E83))*AF84))))))),2)</f>
        <v>1550</v>
      </c>
      <c r="AH85" s="579">
        <f>(AG85-M85)/M85</f>
        <v>0</v>
      </c>
      <c r="AI85" s="600"/>
      <c r="AJ85" s="577">
        <f>$I79+ROUND(IF($F79&lt;$E79,($F79*AI79),IF($F79&lt;SUM($E79:$E80),(($E79*AI79)+(($F79-$E79)*AI80)),IF($F79&lt;SUM($E79:$E81),(($E79*AI79)+($E80*AI80)+(($F79-$E79-$E80)*AI81)),IF($F79&lt;SUM($E79:$E82),(($E79*AI79)+($E80*AI80)+($E81*AI81)+(($F79-SUM($E79:$E81))*AI82)),IF($F79&lt;SUM($E79:$E83),(($E79*AI79)+($E80*AI80)+($E81*AI81)+($E82*AI82)+(($F79-SUM($E79:$E82))*AI83)),(($E79*AI79)+($E80*AI80)+($E81*AI81)+($E82*AI81)+($E83*AI83)+(($F79-SUM($E79:$E83))*AI84))))))),2)</f>
        <v>1550</v>
      </c>
      <c r="AK85" s="586">
        <f>ROUND((AJ85-M85)/M85,3)</f>
        <v>0</v>
      </c>
      <c r="AL85" s="325"/>
      <c r="AM85" s="577">
        <f>$K79+ROUND(IF($F79&lt;$E79,($F79*AL79),IF($F79&lt;SUM($E79:$E80),(($E79*AL79)+(($F79-$E79)*AL80)),IF($F79&lt;SUM($E79:$E81),(($E79*AL79)+($E80*AL80)+(($F79-$E79-$E80)*AL81)),IF($F79&lt;SUM($E79:$E82),(($E79*AL79)+($E80*AL80)+($E81*AL81)+(($F79-SUM($E79:$E81))*AL82)),IF($F79&lt;SUM($E79:$E83),(($E79*AL79)+($E80*AL80)+($E81*AL81)+($E82*AL82)+(($F79-SUM($E79:$E82))*AL83)),(($E79*AL79)+($E80*AL80)+($E81*AL81)+($E82*AL81)+($E83*AL83)+(($F79-SUM($E79:$E83))*AL84))))))),2)</f>
        <v>1550</v>
      </c>
      <c r="AN85" s="594">
        <f>ROUND((AM85-M85)/M85,3)</f>
        <v>0</v>
      </c>
      <c r="AO85" s="496"/>
      <c r="AP85" s="557"/>
      <c r="AQ85" s="495">
        <f t="shared" si="39"/>
        <v>0</v>
      </c>
      <c r="AR85" s="495">
        <f t="shared" si="40"/>
        <v>0</v>
      </c>
      <c r="AS85" s="495">
        <f t="shared" si="41"/>
        <v>0</v>
      </c>
      <c r="AT85" s="495">
        <f t="shared" si="42"/>
        <v>0</v>
      </c>
      <c r="AU85" s="583"/>
      <c r="AV85" s="584">
        <f>$I79+ROUND(IF($F79&lt;$E79,($F79*AU79),IF($F79&lt;SUM($E79:$E80),(($E79*AU79)+(($F79-$E79)*AU80)),IF($F79&lt;SUM($E79:$E81),(($E79*AU79)+($E80*AU80)+(($F79-$E79-$E80)*AU81)),IF($F79&lt;SUM($E79:$E82),(($E79*AU79)+($E80*AU80)+($E81*AU81)+(($F79-SUM($E79:$E81))*AU82)),IF($F79&lt;SUM($E79:$E83),(($E79*AU79)+($E80*AU80)+($E81*AU81)+($E82*AU82)+(($F79-SUM($E79:$E82))*AU83)),(($E79*AU79)+($E80*AU80)+($E81*AU81)+($E82*AU81)+($E83*AU83)+(($F79-SUM($E79:$E83))*AU84))))))),2)</f>
        <v>1550</v>
      </c>
      <c r="AW85" s="585">
        <f>ROUND((AV85-M85)/M85,3)</f>
        <v>0</v>
      </c>
      <c r="AX85" s="325"/>
      <c r="AY85" s="325"/>
      <c r="AZ85" s="325"/>
      <c r="BA85" s="325"/>
    </row>
    <row r="86" spans="1:53" x14ac:dyDescent="0.35">
      <c r="A86" s="234">
        <f t="shared" si="38"/>
        <v>80</v>
      </c>
      <c r="B86" s="234" t="s">
        <v>79</v>
      </c>
      <c r="C86" s="344" t="s">
        <v>61</v>
      </c>
      <c r="D86" s="323">
        <f>+'[10]Washington volumes'!J73</f>
        <v>952237.06746634038</v>
      </c>
      <c r="E86" s="323">
        <v>10000</v>
      </c>
      <c r="F86" s="572">
        <v>95634</v>
      </c>
      <c r="G86" s="493">
        <f>1300+250</f>
        <v>1550</v>
      </c>
      <c r="H86" s="493">
        <f>'[33]Aver Bill by RS'!$J86</f>
        <v>3945.7691048183847</v>
      </c>
      <c r="I86" s="493">
        <f>G86-(IF(H86&gt;(F86*$H$3),(F86*$H$3),H86))</f>
        <v>-2395.7691048183847</v>
      </c>
      <c r="J86" s="493">
        <f>'[33]Aver Bill by RS'!$J86</f>
        <v>3945.7691048183847</v>
      </c>
      <c r="K86" s="493">
        <f>G86-(IF(J86&gt;($F86*$H$4),($F86*$H$4),J86))</f>
        <v>-2395.7691048183847</v>
      </c>
      <c r="L86" s="325">
        <f>+'[10]Rates in summary'!D73</f>
        <v>0.39346999999999999</v>
      </c>
      <c r="M86" s="493"/>
      <c r="N86" s="325">
        <f>'[10]Rates in summary'!D73+[10]Temporaries!K73+[10]Temporaries!L73+[10]Temporaries!M73-[10]Temporaries!AX73</f>
        <v>0.39346999999999999</v>
      </c>
      <c r="O86" s="493"/>
      <c r="P86" s="566"/>
      <c r="Q86" s="325">
        <f>'[10]Rates in summary'!D73+[10]Temporaries!N73+[10]Temporaries!O73-[10]Temporaries!AY73</f>
        <v>0.39346999999999999</v>
      </c>
      <c r="R86" s="493"/>
      <c r="S86" s="566"/>
      <c r="T86" s="392">
        <f>'[10]Rates in detail'!D73+[10]Temporaries!T73-[10]Temporaries!BD73+[10]Temporaries!S73-[10]Temporaries!BC73+[10]Temporaries!P73-[10]Temporaries!BB73++[10]Temporaries!Q73-[10]Temporaries!AW73</f>
        <v>0.39283000000000007</v>
      </c>
      <c r="U86" s="391"/>
      <c r="V86" s="390"/>
      <c r="W86" s="325">
        <f>'[10]Rates in summary'!D73+[10]Temporaries!R73-[10]Temporaries!AZ73</f>
        <v>0.39356999999999998</v>
      </c>
      <c r="X86" s="493"/>
      <c r="Y86" s="566"/>
      <c r="Z86" s="325">
        <f>'[10]Rates in summary'!D73+[10]Permanents!F73</f>
        <v>0.39346999999999999</v>
      </c>
      <c r="AA86" s="493"/>
      <c r="AB86" s="566"/>
      <c r="AC86" s="567">
        <f>'[10]Rates in summary'!D73+[10]Temporaries!U73-[10]Temporaries!BE73</f>
        <v>0.39346999999999999</v>
      </c>
      <c r="AD86" s="504"/>
      <c r="AE86" s="568"/>
      <c r="AF86" s="325">
        <f>'[10]Rates in summary'!D73+[10]Temporaries!V73-[10]Temporaries!BF73</f>
        <v>0.39346999999999999</v>
      </c>
      <c r="AG86" s="493"/>
      <c r="AH86" s="566"/>
      <c r="AI86" s="325">
        <f>'[10]Rates in summary'!G73+[10]Temporaries!J73</f>
        <v>0.39346999999999999</v>
      </c>
      <c r="AJ86" s="493"/>
      <c r="AK86" s="569"/>
      <c r="AL86" s="325">
        <f>+'[10]Rates in summary'!Q73</f>
        <v>0.39293</v>
      </c>
      <c r="AM86" s="493"/>
      <c r="AN86" s="570"/>
      <c r="AO86" s="496"/>
      <c r="AP86" s="557"/>
      <c r="AQ86" s="495">
        <f t="shared" si="39"/>
        <v>0</v>
      </c>
      <c r="AR86" s="495">
        <f t="shared" si="40"/>
        <v>0</v>
      </c>
      <c r="AS86" s="495">
        <f t="shared" si="41"/>
        <v>-5.3999999999998494E-4</v>
      </c>
      <c r="AT86" s="495">
        <f t="shared" si="42"/>
        <v>-5.3999999999998494E-4</v>
      </c>
      <c r="AU86" s="243">
        <f>+'[10]Rates in summary'!D80+[10]Temporaries!K74+[10]Temporaries!M74+[10]Temporaries!L74-[10]Temporaries!AZ74</f>
        <v>0.24504999999999996</v>
      </c>
      <c r="AV86" s="500"/>
      <c r="AW86" s="571"/>
      <c r="AX86" s="325"/>
      <c r="AY86" s="325"/>
      <c r="AZ86" s="325"/>
      <c r="BA86" s="325"/>
    </row>
    <row r="87" spans="1:53" x14ac:dyDescent="0.35">
      <c r="A87" s="234">
        <f t="shared" si="38"/>
        <v>81</v>
      </c>
      <c r="B87" s="234"/>
      <c r="C87" s="344" t="s">
        <v>62</v>
      </c>
      <c r="D87" s="323">
        <f>+'[10]Washington volumes'!J74</f>
        <v>1827774.6796347289</v>
      </c>
      <c r="E87" s="323">
        <v>20000</v>
      </c>
      <c r="F87" s="572"/>
      <c r="G87" s="493"/>
      <c r="H87" s="572"/>
      <c r="I87" s="493"/>
      <c r="J87" s="572"/>
      <c r="K87" s="493"/>
      <c r="L87" s="325">
        <f>+'[10]Rates in summary'!D74</f>
        <v>0.37758000000000003</v>
      </c>
      <c r="M87" s="493"/>
      <c r="N87" s="325">
        <f>'[10]Rates in summary'!D74+[10]Temporaries!K74+[10]Temporaries!L74+[10]Temporaries!M74-[10]Temporaries!AX74</f>
        <v>0.37758000000000003</v>
      </c>
      <c r="O87" s="493"/>
      <c r="P87" s="566"/>
      <c r="Q87" s="325">
        <f>'[10]Rates in summary'!D74+[10]Temporaries!N74+[10]Temporaries!O74-[10]Temporaries!AY74</f>
        <v>0.37758000000000003</v>
      </c>
      <c r="R87" s="493"/>
      <c r="S87" s="566"/>
      <c r="T87" s="392">
        <f>'[10]Rates in detail'!D74+[10]Temporaries!T74-[10]Temporaries!BD74+[10]Temporaries!S74-[10]Temporaries!BC74+[10]Temporaries!P74-[10]Temporaries!BB74++[10]Temporaries!Q74-[10]Temporaries!AW74</f>
        <v>0.37693000000000004</v>
      </c>
      <c r="U87" s="391"/>
      <c r="V87" s="390"/>
      <c r="W87" s="325">
        <f>'[10]Rates in summary'!D74+[10]Temporaries!R74-[10]Temporaries!AZ74</f>
        <v>0.37767000000000001</v>
      </c>
      <c r="X87" s="493"/>
      <c r="Y87" s="566"/>
      <c r="Z87" s="325">
        <f>'[10]Rates in summary'!D74+[10]Permanents!F74</f>
        <v>0.37758000000000003</v>
      </c>
      <c r="AA87" s="493"/>
      <c r="AB87" s="566"/>
      <c r="AC87" s="567">
        <f>'[10]Rates in summary'!D74+[10]Temporaries!U74-[10]Temporaries!BE74</f>
        <v>0.37758000000000003</v>
      </c>
      <c r="AD87" s="504"/>
      <c r="AE87" s="568"/>
      <c r="AF87" s="325">
        <f>'[10]Rates in summary'!D74+[10]Temporaries!V74-[10]Temporaries!BF74</f>
        <v>0.37758000000000003</v>
      </c>
      <c r="AG87" s="493"/>
      <c r="AH87" s="566"/>
      <c r="AI87" s="325">
        <f>'[10]Rates in summary'!G74+[10]Temporaries!J74</f>
        <v>0.37758000000000003</v>
      </c>
      <c r="AJ87" s="493"/>
      <c r="AK87" s="569"/>
      <c r="AL87" s="325">
        <f>+'[10]Rates in summary'!Q74</f>
        <v>0.37702000000000002</v>
      </c>
      <c r="AM87" s="493"/>
      <c r="AN87" s="570"/>
      <c r="AO87" s="496"/>
      <c r="AP87" s="557"/>
      <c r="AQ87" s="495">
        <f t="shared" si="39"/>
        <v>0</v>
      </c>
      <c r="AR87" s="495">
        <f t="shared" si="40"/>
        <v>0</v>
      </c>
      <c r="AS87" s="495">
        <f t="shared" si="41"/>
        <v>-5.6000000000000494E-4</v>
      </c>
      <c r="AT87" s="495">
        <f t="shared" si="42"/>
        <v>-5.6000000000000494E-4</v>
      </c>
      <c r="AU87" s="243">
        <f>+'[10]Rates in summary'!D81+[10]Temporaries!K75+[10]Temporaries!M75+[10]Temporaries!L75-[10]Temporaries!AZ75</f>
        <v>-1.3799999999999999E-3</v>
      </c>
      <c r="AV87" s="500"/>
      <c r="AW87" s="571"/>
      <c r="AX87" s="325"/>
      <c r="AY87" s="325"/>
      <c r="AZ87" s="325"/>
      <c r="BA87" s="325"/>
    </row>
    <row r="88" spans="1:53" x14ac:dyDescent="0.35">
      <c r="A88" s="234">
        <f t="shared" si="38"/>
        <v>82</v>
      </c>
      <c r="B88" s="234"/>
      <c r="C88" s="344" t="s">
        <v>69</v>
      </c>
      <c r="D88" s="323">
        <f>+'[10]Washington volumes'!J75</f>
        <v>1364375.8495009863</v>
      </c>
      <c r="E88" s="323">
        <v>20000</v>
      </c>
      <c r="F88" s="572"/>
      <c r="G88" s="493"/>
      <c r="H88" s="572"/>
      <c r="I88" s="493"/>
      <c r="J88" s="572"/>
      <c r="K88" s="493"/>
      <c r="L88" s="325">
        <f>+'[10]Rates in summary'!D75</f>
        <v>0.34592000000000001</v>
      </c>
      <c r="M88" s="493"/>
      <c r="N88" s="325">
        <f>'[10]Rates in summary'!D75+[10]Temporaries!K75+[10]Temporaries!L75+[10]Temporaries!M75-[10]Temporaries!AX75</f>
        <v>0.34592000000000001</v>
      </c>
      <c r="O88" s="493"/>
      <c r="P88" s="566"/>
      <c r="Q88" s="325">
        <f>'[10]Rates in summary'!D75+[10]Temporaries!N75+[10]Temporaries!O75-[10]Temporaries!AY75</f>
        <v>0.34592000000000001</v>
      </c>
      <c r="R88" s="493"/>
      <c r="S88" s="566"/>
      <c r="T88" s="392">
        <f>'[10]Rates in detail'!D75+[10]Temporaries!T75-[10]Temporaries!BD75+[10]Temporaries!S75-[10]Temporaries!BC75+[10]Temporaries!P75-[10]Temporaries!BB75++[10]Temporaries!Q75-[10]Temporaries!AW75</f>
        <v>0.34525000000000006</v>
      </c>
      <c r="U88" s="391"/>
      <c r="V88" s="390"/>
      <c r="W88" s="325">
        <f>'[10]Rates in summary'!D75+[10]Temporaries!R75-[10]Temporaries!AZ75</f>
        <v>0.34599000000000002</v>
      </c>
      <c r="X88" s="493"/>
      <c r="Y88" s="566"/>
      <c r="Z88" s="325">
        <f>'[10]Rates in summary'!D75+[10]Permanents!F75</f>
        <v>0.34592000000000001</v>
      </c>
      <c r="AA88" s="493"/>
      <c r="AB88" s="566"/>
      <c r="AC88" s="567">
        <f>'[10]Rates in summary'!D75+[10]Temporaries!U75-[10]Temporaries!BE75</f>
        <v>0.34592000000000001</v>
      </c>
      <c r="AD88" s="504"/>
      <c r="AE88" s="568"/>
      <c r="AF88" s="325">
        <f>'[10]Rates in summary'!D75+[10]Temporaries!V75-[10]Temporaries!BF75</f>
        <v>0.34592000000000001</v>
      </c>
      <c r="AG88" s="493"/>
      <c r="AH88" s="566"/>
      <c r="AI88" s="325">
        <f>'[10]Rates in summary'!G75+[10]Temporaries!J75</f>
        <v>0.34592000000000001</v>
      </c>
      <c r="AJ88" s="493"/>
      <c r="AK88" s="569"/>
      <c r="AL88" s="325">
        <f>+'[10]Rates in summary'!Q75</f>
        <v>0.34531999999999996</v>
      </c>
      <c r="AM88" s="493"/>
      <c r="AN88" s="570"/>
      <c r="AO88" s="496"/>
      <c r="AP88" s="557"/>
      <c r="AQ88" s="495">
        <f t="shared" si="39"/>
        <v>0</v>
      </c>
      <c r="AR88" s="495">
        <f t="shared" si="40"/>
        <v>0</v>
      </c>
      <c r="AS88" s="495">
        <f t="shared" si="41"/>
        <v>-6.0000000000004494E-4</v>
      </c>
      <c r="AT88" s="495">
        <f t="shared" si="42"/>
        <v>-6.0000000000004494E-4</v>
      </c>
      <c r="AU88" s="243">
        <f>+'[10]Rates in summary'!D82+[10]Temporaries!K76+[10]Temporaries!M76+[10]Temporaries!L76-[10]Temporaries!AZ76</f>
        <v>-1.1000000000000001E-3</v>
      </c>
      <c r="AV88" s="500"/>
      <c r="AW88" s="571"/>
      <c r="AX88" s="325"/>
      <c r="AY88" s="325"/>
      <c r="AZ88" s="325"/>
      <c r="BA88" s="325"/>
    </row>
    <row r="89" spans="1:53" x14ac:dyDescent="0.35">
      <c r="A89" s="234">
        <f t="shared" si="38"/>
        <v>83</v>
      </c>
      <c r="B89" s="234"/>
      <c r="C89" s="344" t="s">
        <v>70</v>
      </c>
      <c r="D89" s="323">
        <f>+'[10]Washington volumes'!J76</f>
        <v>4116253.0789308902</v>
      </c>
      <c r="E89" s="323">
        <v>100000</v>
      </c>
      <c r="F89" s="572"/>
      <c r="G89" s="493"/>
      <c r="H89" s="572"/>
      <c r="I89" s="493"/>
      <c r="J89" s="572"/>
      <c r="K89" s="493"/>
      <c r="L89" s="325">
        <f>+'[10]Rates in summary'!D76</f>
        <v>0.32511000000000001</v>
      </c>
      <c r="M89" s="493"/>
      <c r="N89" s="325">
        <f>'[10]Rates in summary'!D76+[10]Temporaries!K76+[10]Temporaries!L76+[10]Temporaries!M76-[10]Temporaries!AX76</f>
        <v>0.32511000000000001</v>
      </c>
      <c r="O89" s="493"/>
      <c r="P89" s="566"/>
      <c r="Q89" s="325">
        <f>'[10]Rates in summary'!D76+[10]Temporaries!N76+[10]Temporaries!O76-[10]Temporaries!AY76</f>
        <v>0.32511000000000001</v>
      </c>
      <c r="R89" s="493"/>
      <c r="S89" s="566"/>
      <c r="T89" s="392">
        <f>'[10]Rates in detail'!D76+[10]Temporaries!T76-[10]Temporaries!BD76+[10]Temporaries!S76-[10]Temporaries!BC76+[10]Temporaries!P76-[10]Temporaries!BB76++[10]Temporaries!Q76-[10]Temporaries!AW76</f>
        <v>0.32443000000000005</v>
      </c>
      <c r="U89" s="391"/>
      <c r="V89" s="390"/>
      <c r="W89" s="325">
        <f>'[10]Rates in summary'!D76+[10]Temporaries!R76-[10]Temporaries!AZ76</f>
        <v>0.32517000000000001</v>
      </c>
      <c r="X89" s="493"/>
      <c r="Y89" s="566"/>
      <c r="Z89" s="325">
        <f>'[10]Rates in summary'!D76+[10]Permanents!F76</f>
        <v>0.32511000000000001</v>
      </c>
      <c r="AA89" s="493"/>
      <c r="AB89" s="566"/>
      <c r="AC89" s="567">
        <f>'[10]Rates in summary'!D76+[10]Temporaries!U76-[10]Temporaries!BE76</f>
        <v>0.32511000000000001</v>
      </c>
      <c r="AD89" s="504"/>
      <c r="AE89" s="568"/>
      <c r="AF89" s="325">
        <f>'[10]Rates in summary'!D76+[10]Temporaries!V76-[10]Temporaries!BF76</f>
        <v>0.32511000000000001</v>
      </c>
      <c r="AG89" s="493"/>
      <c r="AH89" s="566"/>
      <c r="AI89" s="325">
        <f>'[10]Rates in summary'!G76+[10]Temporaries!J76</f>
        <v>0.32511000000000001</v>
      </c>
      <c r="AJ89" s="493"/>
      <c r="AK89" s="569"/>
      <c r="AL89" s="325">
        <f>+'[10]Rates in summary'!Q76</f>
        <v>0.32449000000000006</v>
      </c>
      <c r="AM89" s="493"/>
      <c r="AN89" s="570"/>
      <c r="AO89" s="496"/>
      <c r="AP89" s="557"/>
      <c r="AQ89" s="495">
        <f t="shared" si="39"/>
        <v>0</v>
      </c>
      <c r="AR89" s="495">
        <f t="shared" si="40"/>
        <v>0</v>
      </c>
      <c r="AS89" s="495">
        <f t="shared" si="41"/>
        <v>-6.1999999999995392E-4</v>
      </c>
      <c r="AT89" s="495">
        <f t="shared" si="42"/>
        <v>-6.1999999999995392E-4</v>
      </c>
      <c r="AU89" s="243">
        <f>+'[10]Rates in summary'!D83+[10]Temporaries!K77+[10]Temporaries!M77+[10]Temporaries!L77-[10]Temporaries!AZ77</f>
        <v>-7.3999999999999999E-4</v>
      </c>
      <c r="AV89" s="500"/>
      <c r="AW89" s="571"/>
      <c r="AX89" s="325"/>
      <c r="AY89" s="325"/>
      <c r="AZ89" s="325"/>
      <c r="BA89" s="325"/>
    </row>
    <row r="90" spans="1:53" x14ac:dyDescent="0.35">
      <c r="A90" s="234">
        <f t="shared" si="38"/>
        <v>84</v>
      </c>
      <c r="B90" s="234"/>
      <c r="C90" s="344" t="s">
        <v>71</v>
      </c>
      <c r="D90" s="323">
        <f>+'[10]Washington volumes'!J77</f>
        <v>1831129.0067156893</v>
      </c>
      <c r="E90" s="323">
        <v>600000</v>
      </c>
      <c r="F90" s="572"/>
      <c r="G90" s="493"/>
      <c r="H90" s="572"/>
      <c r="I90" s="493"/>
      <c r="J90" s="572"/>
      <c r="K90" s="493"/>
      <c r="L90" s="325">
        <f>+'[10]Rates in summary'!D77</f>
        <v>0.29735999999999996</v>
      </c>
      <c r="M90" s="493"/>
      <c r="N90" s="325">
        <f>'[10]Rates in summary'!D77+[10]Temporaries!K77+[10]Temporaries!L77+[10]Temporaries!M77-[10]Temporaries!AX77</f>
        <v>0.29735999999999996</v>
      </c>
      <c r="O90" s="493"/>
      <c r="P90" s="566"/>
      <c r="Q90" s="325">
        <f>'[10]Rates in summary'!D77+[10]Temporaries!N77+[10]Temporaries!O77-[10]Temporaries!AY77</f>
        <v>0.29735999999999996</v>
      </c>
      <c r="R90" s="493"/>
      <c r="S90" s="566"/>
      <c r="T90" s="392">
        <f>'[10]Rates in detail'!D77+[10]Temporaries!T77-[10]Temporaries!BD77+[10]Temporaries!S77-[10]Temporaries!BC77+[10]Temporaries!P77-[10]Temporaries!BB77++[10]Temporaries!Q77-[10]Temporaries!AW77</f>
        <v>0.29665999999999998</v>
      </c>
      <c r="U90" s="391"/>
      <c r="V90" s="390"/>
      <c r="W90" s="325">
        <f>'[10]Rates in summary'!D77+[10]Temporaries!R77-[10]Temporaries!AZ77</f>
        <v>0.29738999999999993</v>
      </c>
      <c r="X90" s="493"/>
      <c r="Y90" s="566"/>
      <c r="Z90" s="325">
        <f>'[10]Rates in summary'!D77+[10]Permanents!F77</f>
        <v>0.29735999999999996</v>
      </c>
      <c r="AA90" s="493"/>
      <c r="AB90" s="566"/>
      <c r="AC90" s="567">
        <f>'[10]Rates in summary'!D77+[10]Temporaries!U77-[10]Temporaries!BE77</f>
        <v>0.29735999999999996</v>
      </c>
      <c r="AD90" s="504"/>
      <c r="AE90" s="568"/>
      <c r="AF90" s="325">
        <f>'[10]Rates in summary'!D77+[10]Temporaries!V77-[10]Temporaries!BF77</f>
        <v>0.29735999999999996</v>
      </c>
      <c r="AG90" s="493"/>
      <c r="AH90" s="566"/>
      <c r="AI90" s="325">
        <f>'[10]Rates in summary'!G77+[10]Temporaries!J77</f>
        <v>0.29735999999999996</v>
      </c>
      <c r="AJ90" s="493"/>
      <c r="AK90" s="569"/>
      <c r="AL90" s="325">
        <f>+'[10]Rates in summary'!Q77</f>
        <v>0.29669000000000001</v>
      </c>
      <c r="AM90" s="493"/>
      <c r="AN90" s="570"/>
      <c r="AO90" s="496"/>
      <c r="AP90" s="557"/>
      <c r="AQ90" s="495">
        <f t="shared" si="39"/>
        <v>0</v>
      </c>
      <c r="AR90" s="495">
        <f t="shared" si="40"/>
        <v>0</v>
      </c>
      <c r="AS90" s="495">
        <f t="shared" si="41"/>
        <v>-6.6999999999994841E-4</v>
      </c>
      <c r="AT90" s="495">
        <f t="shared" si="42"/>
        <v>-6.6999999999994841E-4</v>
      </c>
      <c r="AU90" s="243" t="e">
        <f>+'[10]Rates in summary'!D84+[10]Temporaries!K78+[10]Temporaries!M78+[10]Temporaries!L78-[10]Temporaries!AZ78</f>
        <v>#VALUE!</v>
      </c>
      <c r="AV90" s="243"/>
      <c r="AW90" s="571"/>
      <c r="AX90" s="325"/>
      <c r="AY90" s="325"/>
      <c r="AZ90" s="325"/>
      <c r="BA90" s="325"/>
    </row>
    <row r="91" spans="1:53" x14ac:dyDescent="0.35">
      <c r="A91" s="234">
        <f t="shared" si="38"/>
        <v>85</v>
      </c>
      <c r="B91" s="234"/>
      <c r="C91" s="344" t="s">
        <v>72</v>
      </c>
      <c r="D91" s="323">
        <f>+'[10]Washington volumes'!J78</f>
        <v>0</v>
      </c>
      <c r="E91" s="525" t="s">
        <v>243</v>
      </c>
      <c r="F91" s="572"/>
      <c r="G91" s="493"/>
      <c r="H91" s="572"/>
      <c r="I91" s="493"/>
      <c r="J91" s="572"/>
      <c r="K91" s="493"/>
      <c r="L91" s="325">
        <f>+'[10]Rates in summary'!D78</f>
        <v>0.26266000000000006</v>
      </c>
      <c r="M91" s="493"/>
      <c r="N91" s="325">
        <f>'[10]Rates in summary'!D78+[10]Temporaries!K78+[10]Temporaries!L78+[10]Temporaries!M78-[10]Temporaries!AX78</f>
        <v>0.26266000000000006</v>
      </c>
      <c r="O91" s="493"/>
      <c r="P91" s="566"/>
      <c r="Q91" s="325">
        <f>'[10]Rates in summary'!D78+[10]Temporaries!N78+[10]Temporaries!O78-[10]Temporaries!AY78</f>
        <v>0.26266000000000006</v>
      </c>
      <c r="R91" s="493"/>
      <c r="S91" s="566"/>
      <c r="T91" s="392">
        <f>'[10]Rates in detail'!D78+[10]Temporaries!T78-[10]Temporaries!BD78+[10]Temporaries!S78-[10]Temporaries!BC78+[10]Temporaries!P78-[10]Temporaries!BB78++[10]Temporaries!Q78-[10]Temporaries!AW78</f>
        <v>0.2619200000000001</v>
      </c>
      <c r="U91" s="391"/>
      <c r="V91" s="390"/>
      <c r="W91" s="325">
        <f>'[10]Rates in summary'!D78+[10]Temporaries!R78-[10]Temporaries!AZ78</f>
        <v>0.26267000000000007</v>
      </c>
      <c r="X91" s="493"/>
      <c r="Y91" s="566"/>
      <c r="Z91" s="325">
        <f>'[10]Rates in summary'!D78+[10]Permanents!F78</f>
        <v>0.26266000000000006</v>
      </c>
      <c r="AA91" s="493"/>
      <c r="AB91" s="566"/>
      <c r="AC91" s="567">
        <f>'[10]Rates in summary'!D78+[10]Temporaries!U78-[10]Temporaries!BE78</f>
        <v>0.26266000000000006</v>
      </c>
      <c r="AD91" s="504"/>
      <c r="AE91" s="568"/>
      <c r="AF91" s="325">
        <f>'[10]Rates in summary'!D78+[10]Temporaries!V78-[10]Temporaries!BF78</f>
        <v>0.26266</v>
      </c>
      <c r="AG91" s="493"/>
      <c r="AH91" s="566"/>
      <c r="AI91" s="325">
        <f>'[10]Rates in summary'!G78+[10]Temporaries!J78</f>
        <v>0.26266000000000006</v>
      </c>
      <c r="AJ91" s="493"/>
      <c r="AK91" s="569"/>
      <c r="AL91" s="325">
        <f>+'[10]Rates in summary'!Q78</f>
        <v>0.26193000000000005</v>
      </c>
      <c r="AM91" s="493"/>
      <c r="AN91" s="570"/>
      <c r="AO91" s="496"/>
      <c r="AP91" s="557"/>
      <c r="AQ91" s="495">
        <f t="shared" si="39"/>
        <v>0</v>
      </c>
      <c r="AR91" s="495">
        <f t="shared" si="40"/>
        <v>0</v>
      </c>
      <c r="AS91" s="495">
        <f t="shared" si="41"/>
        <v>-7.3000000000000842E-4</v>
      </c>
      <c r="AT91" s="495">
        <f t="shared" si="42"/>
        <v>-7.3000000000000842E-4</v>
      </c>
      <c r="AU91" s="243">
        <f>+'[10]Rates in summary'!D85+[10]Temporaries!K79+[10]Temporaries!M79+[10]Temporaries!L79-[10]Temporaries!AZ79</f>
        <v>0</v>
      </c>
      <c r="AV91" s="243"/>
      <c r="AW91" s="571"/>
      <c r="AX91" s="325"/>
      <c r="AY91" s="325"/>
      <c r="AZ91" s="325"/>
      <c r="BA91" s="325"/>
    </row>
    <row r="92" spans="1:53" x14ac:dyDescent="0.35">
      <c r="A92" s="234">
        <f t="shared" si="38"/>
        <v>86</v>
      </c>
      <c r="B92" s="338"/>
      <c r="C92" s="573" t="s">
        <v>27</v>
      </c>
      <c r="D92" s="574"/>
      <c r="E92" s="575"/>
      <c r="F92" s="576"/>
      <c r="G92" s="577"/>
      <c r="H92" s="576"/>
      <c r="I92" s="577"/>
      <c r="J92" s="576"/>
      <c r="K92" s="577"/>
      <c r="L92" s="578"/>
      <c r="M92" s="577">
        <f>$I86+ROUND(IF($F86&lt;$E86,($F86*L86),IF($F86&lt;SUM($E86:$E87),(($E86*L86)+(($F86-$E86)*L87)),IF($F86&lt;SUM($E86:$E88),(($E86*L86)+($E87*L87)+(($F86-$E86-$E87)*L88)),IF($F86&lt;SUM($E86:$E89),(($E86*L86)+($E87*L87)+($E88*L88)+(($F86-SUM($E86:$E88))*L89)),IF($F86&lt;SUM($E86:$E90),(($E86*L86)+($E87*L87)+($E88*L88)+($E89*L89)+(($F86-SUM($E86:$E89))*L90)),(($E86*L86)+($E87*L87)+($E88*L88)+($E89*L88)+($E90*L90)+(($F86-SUM($E86:$E90))*L91))))))),2)</f>
        <v>30845.000895181613</v>
      </c>
      <c r="N92" s="600"/>
      <c r="O92" s="577">
        <f>$I86+ROUND(IF($F86&lt;$E86,($F86*N86),IF($F86&lt;SUM($E86:$E87),(($E86*N86)+(($F86-$E86)*N87)),IF($F86&lt;SUM($E86:$E88),(($E86*N86)+($E87*N87)+(($F86-$E86-$E87)*N88)),IF($F86&lt;SUM($E86:$E89),(($E86*N86)+($E87*N87)+($E88*N88)+(($F86-SUM($E86:$E88))*N89)),IF($F86&lt;SUM($E86:$E90),(($E86*N86)+($E87*N87)+($E88*N88)+($E89*N89)+(($F86-SUM($E86:$E89))*N90)),(($E86*N86)+($E87*N87)+($E88*N88)+($E89*N88)+($E90*N90)+(($F86-SUM($E86:$E90))*N91))))))),2)</f>
        <v>30845.000895181613</v>
      </c>
      <c r="P92" s="599">
        <f>ROUND((O92-M92)/M92,3)</f>
        <v>0</v>
      </c>
      <c r="Q92" s="600"/>
      <c r="R92" s="577">
        <f>$I86+ROUND(IF($F86&lt;$E86,($F86*Q86),IF($F86&lt;SUM($E86:$E87),(($E86*Q86)+(($F86-$E86)*Q87)),IF($F86&lt;SUM($E86:$E88),(($E86*Q86)+($E87*Q87)+(($F86-$E86-$E87)*Q88)),IF($F86&lt;SUM($E86:$E89),(($E86*Q86)+($E87*Q87)+($E88*Q88)+(($F86-SUM($E86:$E88))*Q89)),IF($F86&lt;SUM($E86:$E90),(($E86*Q86)+($E87*Q87)+($E88*Q88)+($E89*Q89)+(($F86-SUM($E86:$E89))*Q90)),(($E86*Q86)+($E87*Q87)+($E88*Q88)+($E89*Q88)+($E90*Q90)+(($F86-SUM($E86:$E90))*Q91))))))),2)</f>
        <v>30845.000895181613</v>
      </c>
      <c r="S92" s="599">
        <f>ROUND((R92-M92)/M92,3)</f>
        <v>0</v>
      </c>
      <c r="T92" s="389"/>
      <c r="U92" s="388">
        <f>$I86+ROUND(IF($F86&lt;$E86,($F86*T86),IF($F86&lt;SUM($E86:$E87),(($E86*T86)+(($F86-$E86)*T87)),IF($F86&lt;SUM($E86:$E88),(($E86*T86)+($E87*T87)+(($F86-$E86-$E87)*T88)),IF($F86&lt;SUM($E86:$E89),(($E86*T86)+($E87*T87)+($E88*T88)+(($F86-SUM($E86:$E88))*T89)),IF($F86&lt;SUM($E86:$E90),(($E86*T86)+($E87*T87)+($E88*T88)+($E89*T89)+(($F86-SUM($E86:$E89))*T90)),(($E86*T86)+($E87*T87)+($E88*T88)+($E89*T88)+($E90*T90)+(($F86-SUM($E86:$E90))*T91))))))),2)</f>
        <v>30781.170895181618</v>
      </c>
      <c r="V92" s="387">
        <f>ROUND((U92-M92)/M92,3)</f>
        <v>-2E-3</v>
      </c>
      <c r="W92" s="600"/>
      <c r="X92" s="577">
        <f>$I86+ROUND(IF($F86&lt;$E86,($F86*W86),IF($F86&lt;SUM($E86:$E87),(($E86*W86)+(($F86-$E86)*W87)),IF($F86&lt;SUM($E86:$E88),(($E86*W86)+($E87*W87)+(($F86-$E86-$E87)*W88)),IF($F86&lt;SUM($E86:$E89),(($E86*W86)+($E87*W87)+($E88*W88)+(($F86-SUM($E86:$E88))*W89)),IF($F86&lt;SUM($E86:$E90),(($E86*W86)+($E87*W87)+($E88*W88)+($E89*W89)+(($F86-SUM($E86:$E89))*W90)),(($E86*W86)+($E87*W87)+($E88*W88)+($E89*W88)+($E90*W90)+(($F86-SUM($E86:$E90))*W91))))))),2)</f>
        <v>30851.940895181615</v>
      </c>
      <c r="Y92" s="599">
        <f>(X92-M92)/M92</f>
        <v>2.2499594094958986E-4</v>
      </c>
      <c r="Z92" s="600"/>
      <c r="AA92" s="577">
        <f>$I86+ROUND(IF($F86&lt;$E86,($F86*Z86),IF($F86&lt;SUM($E86:$E87),(($E86*Z86)+(($F86-$E86)*Z87)),IF($F86&lt;SUM($E86:$E88),(($E86*Z86)+($E87*Z87)+(($F86-$E86-$E87)*Z88)),IF($F86&lt;SUM($E86:$E89),(($E86*Z86)+($E87*Z87)+($E88*Z88)+(($F86-SUM($E86:$E88))*Z89)),IF($F86&lt;SUM($E86:$E90),(($E86*Z86)+($E87*Z87)+($E88*Z88)+($E89*Z89)+(($F86-SUM($E86:$E89))*Z90)),(($E86*Z86)+($E87*Z87)+($E88*Z88)+($E89*Z88)+($E90*Z90)+(($F86-SUM($E86:$E90))*Z91))))))),2)</f>
        <v>30845.000895181613</v>
      </c>
      <c r="AB92" s="579">
        <f>(AA92-M92)/M92</f>
        <v>0</v>
      </c>
      <c r="AC92" s="601"/>
      <c r="AD92" s="581">
        <f>$I86+ROUND(IF($F86&lt;$E86,($F86*AC86),IF($F86&lt;SUM($E86:$E87),(($E86*AC86)+(($F86-$E86)*AC87)),IF($F86&lt;SUM($E86:$E88),(($E86*AC86)+($E87*AC87)+(($F86-$E86-$E87)*AC88)),IF($F86&lt;SUM($E86:$E89),(($E86*AC86)+($E87*AC87)+($E88*AC88)+(($F86-SUM($E86:$E88))*AC89)),IF($F86&lt;SUM($E86:$E90),(($E86*AC86)+($E87*AC87)+($E88*AC88)+($E89*AC89)+(($F86-SUM($E86:$E89))*AC90)),(($E86*AC86)+($E87*AC87)+($E88*AC88)+($E89*AC88)+($E90*AC90)+(($F86-SUM($E86:$E90))*AC91))))))),2)</f>
        <v>30845.000895181613</v>
      </c>
      <c r="AE92" s="582">
        <f>(AD92-M92)/M92</f>
        <v>0</v>
      </c>
      <c r="AF92" s="600"/>
      <c r="AG92" s="577">
        <f>$K86+ROUND(IF($F86&lt;$E86,($F86*AF86),IF($F86&lt;SUM($E86:$E87),(($E86*AF86)+(($F86-$E86)*AF87)),IF($F86&lt;SUM($E86:$E88),(($E86*AF86)+($E87*AF87)+(($F86-$E86-$E87)*AF88)),IF($F86&lt;SUM($E86:$E89),(($E86*AF86)+($E87*AF87)+($E88*AF88)+(($F86-SUM($E86:$E88))*AF89)),IF($F86&lt;SUM($E86:$E90),(($E86*AF86)+($E87*AF87)+($E88*AF88)+($E89*AF89)+(($F86-SUM($E86:$E89))*AF90)),(($E86*AF86)+($E87*AF87)+($E88*AF88)+($E89*AF88)+($E90*AF90)+(($F86-SUM($E86:$E90))*AF91))))))),2)</f>
        <v>30845.000895181613</v>
      </c>
      <c r="AH92" s="579">
        <f>(AG92-M92)/M92</f>
        <v>0</v>
      </c>
      <c r="AI92" s="600"/>
      <c r="AJ92" s="577">
        <f>$I86+ROUND(IF($F86&lt;$E86,($F86*AI86),IF($F86&lt;SUM($E86:$E87),(($E86*AI86)+(($F86-$E86)*AI87)),IF($F86&lt;SUM($E86:$E88),(($E86*AI86)+($E87*AI87)+(($F86-$E86-$E87)*AI88)),IF($F86&lt;SUM($E86:$E89),(($E86*AI86)+($E87*AI87)+($E88*AI88)+(($F86-SUM($E86:$E88))*AI89)),IF($F86&lt;SUM($E86:$E90),(($E86*AI86)+($E87*AI87)+($E88*AI88)+($E89*AI89)+(($F86-SUM($E86:$E89))*AI90)),(($E86*AI86)+($E87*AI87)+($E88*AI88)+($E89*AI88)+($E90*AI90)+(($F86-SUM($E86:$E90))*AI91))))))),2)</f>
        <v>30845.000895181613</v>
      </c>
      <c r="AK92" s="586">
        <f>ROUND((AJ92-M92)/M92,3)</f>
        <v>0</v>
      </c>
      <c r="AL92" s="325"/>
      <c r="AM92" s="577">
        <f>$K86+ROUND(IF($F86&lt;$E86,($F86*AL86),IF($F86&lt;SUM($E86:$E87),(($E86*AL86)+(($F86-$E86)*AL87)),IF($F86&lt;SUM($E86:$E88),(($E86*AL86)+($E87*AL87)+(($F86-$E86-$E87)*AL88)),IF($F86&lt;SUM($E86:$E89),(($E86*AL86)+($E87*AL87)+($E88*AL88)+(($F86-SUM($E86:$E88))*AL89)),IF($F86&lt;SUM($E86:$E90),(($E86*AL86)+($E87*AL87)+($E88*AL88)+($E89*AL89)+(($F86-SUM($E86:$E89))*AL90)),(($E86*AL86)+($E87*AL87)+($E88*AL88)+($E89*AL88)+($E90*AL90)+(($F86-SUM($E86:$E90))*AL91))))))),2)</f>
        <v>30788.110895181613</v>
      </c>
      <c r="AN92" s="594">
        <f>ROUND((AM92-M92)/M92,3)</f>
        <v>-2E-3</v>
      </c>
      <c r="AO92" s="496"/>
      <c r="AP92" s="557"/>
      <c r="AQ92" s="495">
        <f t="shared" si="39"/>
        <v>0</v>
      </c>
      <c r="AR92" s="495">
        <f t="shared" si="40"/>
        <v>0</v>
      </c>
      <c r="AS92" s="495">
        <f t="shared" si="41"/>
        <v>0</v>
      </c>
      <c r="AT92" s="495">
        <f t="shared" si="42"/>
        <v>0</v>
      </c>
      <c r="AU92" s="583"/>
      <c r="AV92" s="584">
        <f>$I86+ROUND(IF($F86&lt;$E86,($F86*AU86),IF($F86&lt;SUM($E86:$E87),(($E86*AU86)+(($F86-$E86)*AU87)),IF($F86&lt;SUM($E86:$E88),(($E86*AU86)+($E87*AU87)+(($F86-$E86-$E87)*AU88)),IF($F86&lt;SUM($E86:$E89),(($E86*AU86)+($E87*AU87)+($E88*AU88)+(($F86-SUM($E86:$E88))*AU89)),IF($F86&lt;SUM($E86:$E90),(($E86*AU86)+($E87*AU87)+($E88*AU88)+($E89*AU89)+(($F86-SUM($E86:$E89))*AU90)),(($E86*AU86)+($E87*AU87)+($E88*AU88)+($E89*AU88)+($E90*AU90)+(($F86-SUM($E86:$E90))*AU91))))))),2)</f>
        <v>-28.639104818384567</v>
      </c>
      <c r="AW92" s="585">
        <f>ROUND((AV92-M92)/M92,3)</f>
        <v>-1.0009999999999999</v>
      </c>
      <c r="AX92" s="325"/>
      <c r="AY92" s="325"/>
      <c r="AZ92" s="325"/>
      <c r="BA92" s="325"/>
    </row>
    <row r="93" spans="1:53" x14ac:dyDescent="0.35">
      <c r="A93" s="234">
        <f t="shared" si="38"/>
        <v>87</v>
      </c>
      <c r="B93" s="338" t="s">
        <v>80</v>
      </c>
      <c r="C93" s="338"/>
      <c r="D93" s="330">
        <f>+'[10]Washington volumes'!J79</f>
        <v>0</v>
      </c>
      <c r="E93" s="602" t="s">
        <v>179</v>
      </c>
      <c r="F93" s="603">
        <v>0</v>
      </c>
      <c r="G93" s="604">
        <v>38000</v>
      </c>
      <c r="H93" s="603"/>
      <c r="I93" s="604">
        <f>G93-H93</f>
        <v>38000</v>
      </c>
      <c r="J93" s="603">
        <f>'[33]Aver Bill by RS'!$J93</f>
        <v>0</v>
      </c>
      <c r="K93" s="551"/>
      <c r="L93" s="605">
        <f>+'[10]Rates in summary'!D79</f>
        <v>0.24684999999999996</v>
      </c>
      <c r="M93" s="551">
        <f>ROUND(+$I93+(L93*$F93),2)</f>
        <v>38000</v>
      </c>
      <c r="N93" s="605">
        <f>'[10]Rates in summary'!D79+[10]Temporaries!K79+[10]Temporaries!L79+[10]Temporaries!M79-[10]Temporaries!AX79</f>
        <v>0.24684999999999996</v>
      </c>
      <c r="O93" s="551">
        <f>ROUND(+$I93+(N93*$F93),2)</f>
        <v>38000</v>
      </c>
      <c r="P93" s="606">
        <f>ROUND((O93-M93)/M93,3)</f>
        <v>0</v>
      </c>
      <c r="Q93" s="605">
        <f>'[10]Rates in summary'!D79+[10]Temporaries!N79+[10]Temporaries!O79-[10]Temporaries!AY79</f>
        <v>0.24684999999999996</v>
      </c>
      <c r="R93" s="551">
        <f>ROUND(+$I93+(Q93*$F93),2)</f>
        <v>38000</v>
      </c>
      <c r="S93" s="606">
        <f>ROUND((R93-M93)/M93,3)</f>
        <v>0</v>
      </c>
      <c r="T93" s="386">
        <f>'[10]Rates in detail'!D79+[10]Temporaries!T79-[10]Temporaries!BD79+[10]Temporaries!S79-[10]Temporaries!BC79+[10]Temporaries!P79-[10]Temporaries!BB79++[10]Temporaries!Q79-[10]Temporaries!AW79</f>
        <v>0.24617999999999995</v>
      </c>
      <c r="U93" s="385">
        <f>ROUND(+$I93+(T93*$F93),2)</f>
        <v>38000</v>
      </c>
      <c r="V93" s="384">
        <f>ROUND((U93-M93)/M93,3)</f>
        <v>0</v>
      </c>
      <c r="W93" s="605">
        <f>'[10]Rates in summary'!D79+[10]Temporaries!R79-[10]Temporaries!AZ79</f>
        <v>0.24684999999999996</v>
      </c>
      <c r="X93" s="551">
        <f>ROUND(+$I93+(W93*$F93),2)</f>
        <v>38000</v>
      </c>
      <c r="Y93" s="606">
        <f>(X93-M93)/M93</f>
        <v>0</v>
      </c>
      <c r="Z93" s="605">
        <f>'[10]Rates in summary'!D79+[10]Permanents!F79</f>
        <v>0.24684999999999996</v>
      </c>
      <c r="AA93" s="551">
        <f>I93+(F93*Z93)</f>
        <v>38000</v>
      </c>
      <c r="AB93" s="579">
        <f>(AA93-M93)/M93</f>
        <v>0</v>
      </c>
      <c r="AC93" s="607">
        <f>'[10]Rates in summary'!D79+[10]Temporaries!U79-[10]Temporaries!BE79</f>
        <v>0.24684999999999996</v>
      </c>
      <c r="AD93" s="554">
        <f>ROUND(+$I93+(AC93*$F93),2)</f>
        <v>38000</v>
      </c>
      <c r="AE93" s="582">
        <f>(AD93-M93)/M93</f>
        <v>0</v>
      </c>
      <c r="AF93" s="605">
        <f>'[10]Rates in summary'!D79+[10]Temporaries!V79-[10]Temporaries!BF79</f>
        <v>0.24684999999999996</v>
      </c>
      <c r="AG93" s="551">
        <f>ROUND(+$I93+(AF93*$F93),2)</f>
        <v>38000</v>
      </c>
      <c r="AH93" s="579">
        <f>(AG93-M93)/M93</f>
        <v>0</v>
      </c>
      <c r="AI93" s="605">
        <f>'[10]Rates in summary'!G79+[10]Temporaries!J79</f>
        <v>0.24684999999999996</v>
      </c>
      <c r="AJ93" s="551">
        <f>ROUND(+$I93+(AI93*$F93),2)</f>
        <v>38000</v>
      </c>
      <c r="AK93" s="608">
        <f>ROUND((AJ93-M93)/M93,3)</f>
        <v>0</v>
      </c>
      <c r="AL93" s="605">
        <f>+'[10]Rates in summary'!Q79</f>
        <v>0.24617999999999998</v>
      </c>
      <c r="AM93" s="551">
        <f>ROUND(+$I93+(AL93*$F93),2)</f>
        <v>38000</v>
      </c>
      <c r="AN93" s="609" t="s">
        <v>179</v>
      </c>
      <c r="AO93" s="495"/>
      <c r="AP93" s="557"/>
      <c r="AQ93" s="495">
        <f t="shared" si="39"/>
        <v>0</v>
      </c>
      <c r="AR93" s="495">
        <f t="shared" si="40"/>
        <v>0</v>
      </c>
      <c r="AS93" s="495">
        <f t="shared" si="41"/>
        <v>-6.6999999999997617E-4</v>
      </c>
      <c r="AT93" s="495">
        <f t="shared" si="42"/>
        <v>-6.6999999999997617E-4</v>
      </c>
      <c r="AU93" s="257">
        <f>+'[10]Rates in summary'!D79+[10]Temporaries!K79+[10]Temporaries!M79+[10]Temporaries!L79-[10]Temporaries!AZ79</f>
        <v>0.24684999999999996</v>
      </c>
      <c r="AV93" s="558">
        <f>ROUND(+$I93+(AU93*$F93),2)</f>
        <v>38000</v>
      </c>
      <c r="AW93" s="610" t="s">
        <v>179</v>
      </c>
      <c r="AX93" s="325"/>
      <c r="AY93" s="325"/>
      <c r="AZ93" s="325"/>
      <c r="BA93" s="325"/>
    </row>
    <row r="94" spans="1:53" x14ac:dyDescent="0.35">
      <c r="A94" s="234">
        <f t="shared" si="38"/>
        <v>88</v>
      </c>
      <c r="B94" s="337" t="s">
        <v>81</v>
      </c>
      <c r="C94" s="337"/>
      <c r="D94" s="333">
        <f>+'[10]Washington volumes'!J80</f>
        <v>0</v>
      </c>
      <c r="E94" s="602" t="s">
        <v>179</v>
      </c>
      <c r="F94" s="611">
        <v>0</v>
      </c>
      <c r="G94" s="604">
        <v>38000</v>
      </c>
      <c r="H94" s="611"/>
      <c r="I94" s="604">
        <f>G94-H94</f>
        <v>38000</v>
      </c>
      <c r="J94" s="611">
        <f>'[33]Aver Bill by RS'!$J94</f>
        <v>0</v>
      </c>
      <c r="K94" s="551"/>
      <c r="L94" s="250">
        <f>+'[10]Rates in summary'!D80</f>
        <v>0.24684999999999996</v>
      </c>
      <c r="M94" s="551">
        <f>ROUND(+$I94+(L94*$F94),2)</f>
        <v>38000</v>
      </c>
      <c r="N94" s="605">
        <f>'[10]Rates in summary'!D80+[10]Temporaries!K80+[10]Temporaries!L80+[10]Temporaries!M80-[10]Temporaries!AX80</f>
        <v>0.24684999999999996</v>
      </c>
      <c r="O94" s="551">
        <f>ROUND(+$I94+(N94*$F94),2)</f>
        <v>38000</v>
      </c>
      <c r="P94" s="552">
        <f>ROUND((O94-M94)/M94,3)</f>
        <v>0</v>
      </c>
      <c r="Q94" s="250">
        <f>'[10]Rates in summary'!D80+[10]Temporaries!N80+[10]Temporaries!O80-[10]Temporaries!AY80</f>
        <v>0.24684999999999996</v>
      </c>
      <c r="R94" s="551">
        <f>ROUND(+$I94+(Q94*$F94),2)</f>
        <v>38000</v>
      </c>
      <c r="S94" s="552">
        <f>ROUND((R94-M94)/M94,3)</f>
        <v>0</v>
      </c>
      <c r="T94" s="386">
        <f>'[10]Rates in detail'!D80+[10]Temporaries!T80-[10]Temporaries!BD80+[10]Temporaries!S80-[10]Temporaries!BC80+[10]Temporaries!P80-[10]Temporaries!BB80++[10]Temporaries!Q80-[10]Temporaries!AW80</f>
        <v>0.24617999999999995</v>
      </c>
      <c r="U94" s="385">
        <f>ROUND(+$I94+(T94*$F94),2)</f>
        <v>38000</v>
      </c>
      <c r="V94" s="384">
        <f>ROUND((U94-M94)/M94,3)</f>
        <v>0</v>
      </c>
      <c r="W94" s="605">
        <f>'[10]Rates in summary'!D80+[10]Temporaries!R80-[10]Temporaries!AZ80</f>
        <v>0.24684999999999996</v>
      </c>
      <c r="X94" s="551">
        <f>ROUND(+$I94+(W94*$F94),2)</f>
        <v>38000</v>
      </c>
      <c r="Y94" s="552">
        <f>(X94-M94)/M94</f>
        <v>0</v>
      </c>
      <c r="Z94" s="605">
        <f>'[10]Rates in summary'!D80+[10]Permanents!F80</f>
        <v>0.24684999999999996</v>
      </c>
      <c r="AA94" s="551">
        <f>I94+(F94*Z94)</f>
        <v>38000</v>
      </c>
      <c r="AB94" s="579">
        <f>(AA94-M94)/M94</f>
        <v>0</v>
      </c>
      <c r="AC94" s="607">
        <f>'[10]Rates in summary'!D80+[10]Temporaries!U80-[10]Temporaries!BE80</f>
        <v>0.24684999999999996</v>
      </c>
      <c r="AD94" s="554">
        <f>ROUND(+$I94+(AC94*$F94),2)</f>
        <v>38000</v>
      </c>
      <c r="AE94" s="582">
        <f>(AD94-M94)/M94</f>
        <v>0</v>
      </c>
      <c r="AF94" s="605">
        <f>'[10]Rates in summary'!D80+[10]Temporaries!V80-[10]Temporaries!BF80</f>
        <v>0.24684999999999996</v>
      </c>
      <c r="AG94" s="551">
        <f>ROUND(+$I94+(AF94*$F94),2)</f>
        <v>38000</v>
      </c>
      <c r="AH94" s="579">
        <f>(AG94-M94)/M94</f>
        <v>0</v>
      </c>
      <c r="AI94" s="605">
        <f>'[10]Rates in summary'!G80+[10]Temporaries!J80</f>
        <v>0.24684999999999996</v>
      </c>
      <c r="AJ94" s="551">
        <f>ROUND(+$I94+(AI94*$F94),2)</f>
        <v>38000</v>
      </c>
      <c r="AK94" s="556">
        <f>ROUND((AJ94-M94)/M94,3)</f>
        <v>0</v>
      </c>
      <c r="AL94" s="605">
        <f>+'[10]Rates in summary'!Q80</f>
        <v>0.24617999999999998</v>
      </c>
      <c r="AM94" s="551">
        <f>ROUND(+$I94+(AL94*$F94),2)</f>
        <v>38000</v>
      </c>
      <c r="AN94" s="609" t="s">
        <v>179</v>
      </c>
      <c r="AO94" s="495"/>
      <c r="AP94" s="557"/>
      <c r="AQ94" s="495">
        <f t="shared" si="39"/>
        <v>0</v>
      </c>
      <c r="AR94" s="495">
        <f t="shared" si="40"/>
        <v>0</v>
      </c>
      <c r="AS94" s="495">
        <f t="shared" si="41"/>
        <v>-6.6999999999997617E-4</v>
      </c>
      <c r="AT94" s="495">
        <f t="shared" si="42"/>
        <v>-6.6999999999997617E-4</v>
      </c>
      <c r="AU94" s="257">
        <f>+'[10]Rates in summary'!D80+[10]Temporaries!K80+[10]Temporaries!M80+[10]Temporaries!L80-[10]Temporaries!AZ80</f>
        <v>0.24684999999999996</v>
      </c>
      <c r="AV94" s="558">
        <f>ROUND(+$I94+(AU94*$F94),2)</f>
        <v>38000</v>
      </c>
      <c r="AW94" s="610" t="s">
        <v>179</v>
      </c>
      <c r="AX94" s="325"/>
      <c r="AY94" s="325"/>
      <c r="AZ94" s="325"/>
    </row>
    <row r="95" spans="1:53" ht="15" thickBot="1" x14ac:dyDescent="0.4">
      <c r="A95" s="234">
        <f t="shared" si="38"/>
        <v>89</v>
      </c>
      <c r="B95" s="337" t="s">
        <v>82</v>
      </c>
      <c r="C95" s="337"/>
      <c r="D95" s="333"/>
      <c r="E95" s="602"/>
      <c r="F95" s="611"/>
      <c r="G95" s="634"/>
      <c r="H95" s="633"/>
      <c r="I95" s="558"/>
      <c r="J95" s="611"/>
      <c r="K95" s="611"/>
      <c r="L95" s="249"/>
      <c r="M95" s="558"/>
      <c r="N95" s="558"/>
      <c r="O95" s="558"/>
      <c r="P95" s="612"/>
      <c r="Q95" s="558"/>
      <c r="R95" s="558"/>
      <c r="S95" s="612"/>
      <c r="T95" s="383"/>
      <c r="U95" s="382"/>
      <c r="V95" s="381"/>
      <c r="W95" s="613"/>
      <c r="X95" s="558"/>
      <c r="Y95" s="612"/>
      <c r="Z95" s="613"/>
      <c r="AA95" s="558"/>
      <c r="AB95" s="612"/>
      <c r="AC95" s="614"/>
      <c r="AD95" s="615"/>
      <c r="AE95" s="616"/>
      <c r="AF95" s="605">
        <f>'[10]Rates in summary'!D81+[10]Temporaries!V81-[10]Temporaries!BF81</f>
        <v>-0.49725999999999998</v>
      </c>
      <c r="AG95" s="551">
        <f>ROUND(+$I95+(AF95*$F95),2)</f>
        <v>0</v>
      </c>
      <c r="AH95" s="617"/>
      <c r="AI95" s="558"/>
      <c r="AJ95" s="558"/>
      <c r="AK95" s="612"/>
      <c r="AL95" s="249"/>
      <c r="AM95" s="558"/>
      <c r="AN95" s="618"/>
      <c r="AO95" s="495"/>
      <c r="AP95" s="557"/>
      <c r="AQ95" s="495"/>
      <c r="AR95" s="495"/>
      <c r="AS95" s="495"/>
      <c r="AT95" s="495"/>
      <c r="AU95" s="249"/>
      <c r="AV95" s="558"/>
      <c r="AW95" s="619"/>
    </row>
    <row r="96" spans="1:53" x14ac:dyDescent="0.35">
      <c r="A96" s="234">
        <f t="shared" si="38"/>
        <v>90</v>
      </c>
      <c r="B96" s="649" t="s">
        <v>246</v>
      </c>
      <c r="C96" s="648"/>
      <c r="D96" s="648"/>
      <c r="E96" s="648"/>
      <c r="F96" s="648"/>
      <c r="G96" s="648"/>
      <c r="H96" s="648"/>
      <c r="I96" s="648"/>
      <c r="J96" s="648"/>
      <c r="K96" s="648"/>
      <c r="L96" s="648"/>
      <c r="M96" s="648"/>
      <c r="N96" s="648"/>
      <c r="O96" s="648"/>
      <c r="P96" s="648"/>
      <c r="T96" s="235"/>
      <c r="U96" s="235"/>
      <c r="V96" s="235"/>
      <c r="AO96" s="495"/>
      <c r="AP96" s="557"/>
      <c r="AQ96" s="495"/>
      <c r="AR96" s="495"/>
      <c r="AS96" s="495"/>
      <c r="AT96" s="495"/>
    </row>
    <row r="97" spans="1:49" x14ac:dyDescent="0.35">
      <c r="A97" s="234">
        <f t="shared" si="38"/>
        <v>91</v>
      </c>
      <c r="B97" s="648"/>
      <c r="C97" s="648"/>
      <c r="D97" s="648"/>
      <c r="E97" s="648"/>
      <c r="F97" s="648"/>
      <c r="G97" s="648"/>
      <c r="H97" s="648"/>
      <c r="I97" s="648"/>
      <c r="J97" s="648"/>
      <c r="K97" s="648"/>
      <c r="L97" s="648"/>
      <c r="M97" s="648"/>
      <c r="N97" s="648"/>
      <c r="O97" s="648"/>
      <c r="P97" s="648"/>
      <c r="T97" s="235"/>
      <c r="U97" s="235"/>
      <c r="V97" s="235"/>
      <c r="AO97" s="495"/>
      <c r="AP97" s="557"/>
      <c r="AQ97" s="495"/>
      <c r="AR97" s="495"/>
      <c r="AS97" s="495"/>
      <c r="AT97" s="495"/>
    </row>
    <row r="98" spans="1:49" ht="17.149999999999999" customHeight="1" x14ac:dyDescent="0.35">
      <c r="A98" s="234">
        <f t="shared" si="38"/>
        <v>92</v>
      </c>
      <c r="B98" s="650" t="s">
        <v>247</v>
      </c>
      <c r="C98" s="650"/>
      <c r="D98" s="650"/>
      <c r="E98" s="650"/>
      <c r="F98" s="650"/>
      <c r="G98" s="650"/>
      <c r="H98" s="650"/>
      <c r="I98" s="650"/>
      <c r="J98" s="650"/>
      <c r="K98" s="650"/>
      <c r="L98" s="650"/>
      <c r="M98" s="650"/>
      <c r="N98" s="650"/>
      <c r="O98" s="650"/>
      <c r="P98" s="650"/>
      <c r="T98" s="235"/>
      <c r="U98" s="235"/>
      <c r="V98" s="235"/>
      <c r="AO98" s="495"/>
      <c r="AP98" s="557"/>
      <c r="AQ98" s="495"/>
      <c r="AR98" s="495"/>
      <c r="AS98" s="495"/>
      <c r="AT98" s="495"/>
    </row>
    <row r="99" spans="1:49" x14ac:dyDescent="0.35">
      <c r="A99" s="234">
        <f t="shared" si="38"/>
        <v>93</v>
      </c>
      <c r="B99" s="647" t="s">
        <v>248</v>
      </c>
      <c r="C99" s="648"/>
      <c r="D99" s="648"/>
      <c r="E99" s="648"/>
      <c r="F99" s="648"/>
      <c r="G99" s="648"/>
      <c r="H99" s="648"/>
      <c r="I99" s="648"/>
      <c r="J99" s="648"/>
      <c r="K99" s="648"/>
      <c r="L99" s="648"/>
      <c r="M99" s="648"/>
      <c r="N99" s="648"/>
      <c r="O99" s="648"/>
      <c r="P99" s="648"/>
      <c r="Q99" s="500"/>
      <c r="R99" s="500"/>
      <c r="S99" s="500"/>
      <c r="T99" s="380"/>
      <c r="U99" s="380"/>
      <c r="V99" s="380"/>
      <c r="W99" s="500"/>
      <c r="X99" s="500"/>
      <c r="Y99" s="500"/>
      <c r="Z99" s="500"/>
      <c r="AA99" s="500"/>
      <c r="AB99" s="500"/>
      <c r="AC99" s="620"/>
      <c r="AD99" s="620"/>
      <c r="AE99" s="620"/>
      <c r="AF99" s="500"/>
      <c r="AG99" s="500"/>
      <c r="AH99" s="500"/>
      <c r="AI99" s="500"/>
      <c r="AJ99" s="500"/>
      <c r="AK99" s="500"/>
      <c r="AM99" s="500"/>
      <c r="AN99" s="621"/>
      <c r="AO99" s="495"/>
      <c r="AP99" s="557"/>
      <c r="AQ99" s="495"/>
      <c r="AR99" s="495"/>
      <c r="AS99" s="495"/>
      <c r="AT99" s="495"/>
      <c r="AV99" s="500"/>
      <c r="AW99" s="621"/>
    </row>
    <row r="100" spans="1:49" ht="4.5" customHeight="1" x14ac:dyDescent="0.35">
      <c r="A100" s="234">
        <f t="shared" si="38"/>
        <v>94</v>
      </c>
      <c r="B100" s="648"/>
      <c r="C100" s="648"/>
      <c r="D100" s="648"/>
      <c r="E100" s="648"/>
      <c r="F100" s="648"/>
      <c r="G100" s="648"/>
      <c r="H100" s="648"/>
      <c r="I100" s="648"/>
      <c r="J100" s="648"/>
      <c r="K100" s="648"/>
      <c r="L100" s="648"/>
      <c r="M100" s="648"/>
      <c r="N100" s="648"/>
      <c r="O100" s="648"/>
      <c r="P100" s="648"/>
      <c r="T100" s="235"/>
      <c r="U100" s="235"/>
      <c r="V100" s="235"/>
      <c r="AO100" s="495"/>
      <c r="AP100" s="557"/>
      <c r="AQ100" s="495"/>
      <c r="AR100" s="495"/>
      <c r="AS100" s="495"/>
      <c r="AT100" s="495"/>
    </row>
    <row r="101" spans="1:49" ht="19.5" hidden="1" customHeight="1" thickBot="1" x14ac:dyDescent="0.4">
      <c r="A101" s="234">
        <f t="shared" si="38"/>
        <v>95</v>
      </c>
      <c r="B101" s="648"/>
      <c r="C101" s="648"/>
      <c r="D101" s="648"/>
      <c r="E101" s="648"/>
      <c r="F101" s="648"/>
      <c r="G101" s="648"/>
      <c r="H101" s="648"/>
      <c r="I101" s="648"/>
      <c r="J101" s="648"/>
      <c r="K101" s="648"/>
      <c r="L101" s="648"/>
      <c r="M101" s="648"/>
      <c r="N101" s="648"/>
      <c r="O101" s="648"/>
      <c r="P101" s="648"/>
      <c r="T101" s="235"/>
      <c r="U101" s="235"/>
      <c r="V101" s="235"/>
      <c r="AO101" s="622"/>
      <c r="AP101" s="557"/>
      <c r="AQ101" s="241"/>
      <c r="AR101" s="241"/>
      <c r="AS101" s="241"/>
      <c r="AT101" s="241"/>
      <c r="AU101" s="229" t="s">
        <v>249</v>
      </c>
      <c r="AV101" s="630"/>
      <c r="AW101" s="630"/>
    </row>
    <row r="102" spans="1:49" ht="15" thickBot="1" x14ac:dyDescent="0.4">
      <c r="A102" s="234">
        <f t="shared" si="38"/>
        <v>96</v>
      </c>
      <c r="B102" s="321" t="s">
        <v>164</v>
      </c>
      <c r="P102" s="502">
        <f>SUM(P13:P94)</f>
        <v>6.1000000000000006E-2</v>
      </c>
      <c r="S102" s="502">
        <f>SUM(S13:S94)</f>
        <v>0</v>
      </c>
      <c r="T102" s="235"/>
      <c r="U102" s="235"/>
      <c r="V102" s="379">
        <f>SUM(V13:V94)</f>
        <v>-0.01</v>
      </c>
      <c r="Y102" s="502">
        <f>SUM(Y13:Y94)</f>
        <v>1.3847241650024253E-2</v>
      </c>
      <c r="AB102" s="502">
        <f>SUM(AB13:AB94)</f>
        <v>1.0775422889698996E-3</v>
      </c>
      <c r="AE102" s="624">
        <f>SUM(AE13:AE94)</f>
        <v>-1.8466935187947924E-5</v>
      </c>
      <c r="AH102" s="502">
        <f>SUM(AH13:AH94)</f>
        <v>-1.8466935188355916E-5</v>
      </c>
      <c r="AK102" s="502"/>
      <c r="AN102" s="502">
        <f>SUM(AN13:AN94)</f>
        <v>-0.79100000000000004</v>
      </c>
      <c r="AO102" s="625"/>
      <c r="AP102" s="557"/>
      <c r="AQ102" s="626"/>
      <c r="AR102" s="626"/>
      <c r="AS102" s="626"/>
      <c r="AT102" s="626"/>
      <c r="AU102" s="367" t="s">
        <v>250</v>
      </c>
      <c r="AV102" s="632"/>
      <c r="AW102" s="632"/>
    </row>
    <row r="103" spans="1:49" ht="15" thickBot="1" x14ac:dyDescent="0.4">
      <c r="A103" s="234">
        <f t="shared" si="38"/>
        <v>97</v>
      </c>
      <c r="B103" s="622" t="s">
        <v>165</v>
      </c>
      <c r="C103" s="241"/>
      <c r="D103" s="229"/>
      <c r="E103" s="229" t="s">
        <v>251</v>
      </c>
      <c r="F103" s="229"/>
      <c r="G103" s="229"/>
      <c r="H103" s="229"/>
      <c r="I103" s="229"/>
      <c r="J103" s="229" t="s">
        <v>251</v>
      </c>
      <c r="K103" s="229"/>
      <c r="L103" s="229"/>
      <c r="M103" s="229"/>
      <c r="N103" s="229"/>
      <c r="O103" s="229"/>
      <c r="P103" s="229"/>
      <c r="Q103" s="229"/>
      <c r="R103" s="229"/>
      <c r="S103" s="229"/>
      <c r="T103" s="230"/>
      <c r="U103" s="230"/>
      <c r="V103" s="230"/>
      <c r="W103" s="229"/>
      <c r="X103" s="229"/>
      <c r="Y103" s="229"/>
      <c r="Z103" s="229"/>
      <c r="AA103" s="229"/>
      <c r="AB103" s="229"/>
      <c r="AC103" s="627"/>
      <c r="AD103" s="627"/>
      <c r="AE103" s="627"/>
      <c r="AF103" s="229"/>
      <c r="AG103" s="229"/>
      <c r="AH103" s="229"/>
      <c r="AI103" s="631"/>
      <c r="AJ103" s="631"/>
      <c r="AK103" s="630"/>
      <c r="AL103" s="630"/>
      <c r="AM103" s="630"/>
      <c r="AN103" s="630"/>
      <c r="AO103" s="628"/>
      <c r="AP103" s="557"/>
      <c r="AQ103" s="364"/>
      <c r="AR103" s="364"/>
      <c r="AS103" s="364"/>
      <c r="AT103" s="364"/>
      <c r="AU103" s="229" t="s">
        <v>252</v>
      </c>
      <c r="AV103" s="227"/>
      <c r="AW103" s="227"/>
    </row>
    <row r="104" spans="1:49" ht="15" thickBot="1" x14ac:dyDescent="0.4">
      <c r="A104" s="234">
        <f t="shared" si="38"/>
        <v>98</v>
      </c>
      <c r="T104" s="235"/>
      <c r="U104" s="235"/>
      <c r="V104" s="235"/>
      <c r="AP104" s="557"/>
    </row>
    <row r="105" spans="1:49" ht="15" thickBot="1" x14ac:dyDescent="0.4">
      <c r="A105" s="234">
        <f t="shared" si="38"/>
        <v>99</v>
      </c>
      <c r="B105" s="622" t="s">
        <v>253</v>
      </c>
      <c r="C105" s="241"/>
      <c r="D105" s="227"/>
      <c r="E105" s="623"/>
      <c r="F105" s="623"/>
      <c r="G105" s="623"/>
      <c r="H105" s="623"/>
      <c r="I105" s="623"/>
      <c r="J105" s="227"/>
      <c r="K105" s="227"/>
      <c r="L105" s="229" t="s">
        <v>254</v>
      </c>
      <c r="M105" s="227"/>
      <c r="N105" s="227"/>
      <c r="O105" s="227"/>
      <c r="P105" s="227"/>
      <c r="Q105" s="227"/>
      <c r="R105" s="227"/>
      <c r="S105" s="227"/>
      <c r="T105" s="231"/>
      <c r="U105" s="231"/>
      <c r="V105" s="231"/>
      <c r="W105" s="227"/>
      <c r="X105" s="227"/>
      <c r="Y105" s="227"/>
      <c r="Z105" s="241"/>
      <c r="AA105" s="241"/>
      <c r="AB105" s="241"/>
      <c r="AC105" s="228"/>
      <c r="AD105" s="228"/>
      <c r="AE105" s="228"/>
      <c r="AF105" s="241"/>
      <c r="AG105" s="241"/>
      <c r="AH105" s="241"/>
      <c r="AI105" s="237"/>
      <c r="AJ105" s="227"/>
      <c r="AK105" s="227"/>
      <c r="AL105" s="227"/>
      <c r="AM105" s="227"/>
      <c r="AN105" s="227"/>
      <c r="AP105" s="557"/>
    </row>
    <row r="106" spans="1:49" x14ac:dyDescent="0.35">
      <c r="A106" s="234"/>
    </row>
    <row r="107" spans="1:49" x14ac:dyDescent="0.35">
      <c r="A107" s="234"/>
    </row>
    <row r="108" spans="1:49" x14ac:dyDescent="0.35">
      <c r="B108" s="650"/>
      <c r="C108" s="650"/>
      <c r="D108" s="650"/>
      <c r="E108" s="650"/>
      <c r="F108" s="650"/>
      <c r="G108" s="650"/>
      <c r="H108" s="650"/>
      <c r="I108" s="650"/>
      <c r="J108" s="650"/>
      <c r="K108" s="650"/>
      <c r="L108" s="650"/>
      <c r="M108" s="650"/>
      <c r="N108" s="650"/>
      <c r="O108" s="650"/>
      <c r="P108" s="650"/>
    </row>
  </sheetData>
  <mergeCells count="4">
    <mergeCell ref="B99:P101"/>
    <mergeCell ref="B96:P97"/>
    <mergeCell ref="B108:P108"/>
    <mergeCell ref="B98:P98"/>
  </mergeCells>
  <conditionalFormatting sqref="AN3">
    <cfRule type="cellIs" dxfId="29" priority="1" operator="lessThan">
      <formula>0.001</formula>
    </cfRule>
    <cfRule type="cellIs" dxfId="28" priority="2" operator="notEqual">
      <formula>0</formula>
    </cfRule>
  </conditionalFormatting>
  <pageMargins left="0.7" right="0.7" top="0.75" bottom="0.75" header="0.3" footer="0.3"/>
  <pageSetup scale="31" orientation="portrait" r:id="rId1"/>
  <headerFooter alignWithMargins="0">
    <oddHeader>&amp;R&amp;"Arial,Regular"UG-250717 - NWN WUTC Advice 25-08A
Exhibit A - Supporting Materials
Page &amp;P of &amp;N</oddHeader>
  </headerFooter>
  <colBreaks count="4" manualBreakCount="4">
    <brk id="16" max="1048575" man="1"/>
    <brk id="34" max="1048575" man="1"/>
    <brk id="37" max="86" man="1"/>
    <brk id="4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E6782-75D4-48F2-9FFF-74B9A7057D16}">
  <sheetPr>
    <tabColor theme="0" tint="-0.14999847407452621"/>
    <pageSetUpPr fitToPage="1"/>
  </sheetPr>
  <dimension ref="A1:U88"/>
  <sheetViews>
    <sheetView tabSelected="1" zoomScale="80" zoomScaleNormal="80" workbookViewId="0">
      <pane xSplit="2" ySplit="9" topLeftCell="C10" activePane="bottomRight" state="frozen"/>
      <selection activeCell="I13" sqref="I13:I80"/>
      <selection pane="topRight" activeCell="I13" sqref="I13:I80"/>
      <selection pane="bottomLeft" activeCell="I13" sqref="I13:I80"/>
      <selection pane="bottomRight" activeCell="I13" sqref="I13:I80"/>
    </sheetView>
  </sheetViews>
  <sheetFormatPr defaultColWidth="9.19921875" defaultRowHeight="12.5" x14ac:dyDescent="0.25"/>
  <cols>
    <col min="1" max="1" width="3.69921875" style="4" customWidth="1"/>
    <col min="2" max="2" width="63.796875" style="4" customWidth="1"/>
    <col min="3" max="3" width="19.796875" style="3" customWidth="1"/>
    <col min="4" max="4" width="19.5" style="4" customWidth="1"/>
    <col min="5" max="12" width="16.796875" style="4" customWidth="1"/>
    <col min="13" max="13" width="54.5" style="4" bestFit="1" customWidth="1"/>
    <col min="14" max="15" width="17.796875" style="4" customWidth="1"/>
    <col min="16" max="16" width="26.5" style="4" customWidth="1"/>
    <col min="17" max="22" width="14.5" style="4" customWidth="1"/>
    <col min="23" max="27" width="9.19921875" style="4" customWidth="1"/>
    <col min="28" max="249" width="9.19921875" style="4"/>
    <col min="250" max="255" width="9.19921875" style="4" customWidth="1"/>
    <col min="256" max="16384" width="9.19921875" style="4"/>
  </cols>
  <sheetData>
    <row r="1" spans="1:18" ht="14" x14ac:dyDescent="0.3">
      <c r="A1" s="2" t="s">
        <v>255</v>
      </c>
      <c r="B1" s="3"/>
    </row>
    <row r="2" spans="1:18" ht="14" x14ac:dyDescent="0.3">
      <c r="A2" s="2" t="s">
        <v>256</v>
      </c>
      <c r="B2" s="3"/>
    </row>
    <row r="3" spans="1:18" ht="14" x14ac:dyDescent="0.3">
      <c r="A3" s="2" t="s">
        <v>257</v>
      </c>
      <c r="B3" s="3"/>
    </row>
    <row r="4" spans="1:18" ht="14" x14ac:dyDescent="0.3">
      <c r="A4" s="2" t="s">
        <v>258</v>
      </c>
      <c r="B4" s="3"/>
    </row>
    <row r="5" spans="1:18" x14ac:dyDescent="0.25">
      <c r="B5" s="5"/>
      <c r="G5" s="6"/>
      <c r="H5" s="7" t="s">
        <v>145</v>
      </c>
      <c r="I5" s="7"/>
      <c r="J5" s="7"/>
      <c r="K5" s="7" t="s">
        <v>259</v>
      </c>
      <c r="L5" s="7" t="s">
        <v>259</v>
      </c>
    </row>
    <row r="6" spans="1:18" x14ac:dyDescent="0.25">
      <c r="B6" s="8"/>
      <c r="D6" s="7"/>
      <c r="G6" s="7" t="s">
        <v>260</v>
      </c>
      <c r="H6" s="7" t="s">
        <v>260</v>
      </c>
      <c r="I6" s="7"/>
      <c r="J6" s="7"/>
      <c r="K6" s="7" t="s">
        <v>261</v>
      </c>
      <c r="L6" s="7" t="s">
        <v>261</v>
      </c>
    </row>
    <row r="7" spans="1:18" x14ac:dyDescent="0.25">
      <c r="B7" s="8"/>
      <c r="D7" s="9" t="s">
        <v>262</v>
      </c>
      <c r="E7" s="9"/>
      <c r="F7" s="7" t="s">
        <v>260</v>
      </c>
      <c r="G7" s="7" t="s">
        <v>263</v>
      </c>
      <c r="H7" s="7" t="s">
        <v>264</v>
      </c>
      <c r="I7" s="7" t="s">
        <v>265</v>
      </c>
      <c r="J7" s="7" t="s">
        <v>265</v>
      </c>
      <c r="K7" s="7" t="s">
        <v>266</v>
      </c>
      <c r="L7" s="7" t="s">
        <v>266</v>
      </c>
      <c r="M7" s="7"/>
      <c r="N7" s="7"/>
    </row>
    <row r="8" spans="1:18" x14ac:dyDescent="0.25">
      <c r="B8" s="3"/>
      <c r="C8" s="7" t="s">
        <v>267</v>
      </c>
      <c r="D8" s="7" t="s">
        <v>260</v>
      </c>
      <c r="E8" s="9" t="s">
        <v>262</v>
      </c>
      <c r="F8" s="7" t="s">
        <v>267</v>
      </c>
      <c r="G8" s="7" t="s">
        <v>268</v>
      </c>
      <c r="H8" s="7" t="s">
        <v>269</v>
      </c>
      <c r="I8" s="7" t="s">
        <v>270</v>
      </c>
      <c r="J8" s="7" t="s">
        <v>271</v>
      </c>
      <c r="K8" s="9" t="s">
        <v>272</v>
      </c>
      <c r="L8" s="7" t="s">
        <v>273</v>
      </c>
      <c r="M8" s="7"/>
      <c r="N8" s="7"/>
    </row>
    <row r="9" spans="1:18" x14ac:dyDescent="0.25">
      <c r="B9" s="10" t="s">
        <v>274</v>
      </c>
      <c r="C9" s="11">
        <v>45900</v>
      </c>
      <c r="D9" s="10" t="s">
        <v>275</v>
      </c>
      <c r="E9" s="10" t="s">
        <v>263</v>
      </c>
      <c r="F9" s="12">
        <v>45596</v>
      </c>
      <c r="G9" s="10" t="s">
        <v>276</v>
      </c>
      <c r="H9" s="10" t="s">
        <v>277</v>
      </c>
      <c r="I9" s="10" t="s">
        <v>278</v>
      </c>
      <c r="J9" s="10" t="s">
        <v>278</v>
      </c>
      <c r="K9" s="10" t="s">
        <v>279</v>
      </c>
      <c r="L9" s="10" t="s">
        <v>280</v>
      </c>
      <c r="M9" s="7"/>
      <c r="N9" s="7"/>
      <c r="O9" s="13"/>
      <c r="P9" s="13"/>
    </row>
    <row r="10" spans="1:18" x14ac:dyDescent="0.25">
      <c r="A10" s="14"/>
      <c r="B10" s="7" t="s">
        <v>31</v>
      </c>
      <c r="C10" s="15" t="s">
        <v>32</v>
      </c>
      <c r="D10" s="15" t="s">
        <v>33</v>
      </c>
      <c r="E10" s="15" t="s">
        <v>34</v>
      </c>
      <c r="F10" s="15" t="s">
        <v>35</v>
      </c>
      <c r="G10" s="15" t="s">
        <v>36</v>
      </c>
      <c r="H10" s="15" t="s">
        <v>37</v>
      </c>
      <c r="I10" s="15" t="s">
        <v>38</v>
      </c>
      <c r="J10" s="15" t="s">
        <v>39</v>
      </c>
      <c r="K10" s="15" t="s">
        <v>40</v>
      </c>
      <c r="L10" s="15" t="s">
        <v>41</v>
      </c>
      <c r="M10" s="15"/>
      <c r="N10" s="15"/>
      <c r="O10" s="13"/>
      <c r="P10" s="13"/>
    </row>
    <row r="11" spans="1:18" x14ac:dyDescent="0.25">
      <c r="A11" s="14"/>
      <c r="B11" s="7"/>
      <c r="C11" s="15"/>
      <c r="F11" s="16" t="s">
        <v>281</v>
      </c>
      <c r="G11" s="17">
        <v>7.4999999999999997E-2</v>
      </c>
      <c r="H11" s="16" t="s">
        <v>282</v>
      </c>
      <c r="I11" s="16"/>
      <c r="J11" s="16"/>
      <c r="K11" s="16" t="s">
        <v>283</v>
      </c>
      <c r="L11" s="16" t="s">
        <v>283</v>
      </c>
      <c r="O11" s="13"/>
      <c r="P11" s="13"/>
    </row>
    <row r="12" spans="1:18" hidden="1" x14ac:dyDescent="0.25">
      <c r="A12" s="18">
        <v>1</v>
      </c>
      <c r="B12" s="7"/>
      <c r="C12" s="14"/>
      <c r="D12" s="14"/>
      <c r="E12" s="14"/>
      <c r="F12" s="14"/>
      <c r="G12" s="14"/>
      <c r="H12" s="16" t="s">
        <v>284</v>
      </c>
      <c r="I12" s="16"/>
      <c r="J12" s="16"/>
      <c r="K12" s="16"/>
      <c r="L12" s="14"/>
      <c r="M12" s="14"/>
      <c r="N12" s="19"/>
      <c r="O12" s="20"/>
      <c r="P12" s="14"/>
    </row>
    <row r="13" spans="1:18" hidden="1" x14ac:dyDescent="0.25">
      <c r="A13" s="18">
        <f t="shared" ref="A13:A42" si="0">+A12+1</f>
        <v>2</v>
      </c>
      <c r="B13" s="21" t="s">
        <v>285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9"/>
      <c r="O13" s="14"/>
      <c r="P13" s="14"/>
    </row>
    <row r="14" spans="1:18" hidden="1" x14ac:dyDescent="0.25">
      <c r="A14" s="18">
        <f t="shared" si="0"/>
        <v>3</v>
      </c>
      <c r="B14" s="4" t="s">
        <v>286</v>
      </c>
      <c r="C14" s="14">
        <f>'[34]151822 GREAT'!I218</f>
        <v>585080.04999999981</v>
      </c>
      <c r="D14" s="22">
        <v>0</v>
      </c>
      <c r="E14" s="14">
        <f>SUM('[34]151822 GREAT'!G219:G220)</f>
        <v>7336.3600000000006</v>
      </c>
      <c r="F14" s="14">
        <f>SUM(C14:E14)</f>
        <v>592416.4099999998</v>
      </c>
      <c r="G14" s="23"/>
      <c r="H14" s="14"/>
      <c r="I14" s="14"/>
      <c r="J14" s="14"/>
      <c r="K14" s="24"/>
      <c r="L14" s="14"/>
      <c r="M14" s="14"/>
      <c r="N14" s="19"/>
      <c r="O14" s="14"/>
      <c r="P14" s="14"/>
    </row>
    <row r="15" spans="1:18" hidden="1" x14ac:dyDescent="0.25">
      <c r="A15" s="18">
        <f t="shared" si="0"/>
        <v>4</v>
      </c>
      <c r="B15" s="4" t="s">
        <v>287</v>
      </c>
      <c r="C15" s="25">
        <f>'[34]151824 GREAT AMORT'!I219</f>
        <v>159153.54643603571</v>
      </c>
      <c r="D15" s="25">
        <f>SUM('[34]151824 GREAT AMORT'!D220:D221)</f>
        <v>-38222.720000000001</v>
      </c>
      <c r="E15" s="25">
        <f>SUM('[34]151824 GREAT AMORT'!G220:G221)</f>
        <v>1721.81</v>
      </c>
      <c r="F15" s="25">
        <f>SUM(C15:E15)</f>
        <v>122652.63643603571</v>
      </c>
      <c r="G15" s="25"/>
      <c r="H15" s="25"/>
      <c r="I15" s="14"/>
      <c r="J15" s="14"/>
      <c r="K15" s="14"/>
      <c r="L15" s="14"/>
      <c r="M15" s="14"/>
      <c r="N15" s="19"/>
      <c r="O15" s="14"/>
      <c r="P15" s="14"/>
    </row>
    <row r="16" spans="1:18" hidden="1" x14ac:dyDescent="0.25">
      <c r="A16" s="18">
        <f t="shared" si="0"/>
        <v>5</v>
      </c>
      <c r="C16" s="14">
        <f>SUM(C14:C15)</f>
        <v>744233.59643603559</v>
      </c>
      <c r="D16" s="14">
        <f>SUM(D14:D15)</f>
        <v>-38222.720000000001</v>
      </c>
      <c r="E16" s="14">
        <f>SUM(E14:E15)</f>
        <v>9058.17</v>
      </c>
      <c r="F16" s="14">
        <f>SUM(F14:F15)</f>
        <v>715069.04643603554</v>
      </c>
      <c r="G16" s="23">
        <f>IF(F16&lt;0,ROUND(CUMIPMT($G$11/12,12,-F16,1,12,0),0),-ROUND(CUMIPMT($G$11/12,12,F16,1,12,0),0))</f>
        <v>29381</v>
      </c>
      <c r="H16" s="14">
        <f>ROUND(+F16+G16,0)</f>
        <v>744450</v>
      </c>
      <c r="I16" s="14"/>
      <c r="J16" s="14">
        <f>+H16</f>
        <v>744450</v>
      </c>
      <c r="K16" s="24" t="s">
        <v>288</v>
      </c>
      <c r="L16" s="14"/>
      <c r="M16" s="14"/>
      <c r="N16" s="19"/>
      <c r="O16" s="14"/>
      <c r="P16" s="14"/>
      <c r="Q16" s="14"/>
      <c r="R16" s="14"/>
    </row>
    <row r="17" spans="1:19" hidden="1" x14ac:dyDescent="0.25">
      <c r="A17" s="18">
        <f t="shared" si="0"/>
        <v>6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9"/>
      <c r="O17" s="14"/>
      <c r="P17" s="14"/>
      <c r="Q17" s="14"/>
      <c r="R17" s="14"/>
    </row>
    <row r="18" spans="1:19" hidden="1" x14ac:dyDescent="0.25">
      <c r="A18" s="18">
        <f t="shared" si="0"/>
        <v>7</v>
      </c>
      <c r="B18" s="4" t="s">
        <v>289</v>
      </c>
      <c r="C18" s="26">
        <f>'[34]151890 WA-LIEE'!X242</f>
        <v>97391.199999999924</v>
      </c>
      <c r="D18" s="22">
        <v>0</v>
      </c>
      <c r="E18" s="14">
        <f>SUM('[34]151890 WA-LIEE'!G243:G244)</f>
        <v>1221.19</v>
      </c>
      <c r="F18" s="14">
        <f>SUM(C18:E18)</f>
        <v>98612.389999999927</v>
      </c>
      <c r="G18" s="23"/>
      <c r="H18" s="14"/>
      <c r="I18" s="14"/>
      <c r="L18" s="14"/>
      <c r="M18" s="14"/>
      <c r="N18" s="19"/>
      <c r="O18" s="14"/>
      <c r="P18" s="14"/>
    </row>
    <row r="19" spans="1:19" hidden="1" x14ac:dyDescent="0.25">
      <c r="A19" s="18">
        <f t="shared" si="0"/>
        <v>8</v>
      </c>
      <c r="B19" s="4" t="s">
        <v>290</v>
      </c>
      <c r="C19" s="25">
        <f>'[34]151892 WA-LIEE  AMORT'!I205</f>
        <v>21490.910100000096</v>
      </c>
      <c r="D19" s="25">
        <f>SUM('[34]151892 WA-LIEE  AMORT'!D206:D207)</f>
        <v>-5093.22</v>
      </c>
      <c r="E19" s="25">
        <f>SUM('[34]151892 WA-LIEE  AMORT'!G206:G207)</f>
        <v>232.98000000000002</v>
      </c>
      <c r="F19" s="25">
        <f>SUM(C19:E19)</f>
        <v>16630.670100000094</v>
      </c>
      <c r="G19" s="27"/>
      <c r="H19" s="25"/>
      <c r="I19" s="14"/>
      <c r="J19" s="14"/>
      <c r="K19" s="24"/>
      <c r="L19" s="14"/>
      <c r="M19" s="14"/>
      <c r="N19" s="19"/>
      <c r="O19" s="14"/>
      <c r="P19" s="14"/>
      <c r="Q19" s="14"/>
      <c r="R19" s="14"/>
    </row>
    <row r="20" spans="1:19" hidden="1" x14ac:dyDescent="0.25">
      <c r="A20" s="18">
        <f t="shared" si="0"/>
        <v>9</v>
      </c>
      <c r="C20" s="14">
        <f>SUM(C18:C19)</f>
        <v>118882.11010000002</v>
      </c>
      <c r="D20" s="14">
        <f>SUM(D18:D19)</f>
        <v>-5093.22</v>
      </c>
      <c r="E20" s="14">
        <f>SUM(E18:E19)</f>
        <v>1454.17</v>
      </c>
      <c r="F20" s="14">
        <f>SUM(F18:F19)</f>
        <v>115243.06010000002</v>
      </c>
      <c r="G20" s="23">
        <f>IF(F20&lt;0,ROUND(CUMIPMT($G$11/12,12,-F20,1,12,0),0),-ROUND(CUMIPMT($G$11/12,12,F20,1,12,0),0))</f>
        <v>4735</v>
      </c>
      <c r="H20" s="14">
        <f>ROUND(+F20+G20,0)</f>
        <v>119978</v>
      </c>
      <c r="I20" s="14"/>
      <c r="J20" s="14">
        <f>+H20-I20</f>
        <v>119978</v>
      </c>
      <c r="K20" s="24" t="s">
        <v>291</v>
      </c>
      <c r="L20" s="14"/>
      <c r="M20" s="14"/>
      <c r="N20" s="19"/>
      <c r="O20" s="14"/>
      <c r="P20" s="14"/>
      <c r="Q20" s="14"/>
      <c r="R20" s="14"/>
    </row>
    <row r="21" spans="1:19" hidden="1" x14ac:dyDescent="0.25">
      <c r="A21" s="18">
        <f t="shared" si="0"/>
        <v>10</v>
      </c>
      <c r="C21" s="14"/>
      <c r="D21" s="14"/>
      <c r="E21" s="14"/>
      <c r="F21" s="14"/>
      <c r="G21" s="23"/>
      <c r="H21" s="14"/>
      <c r="I21" s="14"/>
      <c r="J21" s="14"/>
      <c r="K21" s="24"/>
      <c r="L21" s="14"/>
      <c r="M21" s="14"/>
      <c r="N21" s="19"/>
      <c r="O21" s="14"/>
      <c r="P21" s="14"/>
      <c r="Q21" s="14"/>
      <c r="R21" s="14"/>
    </row>
    <row r="22" spans="1:19" hidden="1" x14ac:dyDescent="0.25">
      <c r="A22" s="18">
        <f t="shared" si="0"/>
        <v>11</v>
      </c>
      <c r="B22" s="4" t="s">
        <v>292</v>
      </c>
      <c r="C22" s="14">
        <f>'[34]151894 Historical DSM Amort'!I259</f>
        <v>59658.208188029967</v>
      </c>
      <c r="D22" s="26">
        <f>SUM('[34]151894 Historical DSM Amort'!D260:D261)</f>
        <v>-17439.189999999999</v>
      </c>
      <c r="E22" s="26">
        <f>SUM('[34]151894 Historical DSM Amort'!G260:G261)</f>
        <v>623.49</v>
      </c>
      <c r="F22" s="14">
        <f>SUM(C22:E22)</f>
        <v>42842.508188029962</v>
      </c>
      <c r="G22" s="23"/>
      <c r="H22" s="14"/>
      <c r="I22" s="14"/>
      <c r="J22" s="14"/>
      <c r="K22" s="14"/>
      <c r="L22" s="24"/>
      <c r="M22" s="28"/>
      <c r="N22" s="19"/>
      <c r="O22" s="14"/>
      <c r="P22" s="14"/>
      <c r="Q22" s="14"/>
      <c r="R22" s="14"/>
    </row>
    <row r="23" spans="1:19" hidden="1" x14ac:dyDescent="0.25">
      <c r="A23" s="18">
        <f t="shared" si="0"/>
        <v>12</v>
      </c>
      <c r="B23" s="4" t="s">
        <v>293</v>
      </c>
      <c r="C23" s="14">
        <f>'[34]151898 WA EE True-Up'!G87</f>
        <v>108574.00305196176</v>
      </c>
      <c r="D23" s="26">
        <f>SUM('[34]151898 WA EE True-Up'!D88:D89)</f>
        <v>-213924.30000000002</v>
      </c>
      <c r="E23" s="22">
        <v>0</v>
      </c>
      <c r="F23" s="14">
        <f>SUM(C23:E23)</f>
        <v>-105350.29694803826</v>
      </c>
      <c r="G23" s="23"/>
      <c r="H23" s="14"/>
      <c r="I23" s="14"/>
      <c r="J23" s="14"/>
      <c r="K23" s="14"/>
      <c r="L23" s="24"/>
      <c r="M23" s="28"/>
      <c r="N23" s="14"/>
      <c r="O23" s="14"/>
      <c r="P23" s="14"/>
      <c r="Q23" s="14"/>
      <c r="R23" s="14"/>
    </row>
    <row r="24" spans="1:19" ht="13" hidden="1" customHeight="1" x14ac:dyDescent="0.25">
      <c r="A24" s="18">
        <f t="shared" si="0"/>
        <v>13</v>
      </c>
      <c r="C24" s="29">
        <f>SUM(C22:C23)</f>
        <v>168232.21123999171</v>
      </c>
      <c r="D24" s="29">
        <f>SUM(D22:D23)</f>
        <v>-231363.49000000002</v>
      </c>
      <c r="E24" s="29">
        <f>SUM(E22:E23)</f>
        <v>623.49</v>
      </c>
      <c r="F24" s="29">
        <f>SUM(F22:F23)</f>
        <v>-62507.788760008298</v>
      </c>
      <c r="G24" s="30">
        <f>IF(F24&lt;0,ROUND(CUMIPMT($G$11/12,12,-F24,1,12,0),0),-ROUND(CUMIPMT($G$11/12,12,F24,1,12,0),0))</f>
        <v>-2568</v>
      </c>
      <c r="H24" s="29">
        <f>ROUND(+F24+G24,0)</f>
        <v>-65076</v>
      </c>
      <c r="I24" s="14"/>
      <c r="J24" s="14">
        <f>+H24</f>
        <v>-65076</v>
      </c>
      <c r="K24" s="24" t="s">
        <v>294</v>
      </c>
      <c r="L24" s="24"/>
      <c r="M24" s="31"/>
      <c r="O24" s="14"/>
      <c r="P24" s="14"/>
      <c r="Q24" s="14"/>
      <c r="R24" s="14"/>
    </row>
    <row r="25" spans="1:19" hidden="1" x14ac:dyDescent="0.25">
      <c r="A25" s="18">
        <f t="shared" si="0"/>
        <v>14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31"/>
      <c r="N25" s="14"/>
      <c r="O25" s="14"/>
      <c r="P25" s="14"/>
      <c r="Q25" s="14"/>
      <c r="R25" s="14"/>
    </row>
    <row r="26" spans="1:19" x14ac:dyDescent="0.25">
      <c r="A26" s="18">
        <f t="shared" si="0"/>
        <v>15</v>
      </c>
      <c r="B26" s="21" t="s">
        <v>295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31"/>
      <c r="N26" s="14"/>
      <c r="O26" s="14"/>
      <c r="P26" s="14"/>
      <c r="Q26" s="14"/>
      <c r="R26" s="14"/>
    </row>
    <row r="27" spans="1:19" x14ac:dyDescent="0.25">
      <c r="A27" s="18">
        <f t="shared" si="0"/>
        <v>16</v>
      </c>
      <c r="B27" s="4" t="s">
        <v>296</v>
      </c>
      <c r="C27" s="14">
        <f>'151540 WACOG Deferral'!I242</f>
        <v>-10533163.483584771</v>
      </c>
      <c r="D27" s="22">
        <v>0</v>
      </c>
      <c r="E27" s="26">
        <f>SUM('151540 WACOG Deferral'!G242:G243)</f>
        <v>-129444.9</v>
      </c>
      <c r="F27" s="14">
        <f>SUM(C27:E27)</f>
        <v>-10662608.383584771</v>
      </c>
      <c r="G27" s="14"/>
      <c r="H27" s="14"/>
      <c r="I27" s="14"/>
      <c r="J27" s="14"/>
      <c r="K27" s="14"/>
      <c r="L27" s="14"/>
      <c r="M27" s="32" t="s">
        <v>297</v>
      </c>
      <c r="N27" s="14"/>
      <c r="O27" s="14"/>
      <c r="P27" s="14"/>
      <c r="Q27" s="14"/>
      <c r="R27" s="14"/>
    </row>
    <row r="28" spans="1:19" x14ac:dyDescent="0.25">
      <c r="A28" s="18">
        <f t="shared" si="0"/>
        <v>17</v>
      </c>
      <c r="B28" s="4" t="s">
        <v>298</v>
      </c>
      <c r="C28" s="25">
        <f>'151545 WACOG Amortization '!I259</f>
        <v>-1854493.9615735998</v>
      </c>
      <c r="D28" s="33">
        <f>SUM('151545 WACOG Amortization '!D260:D261)</f>
        <v>444513.23</v>
      </c>
      <c r="E28" s="33">
        <f>SUM('151545 WACOG Amortization '!G260:G261)</f>
        <v>-20045.169999999998</v>
      </c>
      <c r="F28" s="25">
        <f>SUM(C28:E28)</f>
        <v>-1430025.9015735998</v>
      </c>
      <c r="G28" s="25"/>
      <c r="H28" s="25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9" ht="13" thickBot="1" x14ac:dyDescent="0.3">
      <c r="A29" s="18">
        <f t="shared" si="0"/>
        <v>18</v>
      </c>
      <c r="B29" s="34"/>
      <c r="C29" s="14">
        <f>SUM(C27:C28)</f>
        <v>-12387657.44515837</v>
      </c>
      <c r="D29" s="14">
        <f>SUM(D27:D28)</f>
        <v>444513.23</v>
      </c>
      <c r="E29" s="14">
        <f>SUM(E27:E28)</f>
        <v>-149490.07</v>
      </c>
      <c r="F29" s="14">
        <f>SUM(F27:F28)</f>
        <v>-12092634.285158372</v>
      </c>
      <c r="G29" s="23">
        <f>IF(F29&lt;0,ROUND(CUMIPMT($G$11/12,12,-F29,1,12,0),0),-ROUND(CUMIPMT($G$11/12,12,F29,1,12,0),0))</f>
        <v>-496874</v>
      </c>
      <c r="H29" s="14">
        <f>ROUND(+F29+G29,0)</f>
        <v>-12589508</v>
      </c>
      <c r="I29" s="14"/>
      <c r="J29" s="14">
        <f>+H29</f>
        <v>-12589508</v>
      </c>
      <c r="K29" s="14"/>
      <c r="L29" s="24" t="s">
        <v>204</v>
      </c>
      <c r="M29" s="24"/>
      <c r="N29" s="14"/>
      <c r="O29" s="14"/>
      <c r="P29" s="14"/>
      <c r="Q29" s="14"/>
      <c r="R29" s="14"/>
    </row>
    <row r="30" spans="1:19" x14ac:dyDescent="0.25">
      <c r="A30" s="18">
        <f t="shared" si="0"/>
        <v>19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5" t="s">
        <v>299</v>
      </c>
      <c r="P30" s="36"/>
      <c r="Q30" s="37" t="s">
        <v>300</v>
      </c>
      <c r="R30" s="14"/>
      <c r="S30" s="14"/>
    </row>
    <row r="31" spans="1:19" ht="14.5" x14ac:dyDescent="0.35">
      <c r="A31" s="18">
        <f t="shared" si="0"/>
        <v>20</v>
      </c>
      <c r="B31" s="4" t="s">
        <v>301</v>
      </c>
      <c r="C31" s="14">
        <f>'151550 Demand Accrual'!I242</f>
        <v>669608.69159762096</v>
      </c>
      <c r="D31" s="22">
        <v>0</v>
      </c>
      <c r="E31" s="26">
        <f>SUM('151550 Demand Accrual'!G243:G244)</f>
        <v>8396.26</v>
      </c>
      <c r="F31" s="14">
        <f>SUM(C31:E31)</f>
        <v>678004.95159762097</v>
      </c>
      <c r="G31" s="38"/>
      <c r="H31" s="14"/>
      <c r="I31" s="14"/>
      <c r="J31" s="14"/>
      <c r="K31" s="14"/>
      <c r="L31" s="24"/>
      <c r="M31" s="39">
        <f>ROUND((+(Q31*O31)/((Q31*O31)+(Q32*O32)))*J34,0)</f>
        <v>-2284960</v>
      </c>
      <c r="N31" s="40" t="s">
        <v>302</v>
      </c>
      <c r="O31" s="41">
        <f>'[35]Washington volumes'!$M$85</f>
        <v>90908754.476871997</v>
      </c>
      <c r="P31" s="42"/>
      <c r="Q31" s="43">
        <f>'[15]General Inputs'!$E$77</f>
        <v>0.10337</v>
      </c>
      <c r="R31" s="14"/>
      <c r="S31" s="14"/>
    </row>
    <row r="32" spans="1:19" ht="15" thickBot="1" x14ac:dyDescent="0.4">
      <c r="A32" s="18">
        <f t="shared" si="0"/>
        <v>21</v>
      </c>
      <c r="B32" s="4" t="s">
        <v>303</v>
      </c>
      <c r="C32" s="14">
        <f>'151555 Demand Amortization'!I259</f>
        <v>-1113718.0518584608</v>
      </c>
      <c r="D32" s="26">
        <f>SUM('151555 Demand Amortization'!D260:D261)</f>
        <v>72466.73000000001</v>
      </c>
      <c r="E32" s="26">
        <f>SUM('151555 Demand Amortization'!G260:G261)</f>
        <v>-13439.369999999999</v>
      </c>
      <c r="F32" s="14">
        <f>SUM(C32:E32)</f>
        <v>-1054690.6918584609</v>
      </c>
      <c r="G32" s="14"/>
      <c r="H32" s="14"/>
      <c r="I32" s="14"/>
      <c r="J32" s="14"/>
      <c r="K32" s="14"/>
      <c r="L32" s="14"/>
      <c r="M32" s="39">
        <f>+J34-M31</f>
        <v>-98713</v>
      </c>
      <c r="N32" s="40" t="s">
        <v>304</v>
      </c>
      <c r="O32" s="44">
        <f>'[35]Washington volumes'!$M$86</f>
        <v>11239544.658402635</v>
      </c>
      <c r="P32" s="45"/>
      <c r="Q32" s="46">
        <f>'[15]General Inputs'!$E$78</f>
        <v>3.6119999999999999E-2</v>
      </c>
      <c r="R32" s="14"/>
      <c r="S32" s="14"/>
    </row>
    <row r="33" spans="1:21" x14ac:dyDescent="0.25">
      <c r="A33" s="18">
        <f t="shared" si="0"/>
        <v>22</v>
      </c>
      <c r="B33" s="4" t="s">
        <v>305</v>
      </c>
      <c r="C33" s="25">
        <f>'232035 Storage Sharing'!G241</f>
        <v>-1912909.8400000003</v>
      </c>
      <c r="D33" s="47">
        <v>0</v>
      </c>
      <c r="E33" s="47">
        <v>0</v>
      </c>
      <c r="F33" s="25">
        <f>SUM(C33:E33)</f>
        <v>-1912909.8400000003</v>
      </c>
      <c r="G33" s="25"/>
      <c r="H33" s="25"/>
      <c r="I33" s="14"/>
      <c r="J33" s="14"/>
      <c r="K33" s="14"/>
      <c r="L33" s="14"/>
      <c r="M33" s="14"/>
      <c r="N33" s="14"/>
      <c r="O33" s="14"/>
      <c r="P33" s="32"/>
      <c r="Q33" s="14"/>
      <c r="R33" s="14"/>
      <c r="S33" s="14"/>
    </row>
    <row r="34" spans="1:21" x14ac:dyDescent="0.25">
      <c r="A34" s="18">
        <f t="shared" si="0"/>
        <v>23</v>
      </c>
      <c r="B34" s="34"/>
      <c r="C34" s="14">
        <f>SUM(C31:C33)</f>
        <v>-2357019.2002608404</v>
      </c>
      <c r="D34" s="14">
        <f>SUM(D31:D33)</f>
        <v>72466.73000000001</v>
      </c>
      <c r="E34" s="14">
        <f>SUM(E31:E33)</f>
        <v>-5043.1099999999988</v>
      </c>
      <c r="F34" s="14">
        <f>SUM(F31:F33)</f>
        <v>-2289595.5802608402</v>
      </c>
      <c r="G34" s="23">
        <f>IF(F34&lt;0,ROUND(CUMIPMT($G$11/12,12,-F34,1,12,0),0),-ROUND(CUMIPMT($G$11/12,12,F34,1,12,0),0))</f>
        <v>-94077</v>
      </c>
      <c r="H34" s="14">
        <f>ROUND(+F34+G34,0)</f>
        <v>-2383673</v>
      </c>
      <c r="I34" s="14"/>
      <c r="J34" s="14">
        <f>+H34</f>
        <v>-2383673</v>
      </c>
      <c r="K34" s="14"/>
      <c r="L34" s="24" t="s">
        <v>306</v>
      </c>
      <c r="M34" s="31"/>
      <c r="N34" s="31"/>
      <c r="P34" s="42"/>
      <c r="Q34" s="48"/>
      <c r="R34" s="14"/>
      <c r="S34" s="14"/>
      <c r="T34" s="49"/>
      <c r="U34" s="50"/>
    </row>
    <row r="35" spans="1:21" x14ac:dyDescent="0.25">
      <c r="A35" s="18">
        <f t="shared" si="0"/>
        <v>24</v>
      </c>
      <c r="B35" s="51"/>
      <c r="C35" s="14"/>
      <c r="D35" s="14"/>
      <c r="E35" s="14"/>
      <c r="F35" s="14"/>
      <c r="G35" s="32"/>
      <c r="H35" s="32"/>
      <c r="I35" s="32"/>
      <c r="J35" s="32"/>
      <c r="K35" s="32"/>
      <c r="L35" s="24"/>
      <c r="M35" s="31"/>
      <c r="N35" s="31"/>
      <c r="P35" s="42"/>
      <c r="Q35" s="48"/>
      <c r="R35" s="32"/>
      <c r="S35" s="32"/>
    </row>
    <row r="36" spans="1:21" hidden="1" x14ac:dyDescent="0.25">
      <c r="A36" s="18">
        <f t="shared" si="0"/>
        <v>25</v>
      </c>
      <c r="B36" s="21" t="s">
        <v>307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31"/>
      <c r="N36" s="14"/>
      <c r="O36" s="14"/>
      <c r="P36" s="14"/>
      <c r="Q36" s="14"/>
      <c r="R36" s="14"/>
    </row>
    <row r="37" spans="1:21" hidden="1" x14ac:dyDescent="0.25">
      <c r="A37" s="18">
        <f t="shared" si="0"/>
        <v>26</v>
      </c>
      <c r="C37" s="14"/>
      <c r="D37" s="14"/>
      <c r="E37" s="14"/>
      <c r="F37" s="14"/>
      <c r="G37" s="32"/>
      <c r="H37" s="32"/>
      <c r="I37" s="32"/>
      <c r="J37" s="32"/>
      <c r="K37" s="32"/>
      <c r="L37" s="14"/>
      <c r="M37" s="31"/>
      <c r="N37" s="14"/>
      <c r="O37" s="23"/>
      <c r="Q37" s="32"/>
      <c r="R37" s="32"/>
      <c r="S37" s="49"/>
    </row>
    <row r="38" spans="1:21" hidden="1" x14ac:dyDescent="0.25">
      <c r="A38" s="18">
        <f t="shared" si="0"/>
        <v>27</v>
      </c>
      <c r="B38" s="4" t="s">
        <v>308</v>
      </c>
      <c r="C38" s="52">
        <v>0</v>
      </c>
      <c r="D38" s="22">
        <v>0</v>
      </c>
      <c r="E38" s="22">
        <v>0</v>
      </c>
      <c r="F38" s="52">
        <f>SUM(C38:E38)</f>
        <v>0</v>
      </c>
      <c r="G38" s="38"/>
      <c r="H38" s="14"/>
      <c r="I38" s="14"/>
      <c r="J38" s="14"/>
      <c r="K38" s="14"/>
      <c r="L38" s="24"/>
      <c r="M38" s="24"/>
      <c r="N38" s="14"/>
      <c r="O38" s="14"/>
      <c r="P38" s="14"/>
      <c r="Q38" s="14"/>
      <c r="R38" s="14"/>
    </row>
    <row r="39" spans="1:21" hidden="1" x14ac:dyDescent="0.25">
      <c r="A39" s="18">
        <f t="shared" si="0"/>
        <v>28</v>
      </c>
      <c r="B39" s="4" t="s">
        <v>309</v>
      </c>
      <c r="C39" s="14">
        <f>'[34]232050 Amort Gain on Prop'!I76</f>
        <v>-11226.409123499925</v>
      </c>
      <c r="D39" s="14">
        <f>SUM('[34]232050 Amort Gain on Prop'!D77:D78)</f>
        <v>2608.8300000000004</v>
      </c>
      <c r="E39" s="14">
        <f>SUM('[34]232050 Amort Gain on Prop'!G77:G78)</f>
        <v>-121.91</v>
      </c>
      <c r="F39" s="14">
        <f>SUM(C39:E39)</f>
        <v>-8739.489123499925</v>
      </c>
      <c r="G39" s="23"/>
      <c r="H39" s="14"/>
      <c r="I39" s="32"/>
      <c r="J39" s="14"/>
      <c r="K39" s="32"/>
      <c r="L39" s="14"/>
      <c r="M39" s="31"/>
      <c r="N39" s="14"/>
      <c r="O39" s="23"/>
      <c r="Q39" s="32"/>
      <c r="R39" s="32"/>
      <c r="S39" s="49"/>
    </row>
    <row r="40" spans="1:21" hidden="1" x14ac:dyDescent="0.25">
      <c r="A40" s="18">
        <f t="shared" si="0"/>
        <v>29</v>
      </c>
      <c r="C40" s="29">
        <f>SUM(C38:C39)</f>
        <v>-11226.409123499925</v>
      </c>
      <c r="D40" s="29">
        <f>SUM(D38:D39)</f>
        <v>2608.8300000000004</v>
      </c>
      <c r="E40" s="29">
        <f>SUM(E38:E39)</f>
        <v>-121.91</v>
      </c>
      <c r="F40" s="29">
        <f>SUM(F38:F39)</f>
        <v>-8739.489123499925</v>
      </c>
      <c r="G40" s="53">
        <f>IF(F40&lt;0,ROUND(CUMIPMT($G$11/12,12,-F40,1,12,0),0),-ROUND(CUMIPMT($G$11/12,12,F40,1,12,0),0))</f>
        <v>-359</v>
      </c>
      <c r="H40" s="29">
        <f>ROUND(+F40+G40,0)</f>
        <v>-9098</v>
      </c>
      <c r="I40" s="32"/>
      <c r="J40" s="14">
        <f>+H40</f>
        <v>-9098</v>
      </c>
      <c r="K40" s="32"/>
      <c r="L40" s="14"/>
      <c r="M40" s="31"/>
      <c r="N40" s="14"/>
      <c r="O40" s="23"/>
      <c r="Q40" s="32"/>
      <c r="R40" s="32"/>
      <c r="S40" s="49"/>
    </row>
    <row r="41" spans="1:21" hidden="1" x14ac:dyDescent="0.25">
      <c r="A41" s="18">
        <f t="shared" si="0"/>
        <v>30</v>
      </c>
      <c r="C41" s="14"/>
      <c r="D41" s="14"/>
      <c r="E41" s="14"/>
      <c r="F41" s="14"/>
      <c r="G41" s="23"/>
      <c r="H41" s="14"/>
      <c r="I41" s="32"/>
      <c r="J41" s="14"/>
      <c r="K41" s="32"/>
      <c r="L41" s="14"/>
      <c r="M41" s="31"/>
      <c r="N41" s="14"/>
      <c r="O41" s="23"/>
      <c r="Q41" s="32"/>
      <c r="R41" s="32"/>
      <c r="S41" s="49"/>
    </row>
    <row r="42" spans="1:21" hidden="1" x14ac:dyDescent="0.25">
      <c r="A42" s="18">
        <f t="shared" si="0"/>
        <v>31</v>
      </c>
      <c r="B42" s="4" t="s">
        <v>310</v>
      </c>
      <c r="C42" s="52">
        <v>0</v>
      </c>
      <c r="D42" s="22">
        <v>0</v>
      </c>
      <c r="E42" s="22">
        <v>0</v>
      </c>
      <c r="F42" s="52">
        <f>SUM(C42:E42)</f>
        <v>0</v>
      </c>
      <c r="G42" s="54"/>
      <c r="H42" s="14"/>
      <c r="I42" s="32"/>
      <c r="J42" s="14"/>
      <c r="K42" s="32"/>
      <c r="L42" s="14"/>
      <c r="M42" s="55"/>
      <c r="N42" s="14"/>
      <c r="O42" s="23"/>
      <c r="Q42" s="32"/>
      <c r="R42" s="32"/>
      <c r="S42" s="49"/>
    </row>
    <row r="43" spans="1:21" hidden="1" x14ac:dyDescent="0.25">
      <c r="A43" s="18">
        <f>+A41+1</f>
        <v>31</v>
      </c>
      <c r="B43" s="4" t="s">
        <v>311</v>
      </c>
      <c r="C43" s="25">
        <f>'[34]151829 WUTC Fee Amort'!J223</f>
        <v>2782.7999999999683</v>
      </c>
      <c r="D43" s="25">
        <f>SUM('[34]151829 WUTC Fee Amort'!D224:D225)</f>
        <v>-1252.6399999999999</v>
      </c>
      <c r="E43" s="25">
        <f>SUM('[34]151829 WUTC Fee Amort'!G224:G225)</f>
        <v>25.86</v>
      </c>
      <c r="F43" s="14">
        <f>SUM(C43:E43)</f>
        <v>1556.0199999999684</v>
      </c>
      <c r="G43" s="27"/>
      <c r="H43" s="25"/>
      <c r="I43" s="32"/>
      <c r="J43" s="14"/>
      <c r="K43" s="32"/>
      <c r="L43" s="14"/>
      <c r="M43" s="55"/>
      <c r="N43" s="14"/>
      <c r="O43" s="23"/>
      <c r="Q43" s="32"/>
      <c r="R43" s="32"/>
      <c r="S43" s="49"/>
    </row>
    <row r="44" spans="1:21" hidden="1" x14ac:dyDescent="0.25">
      <c r="A44" s="18">
        <f t="shared" ref="A44:A63" si="1">+A43+1</f>
        <v>32</v>
      </c>
      <c r="C44" s="29">
        <f>SUM(C42:C43)</f>
        <v>2782.7999999999683</v>
      </c>
      <c r="D44" s="29">
        <f>SUM(D42:D43)</f>
        <v>-1252.6399999999999</v>
      </c>
      <c r="E44" s="29">
        <f>SUM(E42:E43)</f>
        <v>25.86</v>
      </c>
      <c r="F44" s="29">
        <f>SUM(F42:F43)</f>
        <v>1556.0199999999684</v>
      </c>
      <c r="G44" s="23">
        <f>IF(F44&lt;0,ROUND(CUMIPMT($G$11/12,12,-F44,1,12,0),0),-ROUND(CUMIPMT($G$11/12,12,F44,1,12,0),0))</f>
        <v>64</v>
      </c>
      <c r="H44" s="29">
        <f>ROUND(+F44+G44,0)</f>
        <v>1620</v>
      </c>
      <c r="I44" s="32"/>
      <c r="J44" s="14">
        <f>+H44</f>
        <v>1620</v>
      </c>
      <c r="K44" s="32"/>
      <c r="L44" s="14"/>
      <c r="M44" s="31"/>
      <c r="O44" s="23"/>
      <c r="Q44" s="32"/>
      <c r="R44" s="32"/>
      <c r="S44" s="49"/>
    </row>
    <row r="45" spans="1:21" hidden="1" x14ac:dyDescent="0.25">
      <c r="A45" s="18">
        <f t="shared" si="1"/>
        <v>33</v>
      </c>
      <c r="C45" s="14"/>
      <c r="D45" s="14"/>
      <c r="E45" s="14"/>
      <c r="F45" s="14"/>
      <c r="G45" s="23"/>
      <c r="H45" s="14"/>
      <c r="I45" s="32"/>
      <c r="J45" s="14"/>
      <c r="K45" s="32"/>
      <c r="L45" s="14"/>
      <c r="M45" s="31"/>
      <c r="N45" s="14"/>
      <c r="O45" s="23"/>
      <c r="Q45" s="32"/>
      <c r="R45" s="32"/>
      <c r="S45" s="49"/>
    </row>
    <row r="46" spans="1:21" hidden="1" x14ac:dyDescent="0.25">
      <c r="A46" s="18">
        <f t="shared" si="1"/>
        <v>34</v>
      </c>
      <c r="B46" s="4" t="s">
        <v>312</v>
      </c>
      <c r="C46" s="14">
        <f>'[34]151887 WA EE Audit Defer'!I221</f>
        <v>-21556.77</v>
      </c>
      <c r="D46" s="52">
        <v>0</v>
      </c>
      <c r="E46" s="14">
        <f>SUM('[34]151887 WA EE Audit Defer'!G222:G223)</f>
        <v>-270.29999999999995</v>
      </c>
      <c r="F46" s="14">
        <f>SUM(C46:E46)</f>
        <v>-21827.07</v>
      </c>
      <c r="G46" s="23"/>
      <c r="H46" s="14"/>
      <c r="I46" s="32"/>
      <c r="J46" s="14"/>
      <c r="K46" s="32"/>
      <c r="L46" s="14"/>
      <c r="M46" s="55"/>
      <c r="N46" s="14"/>
      <c r="O46" s="23"/>
      <c r="Q46" s="32"/>
      <c r="R46" s="32"/>
      <c r="S46" s="49"/>
    </row>
    <row r="47" spans="1:21" hidden="1" x14ac:dyDescent="0.25">
      <c r="A47" s="18">
        <f t="shared" si="1"/>
        <v>35</v>
      </c>
      <c r="B47" s="4" t="s">
        <v>313</v>
      </c>
      <c r="C47" s="14">
        <f>'[34]151889 WA EE Audit AMORT'!J223</f>
        <v>30741.759999999998</v>
      </c>
      <c r="D47" s="14">
        <f>SUM('[34]151889 WA EE Audit AMORT'!D224:D225)</f>
        <v>-2297.1200000000003</v>
      </c>
      <c r="E47" s="14">
        <f>SUM('[34]151889 WA EE Audit AMORT'!G224:G225)</f>
        <v>367.32</v>
      </c>
      <c r="F47" s="14">
        <f>SUM(C47:E47)</f>
        <v>28811.96</v>
      </c>
      <c r="G47" s="27"/>
      <c r="H47" s="14"/>
      <c r="I47" s="32"/>
      <c r="J47" s="14"/>
      <c r="K47" s="32"/>
      <c r="L47" s="14"/>
      <c r="M47" s="55"/>
      <c r="N47" s="14"/>
      <c r="O47" s="23"/>
      <c r="Q47" s="32"/>
      <c r="R47" s="32"/>
      <c r="S47" s="49"/>
    </row>
    <row r="48" spans="1:21" hidden="1" x14ac:dyDescent="0.25">
      <c r="A48" s="18">
        <f t="shared" si="1"/>
        <v>36</v>
      </c>
      <c r="C48" s="29">
        <f>SUM(C46:C47)</f>
        <v>9184.989999999998</v>
      </c>
      <c r="D48" s="29">
        <f>SUM(D46:D47)</f>
        <v>-2297.1200000000003</v>
      </c>
      <c r="E48" s="29">
        <f>SUM(E46:E47)</f>
        <v>97.020000000000039</v>
      </c>
      <c r="F48" s="29">
        <f>SUM(F46:F47)</f>
        <v>6984.8899999999994</v>
      </c>
      <c r="G48" s="23">
        <f>IF(F48&lt;0,ROUND(CUMIPMT($G$11/12,12,-F48,1,12,0),0),-ROUND(CUMIPMT($G$11/12,12,F48,1,12,0),0))</f>
        <v>287</v>
      </c>
      <c r="H48" s="29">
        <f>ROUND(+F48+G48,0)</f>
        <v>7272</v>
      </c>
      <c r="I48" s="32"/>
      <c r="J48" s="14">
        <f>+H48</f>
        <v>7272</v>
      </c>
      <c r="K48" s="32"/>
      <c r="L48" s="14"/>
      <c r="M48" s="55"/>
      <c r="N48" s="14"/>
      <c r="O48" s="23"/>
      <c r="Q48" s="32"/>
      <c r="R48" s="32"/>
      <c r="S48" s="49"/>
    </row>
    <row r="49" spans="1:19" hidden="1" x14ac:dyDescent="0.25">
      <c r="A49" s="18">
        <f t="shared" si="1"/>
        <v>37</v>
      </c>
      <c r="C49" s="14"/>
      <c r="D49" s="14"/>
      <c r="E49" s="14"/>
      <c r="F49" s="14"/>
      <c r="G49" s="23"/>
      <c r="H49" s="14"/>
      <c r="I49" s="32"/>
      <c r="J49" s="14"/>
      <c r="K49" s="32"/>
      <c r="L49" s="14"/>
      <c r="M49" s="55"/>
      <c r="N49" s="14"/>
      <c r="O49" s="23"/>
      <c r="Q49" s="32"/>
      <c r="R49" s="32"/>
      <c r="S49" s="49"/>
    </row>
    <row r="50" spans="1:19" hidden="1" x14ac:dyDescent="0.25">
      <c r="A50" s="18">
        <f t="shared" si="1"/>
        <v>38</v>
      </c>
      <c r="B50" s="4" t="s">
        <v>314</v>
      </c>
      <c r="C50" s="25">
        <f>'[34]151914 Rate Mitigation Amort'!I223</f>
        <v>5025.4758480155888</v>
      </c>
      <c r="D50" s="25">
        <f>SUM('[34]151914 Rate Mitigation Amort'!D224:D225)</f>
        <v>-926.49</v>
      </c>
      <c r="E50" s="25">
        <f>SUM('[34]151914 Rate Mitigation Amort'!G224:G225)</f>
        <v>34.39</v>
      </c>
      <c r="F50" s="14">
        <f>SUM(C50:E50)</f>
        <v>4133.3758480155893</v>
      </c>
      <c r="G50" s="56">
        <f>'[34]151914 Rate Mitigation Amort'!F223</f>
        <v>4.5699999999999998E-2</v>
      </c>
      <c r="H50" s="25"/>
      <c r="I50" s="32"/>
      <c r="J50" s="14"/>
      <c r="K50" s="32"/>
      <c r="L50" s="14"/>
      <c r="M50" s="55"/>
      <c r="N50" s="14"/>
      <c r="O50" s="23"/>
      <c r="Q50" s="32"/>
      <c r="R50" s="32"/>
      <c r="S50" s="49"/>
    </row>
    <row r="51" spans="1:19" hidden="1" x14ac:dyDescent="0.25">
      <c r="A51" s="18">
        <f t="shared" si="1"/>
        <v>39</v>
      </c>
      <c r="C51" s="29">
        <f>SUM(C46:C50)</f>
        <v>23395.455848015583</v>
      </c>
      <c r="D51" s="29">
        <f>SUM(D50)</f>
        <v>-926.49</v>
      </c>
      <c r="E51" s="29">
        <f>SUM(E46:E50)</f>
        <v>228.43000000000006</v>
      </c>
      <c r="F51" s="29">
        <f>SUM(F46:F50)</f>
        <v>18103.155848015587</v>
      </c>
      <c r="G51" s="23">
        <f>IF(F51&lt;0,ROUND(CUMIPMT($G$50/12,12,-F51,1,12,0),0),-ROUND(CUMIPMT($G$50/12,12,F51,1,12,0),0))</f>
        <v>451</v>
      </c>
      <c r="H51" s="29">
        <f>ROUND(+F51+G51,0)</f>
        <v>18554</v>
      </c>
      <c r="I51" s="32"/>
      <c r="J51" s="14">
        <f>+H51</f>
        <v>18554</v>
      </c>
      <c r="K51" s="32"/>
      <c r="L51" s="14"/>
      <c r="M51" s="31"/>
      <c r="N51" s="14"/>
      <c r="O51" s="23"/>
      <c r="Q51" s="32"/>
      <c r="R51" s="32"/>
      <c r="S51" s="49"/>
    </row>
    <row r="52" spans="1:19" hidden="1" x14ac:dyDescent="0.25">
      <c r="A52" s="18">
        <f t="shared" si="1"/>
        <v>40</v>
      </c>
      <c r="C52" s="14"/>
      <c r="D52" s="14"/>
      <c r="E52" s="14"/>
      <c r="F52" s="14"/>
      <c r="G52" s="23"/>
      <c r="H52" s="14"/>
      <c r="I52" s="32"/>
      <c r="J52" s="14"/>
      <c r="K52" s="32"/>
      <c r="L52" s="14"/>
      <c r="M52" s="31"/>
      <c r="N52" s="14"/>
      <c r="O52" s="23"/>
      <c r="Q52" s="32"/>
      <c r="R52" s="32"/>
      <c r="S52" s="49"/>
    </row>
    <row r="53" spans="1:19" hidden="1" x14ac:dyDescent="0.25">
      <c r="A53" s="18">
        <f t="shared" si="1"/>
        <v>41</v>
      </c>
      <c r="B53" s="4" t="s">
        <v>315</v>
      </c>
      <c r="C53" s="47">
        <f>'[34]151884 Participatory Fund Defer'!J222</f>
        <v>0</v>
      </c>
      <c r="D53" s="47">
        <v>0</v>
      </c>
      <c r="E53" s="47">
        <f>SUM('[34]151884 Participatory Fund Defer'!G223:G224)</f>
        <v>0</v>
      </c>
      <c r="F53" s="52">
        <f>SUM(C53:E53)</f>
        <v>0</v>
      </c>
      <c r="G53" s="27"/>
      <c r="H53" s="25"/>
      <c r="I53" s="32"/>
      <c r="J53" s="14"/>
      <c r="K53" s="32"/>
      <c r="L53" s="14"/>
      <c r="M53" s="55"/>
      <c r="N53" s="14"/>
      <c r="O53" s="23"/>
      <c r="Q53" s="32"/>
      <c r="R53" s="32"/>
      <c r="S53" s="49"/>
    </row>
    <row r="54" spans="1:19" hidden="1" x14ac:dyDescent="0.25">
      <c r="A54" s="18">
        <f t="shared" si="1"/>
        <v>42</v>
      </c>
      <c r="C54" s="57">
        <f>SUM(C53)</f>
        <v>0</v>
      </c>
      <c r="D54" s="57">
        <f>SUM(D53)</f>
        <v>0</v>
      </c>
      <c r="E54" s="57">
        <f>SUM(E53)</f>
        <v>0</v>
      </c>
      <c r="F54" s="57">
        <f>SUM(F53)</f>
        <v>0</v>
      </c>
      <c r="G54" s="58">
        <v>0</v>
      </c>
      <c r="H54" s="57">
        <f>ROUND(+F54+G54,0)</f>
        <v>0</v>
      </c>
      <c r="I54" s="32"/>
      <c r="J54" s="14">
        <f>+H54</f>
        <v>0</v>
      </c>
      <c r="K54" s="32"/>
      <c r="L54" s="14"/>
      <c r="M54" s="31"/>
      <c r="N54" s="14"/>
      <c r="O54" s="23"/>
      <c r="Q54" s="32"/>
      <c r="R54" s="32"/>
      <c r="S54" s="49"/>
    </row>
    <row r="55" spans="1:19" hidden="1" x14ac:dyDescent="0.25">
      <c r="A55" s="18">
        <f t="shared" si="1"/>
        <v>43</v>
      </c>
      <c r="C55" s="14"/>
      <c r="D55" s="14"/>
      <c r="E55" s="14"/>
      <c r="F55" s="14"/>
      <c r="G55" s="23"/>
      <c r="H55" s="14"/>
      <c r="I55" s="32"/>
      <c r="J55" s="14"/>
      <c r="K55" s="32"/>
      <c r="L55" s="14"/>
      <c r="M55" s="31"/>
      <c r="N55" s="14"/>
      <c r="O55" s="23"/>
      <c r="Q55" s="32"/>
      <c r="R55" s="32"/>
      <c r="S55" s="49"/>
    </row>
    <row r="56" spans="1:19" hidden="1" x14ac:dyDescent="0.25">
      <c r="A56" s="18">
        <f t="shared" si="1"/>
        <v>44</v>
      </c>
      <c r="B56" s="4" t="s">
        <v>316</v>
      </c>
      <c r="C56" s="25">
        <f>'[34]151823 Demand Response Defer'!J221</f>
        <v>136996.75999999998</v>
      </c>
      <c r="D56" s="47">
        <v>0</v>
      </c>
      <c r="E56" s="25">
        <f>SUM('[34]151823 Demand Response Defer'!G222:G223)</f>
        <v>1074.56</v>
      </c>
      <c r="F56" s="14">
        <f>SUM(C56:E56)</f>
        <v>138071.31999999998</v>
      </c>
      <c r="G56" s="27"/>
      <c r="H56" s="25"/>
      <c r="I56" s="32"/>
      <c r="J56" s="14"/>
      <c r="K56" s="32"/>
      <c r="L56" s="14"/>
      <c r="M56" s="31"/>
      <c r="N56" s="14"/>
      <c r="O56" s="23"/>
      <c r="Q56" s="32"/>
      <c r="R56" s="32"/>
      <c r="S56" s="49"/>
    </row>
    <row r="57" spans="1:19" hidden="1" x14ac:dyDescent="0.25">
      <c r="A57" s="18">
        <f t="shared" si="1"/>
        <v>45</v>
      </c>
      <c r="C57" s="29">
        <f>SUM(C56)</f>
        <v>136996.75999999998</v>
      </c>
      <c r="D57" s="57">
        <f>SUM(D56)</f>
        <v>0</v>
      </c>
      <c r="E57" s="29">
        <f>SUM(E56)</f>
        <v>1074.56</v>
      </c>
      <c r="F57" s="29">
        <f>SUM(F56)</f>
        <v>138071.31999999998</v>
      </c>
      <c r="G57" s="58">
        <v>0</v>
      </c>
      <c r="H57" s="29">
        <f>ROUND(+F57+G57,0)</f>
        <v>138071</v>
      </c>
      <c r="I57" s="32"/>
      <c r="J57" s="14">
        <f>+H57</f>
        <v>138071</v>
      </c>
      <c r="K57" s="32"/>
      <c r="L57" s="14"/>
      <c r="M57" s="31"/>
      <c r="N57" s="14"/>
      <c r="O57" s="23"/>
      <c r="Q57" s="32"/>
      <c r="R57" s="32"/>
      <c r="S57" s="49"/>
    </row>
    <row r="58" spans="1:19" hidden="1" x14ac:dyDescent="0.25">
      <c r="A58" s="18">
        <f t="shared" si="1"/>
        <v>46</v>
      </c>
      <c r="C58" s="14"/>
      <c r="D58" s="14"/>
      <c r="E58" s="14"/>
      <c r="F58" s="14"/>
      <c r="G58" s="23"/>
      <c r="H58" s="14"/>
      <c r="I58" s="32"/>
      <c r="J58" s="14"/>
      <c r="K58" s="32"/>
      <c r="L58" s="14"/>
      <c r="M58" s="31"/>
      <c r="N58" s="14"/>
      <c r="O58" s="23"/>
      <c r="Q58" s="32"/>
      <c r="R58" s="32"/>
      <c r="S58" s="49"/>
    </row>
    <row r="59" spans="1:19" hidden="1" x14ac:dyDescent="0.25">
      <c r="A59" s="18">
        <f t="shared" si="1"/>
        <v>47</v>
      </c>
      <c r="C59" s="32"/>
      <c r="D59" s="14"/>
      <c r="E59" s="14"/>
      <c r="F59" s="14"/>
      <c r="G59" s="32"/>
      <c r="H59" s="32"/>
      <c r="I59" s="32"/>
      <c r="J59" s="32"/>
      <c r="K59" s="32"/>
      <c r="L59" s="14"/>
      <c r="M59" s="31"/>
      <c r="N59" s="14"/>
      <c r="O59" s="23"/>
      <c r="Q59" s="32"/>
      <c r="R59" s="32"/>
      <c r="S59" s="49"/>
    </row>
    <row r="60" spans="1:19" ht="13" hidden="1" thickBot="1" x14ac:dyDescent="0.3">
      <c r="A60" s="18">
        <f t="shared" si="1"/>
        <v>48</v>
      </c>
      <c r="B60" s="3" t="s">
        <v>317</v>
      </c>
      <c r="C60" s="59">
        <f t="shared" ref="C60:H60" si="2">+C34+C29+C24+C16+C20+C40+C44+C48+C51+C54+C57</f>
        <v>-13552195.130918669</v>
      </c>
      <c r="D60" s="59">
        <f t="shared" si="2"/>
        <v>240433.10999999996</v>
      </c>
      <c r="E60" s="59">
        <f t="shared" si="2"/>
        <v>-142093.39000000001</v>
      </c>
      <c r="F60" s="59">
        <f t="shared" si="2"/>
        <v>-13458449.650918668</v>
      </c>
      <c r="G60" s="59">
        <f t="shared" si="2"/>
        <v>-558960</v>
      </c>
      <c r="H60" s="59">
        <f t="shared" si="2"/>
        <v>-14017410</v>
      </c>
      <c r="I60" s="32"/>
      <c r="J60" s="59">
        <f>SUM(J13:J59)</f>
        <v>-14017410</v>
      </c>
      <c r="K60" s="32"/>
      <c r="L60" s="14"/>
      <c r="M60" s="14"/>
      <c r="N60" s="14"/>
      <c r="Q60" s="32"/>
      <c r="R60" s="14"/>
    </row>
    <row r="61" spans="1:19" hidden="1" x14ac:dyDescent="0.25">
      <c r="A61" s="18">
        <f t="shared" si="1"/>
        <v>49</v>
      </c>
      <c r="C61" s="32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9" hidden="1" x14ac:dyDescent="0.25">
      <c r="A62" s="18">
        <f t="shared" si="1"/>
        <v>50</v>
      </c>
      <c r="B62" s="60" t="s">
        <v>318</v>
      </c>
      <c r="C62" s="32"/>
      <c r="D62" s="14"/>
      <c r="E62" s="14"/>
      <c r="F62" s="14"/>
      <c r="G62" s="14"/>
      <c r="H62" s="20"/>
      <c r="I62" s="14"/>
      <c r="J62" s="14"/>
      <c r="K62" s="14"/>
      <c r="L62" s="14"/>
      <c r="M62" s="14"/>
      <c r="N62" s="14"/>
    </row>
    <row r="63" spans="1:19" hidden="1" x14ac:dyDescent="0.25">
      <c r="A63" s="18">
        <f t="shared" si="1"/>
        <v>51</v>
      </c>
      <c r="B63" s="61"/>
      <c r="C63" s="32"/>
      <c r="D63" s="14"/>
      <c r="E63" s="14"/>
      <c r="F63" s="14"/>
      <c r="G63" s="14"/>
      <c r="H63" s="14"/>
      <c r="I63" s="14"/>
      <c r="J63" s="14"/>
      <c r="K63" s="14"/>
      <c r="L63" s="14"/>
      <c r="O63" s="14"/>
      <c r="P63" s="14"/>
    </row>
    <row r="64" spans="1:19" x14ac:dyDescent="0.25">
      <c r="A64" s="18"/>
      <c r="C64" s="62"/>
      <c r="D64" s="14"/>
      <c r="E64" s="14"/>
      <c r="F64" s="14"/>
      <c r="G64" s="14"/>
      <c r="H64" s="14"/>
      <c r="I64" s="14"/>
      <c r="J64" s="14"/>
      <c r="K64" s="14"/>
      <c r="L64" s="14"/>
      <c r="M64" s="14"/>
      <c r="O64" s="14"/>
      <c r="P64" s="14"/>
    </row>
    <row r="65" spans="1:16" x14ac:dyDescent="0.25">
      <c r="A65" s="18"/>
      <c r="C65" s="63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 x14ac:dyDescent="0.25">
      <c r="A66" s="16"/>
      <c r="C66" s="6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 x14ac:dyDescent="0.25">
      <c r="A67" s="16"/>
      <c r="C67" s="63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 x14ac:dyDescent="0.25">
      <c r="C68" s="63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1:16" x14ac:dyDescent="0.25">
      <c r="B69" s="64"/>
      <c r="C69" s="63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x14ac:dyDescent="0.25">
      <c r="B70" s="64"/>
      <c r="C70" s="63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1:16" x14ac:dyDescent="0.25">
      <c r="B71" s="64"/>
      <c r="C71" s="63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 x14ac:dyDescent="0.25">
      <c r="B72" s="64"/>
      <c r="C72" s="63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 x14ac:dyDescent="0.25">
      <c r="B73" s="64"/>
      <c r="C73" s="63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6" x14ac:dyDescent="0.25">
      <c r="B74" s="64"/>
      <c r="C74" s="63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 x14ac:dyDescent="0.25">
      <c r="B75" s="64"/>
      <c r="C75" s="63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1:16" x14ac:dyDescent="0.25">
      <c r="B76" s="6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 x14ac:dyDescent="0.25">
      <c r="B77" s="6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1:16" x14ac:dyDescent="0.25">
      <c r="B78" s="6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1:16" x14ac:dyDescent="0.25">
      <c r="B79" s="6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1:16" x14ac:dyDescent="0.25">
      <c r="B80" s="6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2:2" x14ac:dyDescent="0.25">
      <c r="B81" s="64"/>
    </row>
    <row r="82" spans="2:2" x14ac:dyDescent="0.25">
      <c r="B82" s="64"/>
    </row>
    <row r="83" spans="2:2" x14ac:dyDescent="0.25">
      <c r="B83" s="65"/>
    </row>
    <row r="84" spans="2:2" x14ac:dyDescent="0.25">
      <c r="B84" s="64"/>
    </row>
    <row r="85" spans="2:2" x14ac:dyDescent="0.25">
      <c r="B85" s="64"/>
    </row>
    <row r="86" spans="2:2" x14ac:dyDescent="0.25">
      <c r="B86" s="64"/>
    </row>
    <row r="87" spans="2:2" x14ac:dyDescent="0.25">
      <c r="B87" s="64"/>
    </row>
    <row r="88" spans="2:2" x14ac:dyDescent="0.25">
      <c r="B88" s="34"/>
    </row>
  </sheetData>
  <pageMargins left="0.7" right="0.7" top="0.75" bottom="0.75" header="0.3" footer="0.3"/>
  <pageSetup scale="31" orientation="portrait" r:id="rId1"/>
  <headerFooter alignWithMargins="0">
    <oddHeader>&amp;R&amp;"Arial,Regular"UG-250717 - NWN WUTC Advice 25-08A
Exhibit A - Supporting Materials
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AF42A-AF19-42AB-A6D6-E1B7232BD50C}">
  <sheetPr>
    <tabColor theme="0" tint="-0.14999847407452621"/>
    <pageSetUpPr fitToPage="1"/>
  </sheetPr>
  <dimension ref="A1:K250"/>
  <sheetViews>
    <sheetView tabSelected="1" zoomScaleNormal="100" zoomScaleSheetLayoutView="100" workbookViewId="0">
      <pane xSplit="3" ySplit="12" topLeftCell="D13" activePane="bottomRight" state="frozen"/>
      <selection activeCell="I13" sqref="I13:I80"/>
      <selection pane="topRight" activeCell="I13" sqref="I13:I80"/>
      <selection pane="bottomLeft" activeCell="I13" sqref="I13:I80"/>
      <selection pane="bottomRight" activeCell="I13" sqref="I13:I80"/>
    </sheetView>
  </sheetViews>
  <sheetFormatPr defaultColWidth="9.19921875" defaultRowHeight="12.5" outlineLevelRow="1" x14ac:dyDescent="0.25"/>
  <cols>
    <col min="1" max="1" width="4.69921875" style="68" customWidth="1"/>
    <col min="2" max="2" width="15.69921875" style="66" customWidth="1"/>
    <col min="3" max="3" width="10.5" style="66" customWidth="1"/>
    <col min="4" max="4" width="18.5" style="67" customWidth="1"/>
    <col min="5" max="5" width="17.19921875" style="67" bestFit="1" customWidth="1"/>
    <col min="6" max="7" width="15.69921875" style="67" customWidth="1"/>
    <col min="8" max="9" width="21.796875" style="67" customWidth="1"/>
    <col min="10" max="10" width="15.69921875" style="67" customWidth="1"/>
    <col min="11" max="20" width="15.69921875" style="66" customWidth="1"/>
    <col min="21" max="16384" width="9.19921875" style="66"/>
  </cols>
  <sheetData>
    <row r="1" spans="1:10" x14ac:dyDescent="0.25">
      <c r="B1" s="66" t="s">
        <v>345</v>
      </c>
      <c r="D1" s="67" t="s">
        <v>344</v>
      </c>
    </row>
    <row r="2" spans="1:10" x14ac:dyDescent="0.25">
      <c r="B2" s="66" t="s">
        <v>343</v>
      </c>
      <c r="D2" s="67" t="s">
        <v>2</v>
      </c>
    </row>
    <row r="3" spans="1:10" x14ac:dyDescent="0.25">
      <c r="B3" s="66" t="s">
        <v>342</v>
      </c>
      <c r="D3" s="97" t="s">
        <v>341</v>
      </c>
    </row>
    <row r="4" spans="1:10" x14ac:dyDescent="0.25">
      <c r="B4" s="66" t="s">
        <v>340</v>
      </c>
      <c r="D4" s="96">
        <v>151540</v>
      </c>
    </row>
    <row r="5" spans="1:10" x14ac:dyDescent="0.25">
      <c r="D5" s="66" t="s">
        <v>339</v>
      </c>
    </row>
    <row r="6" spans="1:10" x14ac:dyDescent="0.25">
      <c r="D6" s="66" t="s">
        <v>338</v>
      </c>
    </row>
    <row r="8" spans="1:10" x14ac:dyDescent="0.25">
      <c r="A8" s="71">
        <v>1</v>
      </c>
      <c r="B8" s="66" t="s">
        <v>337</v>
      </c>
      <c r="G8" s="92"/>
    </row>
    <row r="9" spans="1:10" x14ac:dyDescent="0.25">
      <c r="A9" s="71">
        <f t="shared" ref="A9:A72" si="0">+A8+1</f>
        <v>2</v>
      </c>
      <c r="G9" s="92"/>
    </row>
    <row r="10" spans="1:10" x14ac:dyDescent="0.25">
      <c r="A10" s="71">
        <f t="shared" si="0"/>
        <v>3</v>
      </c>
      <c r="B10" s="93"/>
      <c r="C10" s="93"/>
      <c r="D10" s="92"/>
      <c r="E10" s="92"/>
      <c r="F10" s="92"/>
      <c r="G10" s="92"/>
      <c r="H10" s="92"/>
      <c r="I10" s="92"/>
    </row>
    <row r="11" spans="1:10" x14ac:dyDescent="0.25">
      <c r="A11" s="71">
        <f t="shared" si="0"/>
        <v>4</v>
      </c>
      <c r="B11" s="95" t="s">
        <v>336</v>
      </c>
      <c r="C11" s="95" t="s">
        <v>335</v>
      </c>
      <c r="D11" s="94" t="s">
        <v>334</v>
      </c>
      <c r="E11" s="94" t="s">
        <v>333</v>
      </c>
      <c r="F11" s="94" t="s">
        <v>332</v>
      </c>
      <c r="G11" s="94" t="s">
        <v>263</v>
      </c>
      <c r="H11" s="94" t="s">
        <v>275</v>
      </c>
      <c r="I11" s="94" t="s">
        <v>267</v>
      </c>
    </row>
    <row r="12" spans="1:10" x14ac:dyDescent="0.25">
      <c r="A12" s="71">
        <f t="shared" si="0"/>
        <v>5</v>
      </c>
      <c r="B12" s="93" t="s">
        <v>331</v>
      </c>
      <c r="C12" s="93" t="s">
        <v>330</v>
      </c>
      <c r="D12" s="92" t="s">
        <v>329</v>
      </c>
      <c r="E12" s="92" t="s">
        <v>328</v>
      </c>
      <c r="F12" s="92" t="s">
        <v>327</v>
      </c>
      <c r="G12" s="92" t="s">
        <v>326</v>
      </c>
      <c r="H12" s="92" t="s">
        <v>325</v>
      </c>
      <c r="I12" s="92" t="s">
        <v>324</v>
      </c>
      <c r="J12" s="92"/>
    </row>
    <row r="13" spans="1:10" x14ac:dyDescent="0.25">
      <c r="A13" s="71">
        <f t="shared" si="0"/>
        <v>6</v>
      </c>
      <c r="G13" s="92"/>
    </row>
    <row r="14" spans="1:10" hidden="1" outlineLevel="1" x14ac:dyDescent="0.25">
      <c r="A14" s="71">
        <f t="shared" si="0"/>
        <v>7</v>
      </c>
      <c r="B14" s="70" t="s">
        <v>323</v>
      </c>
    </row>
    <row r="15" spans="1:10" hidden="1" outlineLevel="1" x14ac:dyDescent="0.25">
      <c r="A15" s="71">
        <f t="shared" si="0"/>
        <v>8</v>
      </c>
      <c r="B15" s="66">
        <v>39021</v>
      </c>
      <c r="G15" s="75"/>
      <c r="I15" s="67">
        <v>-572607</v>
      </c>
    </row>
    <row r="16" spans="1:10" hidden="1" outlineLevel="1" x14ac:dyDescent="0.25">
      <c r="A16" s="71">
        <f t="shared" si="0"/>
        <v>9</v>
      </c>
      <c r="B16" s="66">
        <f>+B15+30</f>
        <v>39051</v>
      </c>
      <c r="D16" s="67">
        <f>-659171+121091</f>
        <v>-538080</v>
      </c>
      <c r="E16" s="67">
        <v>572607</v>
      </c>
      <c r="G16" s="75">
        <f>-2126+391</f>
        <v>-1735</v>
      </c>
      <c r="H16" s="67">
        <f t="shared" ref="H16:H53" si="1">SUM(D16:G16)</f>
        <v>32792</v>
      </c>
      <c r="I16" s="75">
        <f t="shared" ref="I16:I53" si="2">+I15+H16</f>
        <v>-539815</v>
      </c>
    </row>
    <row r="17" spans="1:10" hidden="1" outlineLevel="1" x14ac:dyDescent="0.25">
      <c r="A17" s="71">
        <f t="shared" si="0"/>
        <v>10</v>
      </c>
      <c r="B17" s="66">
        <f>+B16+31</f>
        <v>39082</v>
      </c>
      <c r="D17" s="67">
        <v>-800115</v>
      </c>
      <c r="G17" s="75">
        <v>-6062</v>
      </c>
      <c r="H17" s="67">
        <f t="shared" si="1"/>
        <v>-806177</v>
      </c>
      <c r="I17" s="75">
        <f t="shared" si="2"/>
        <v>-1345992</v>
      </c>
    </row>
    <row r="18" spans="1:10" hidden="1" outlineLevel="1" x14ac:dyDescent="0.25">
      <c r="A18" s="71">
        <f t="shared" si="0"/>
        <v>11</v>
      </c>
      <c r="B18" s="66">
        <f>+B17+31</f>
        <v>39113</v>
      </c>
      <c r="D18" s="67">
        <v>-1224489</v>
      </c>
      <c r="G18" s="75">
        <v>-13332</v>
      </c>
      <c r="H18" s="67">
        <f t="shared" si="1"/>
        <v>-1237821</v>
      </c>
      <c r="I18" s="75">
        <f t="shared" si="2"/>
        <v>-2583813</v>
      </c>
    </row>
    <row r="19" spans="1:10" hidden="1" outlineLevel="1" x14ac:dyDescent="0.25">
      <c r="A19" s="71">
        <f t="shared" si="0"/>
        <v>12</v>
      </c>
      <c r="B19" s="66">
        <f>+B18+28</f>
        <v>39141</v>
      </c>
      <c r="D19" s="67">
        <v>-518677</v>
      </c>
      <c r="G19" s="75">
        <v>-19357</v>
      </c>
      <c r="H19" s="67">
        <f t="shared" si="1"/>
        <v>-538034</v>
      </c>
      <c r="I19" s="75">
        <f t="shared" si="2"/>
        <v>-3121847</v>
      </c>
    </row>
    <row r="20" spans="1:10" hidden="1" outlineLevel="1" x14ac:dyDescent="0.25">
      <c r="A20" s="71">
        <f t="shared" si="0"/>
        <v>13</v>
      </c>
      <c r="B20" s="66">
        <f>+B19+31</f>
        <v>39172</v>
      </c>
      <c r="D20" s="67">
        <v>-456707</v>
      </c>
      <c r="G20" s="75">
        <v>-22809</v>
      </c>
      <c r="H20" s="67">
        <f t="shared" si="1"/>
        <v>-479516</v>
      </c>
      <c r="I20" s="75">
        <f t="shared" si="2"/>
        <v>-3601363</v>
      </c>
    </row>
    <row r="21" spans="1:10" hidden="1" outlineLevel="1" x14ac:dyDescent="0.25">
      <c r="A21" s="71">
        <f t="shared" si="0"/>
        <v>14</v>
      </c>
      <c r="B21" s="66">
        <f>+B20+30</f>
        <v>39202</v>
      </c>
      <c r="D21" s="67">
        <v>-394725</v>
      </c>
      <c r="G21" s="75">
        <v>-25420</v>
      </c>
      <c r="H21" s="67">
        <f t="shared" si="1"/>
        <v>-420145</v>
      </c>
      <c r="I21" s="75">
        <f t="shared" si="2"/>
        <v>-4021508</v>
      </c>
    </row>
    <row r="22" spans="1:10" hidden="1" outlineLevel="1" x14ac:dyDescent="0.25">
      <c r="A22" s="71">
        <f t="shared" si="0"/>
        <v>15</v>
      </c>
      <c r="B22" s="66">
        <f>+B21+31</f>
        <v>39233</v>
      </c>
      <c r="D22" s="67">
        <v>-95593</v>
      </c>
      <c r="G22" s="75">
        <v>-27736</v>
      </c>
      <c r="H22" s="67">
        <f t="shared" si="1"/>
        <v>-123329</v>
      </c>
      <c r="I22" s="75">
        <f t="shared" si="2"/>
        <v>-4144837</v>
      </c>
    </row>
    <row r="23" spans="1:10" hidden="1" outlineLevel="1" x14ac:dyDescent="0.25">
      <c r="A23" s="71">
        <f t="shared" si="0"/>
        <v>16</v>
      </c>
      <c r="B23" s="66">
        <f>+B22+30</f>
        <v>39263</v>
      </c>
      <c r="D23" s="67">
        <f>-173503+19332</f>
        <v>-154171</v>
      </c>
      <c r="G23" s="75">
        <f>-29719+66</f>
        <v>-29653</v>
      </c>
      <c r="H23" s="67">
        <f t="shared" si="1"/>
        <v>-183824</v>
      </c>
      <c r="I23" s="75">
        <f t="shared" si="2"/>
        <v>-4328661</v>
      </c>
      <c r="J23" s="75"/>
    </row>
    <row r="24" spans="1:10" hidden="1" outlineLevel="1" x14ac:dyDescent="0.25">
      <c r="A24" s="71">
        <f t="shared" si="0"/>
        <v>17</v>
      </c>
      <c r="B24" s="66">
        <f>+B23+31</f>
        <v>39294</v>
      </c>
      <c r="D24" s="67">
        <v>-45933</v>
      </c>
      <c r="G24" s="75">
        <v>-29929</v>
      </c>
      <c r="H24" s="67">
        <f t="shared" si="1"/>
        <v>-75862</v>
      </c>
      <c r="I24" s="75">
        <f t="shared" si="2"/>
        <v>-4404523</v>
      </c>
      <c r="J24" s="75"/>
    </row>
    <row r="25" spans="1:10" hidden="1" outlineLevel="1" x14ac:dyDescent="0.25">
      <c r="A25" s="71">
        <f t="shared" si="0"/>
        <v>18</v>
      </c>
      <c r="B25" s="66">
        <f>+B24+30</f>
        <v>39324</v>
      </c>
      <c r="D25" s="67">
        <v>-129781</v>
      </c>
      <c r="G25" s="75">
        <v>-30747</v>
      </c>
      <c r="H25" s="67">
        <f t="shared" si="1"/>
        <v>-160528</v>
      </c>
      <c r="I25" s="75">
        <f t="shared" si="2"/>
        <v>-4565051</v>
      </c>
      <c r="J25" s="75"/>
    </row>
    <row r="26" spans="1:10" hidden="1" outlineLevel="1" x14ac:dyDescent="0.25">
      <c r="A26" s="71">
        <f t="shared" si="0"/>
        <v>19</v>
      </c>
      <c r="B26" s="66">
        <f>+B25+30</f>
        <v>39354</v>
      </c>
      <c r="D26" s="67">
        <v>-124964</v>
      </c>
      <c r="G26" s="75">
        <v>-31796</v>
      </c>
      <c r="H26" s="67">
        <f t="shared" si="1"/>
        <v>-156760</v>
      </c>
      <c r="I26" s="75">
        <f t="shared" si="2"/>
        <v>-4721811</v>
      </c>
    </row>
    <row r="27" spans="1:10" hidden="1" outlineLevel="1" x14ac:dyDescent="0.25">
      <c r="A27" s="71">
        <f t="shared" si="0"/>
        <v>20</v>
      </c>
      <c r="B27" s="66">
        <f>+B26+31</f>
        <v>39385</v>
      </c>
      <c r="D27" s="67">
        <v>-956238</v>
      </c>
      <c r="G27" s="76">
        <v>-35748</v>
      </c>
      <c r="H27" s="67">
        <f t="shared" si="1"/>
        <v>-991986</v>
      </c>
      <c r="I27" s="75">
        <f t="shared" si="2"/>
        <v>-5713797</v>
      </c>
    </row>
    <row r="28" spans="1:10" hidden="1" outlineLevel="1" x14ac:dyDescent="0.25">
      <c r="A28" s="71">
        <f t="shared" si="0"/>
        <v>21</v>
      </c>
      <c r="B28" s="66">
        <f>+B27+30</f>
        <v>39415</v>
      </c>
      <c r="C28" s="66" t="s">
        <v>322</v>
      </c>
      <c r="D28" s="67">
        <v>-251012</v>
      </c>
      <c r="E28" s="67">
        <f>-I27</f>
        <v>5713797</v>
      </c>
      <c r="G28" s="76">
        <v>-863</v>
      </c>
      <c r="H28" s="67">
        <f t="shared" si="1"/>
        <v>5461922</v>
      </c>
      <c r="I28" s="75">
        <f t="shared" si="2"/>
        <v>-251875</v>
      </c>
    </row>
    <row r="29" spans="1:10" hidden="1" outlineLevel="1" x14ac:dyDescent="0.25">
      <c r="A29" s="71">
        <f t="shared" si="0"/>
        <v>22</v>
      </c>
      <c r="B29" s="66">
        <f>+B28+31</f>
        <v>39446</v>
      </c>
      <c r="D29" s="67">
        <v>-94642</v>
      </c>
      <c r="G29" s="76">
        <v>-2063</v>
      </c>
      <c r="H29" s="67">
        <f t="shared" si="1"/>
        <v>-96705</v>
      </c>
      <c r="I29" s="75">
        <f t="shared" si="2"/>
        <v>-348580</v>
      </c>
    </row>
    <row r="30" spans="1:10" hidden="1" outlineLevel="1" x14ac:dyDescent="0.25">
      <c r="A30" s="71">
        <f t="shared" si="0"/>
        <v>23</v>
      </c>
      <c r="B30" s="66">
        <f>+B29+31</f>
        <v>39477</v>
      </c>
      <c r="D30" s="67">
        <v>-417920</v>
      </c>
      <c r="G30" s="76">
        <v>-3836</v>
      </c>
      <c r="H30" s="67">
        <f t="shared" si="1"/>
        <v>-421756</v>
      </c>
      <c r="I30" s="75">
        <f t="shared" si="2"/>
        <v>-770336</v>
      </c>
    </row>
    <row r="31" spans="1:10" hidden="1" outlineLevel="1" x14ac:dyDescent="0.25">
      <c r="A31" s="71">
        <f t="shared" si="0"/>
        <v>24</v>
      </c>
      <c r="B31" s="66">
        <f>+B30+29</f>
        <v>39506</v>
      </c>
      <c r="D31" s="67">
        <f>-150692-20483</f>
        <v>-171175</v>
      </c>
      <c r="G31" s="76">
        <f>-5814-70</f>
        <v>-5884</v>
      </c>
      <c r="H31" s="67">
        <f t="shared" si="1"/>
        <v>-177059</v>
      </c>
      <c r="I31" s="75">
        <f t="shared" si="2"/>
        <v>-947395</v>
      </c>
    </row>
    <row r="32" spans="1:10" hidden="1" outlineLevel="1" x14ac:dyDescent="0.25">
      <c r="A32" s="71">
        <f t="shared" si="0"/>
        <v>25</v>
      </c>
      <c r="B32" s="66">
        <f>+B31+31</f>
        <v>39537</v>
      </c>
      <c r="D32" s="67">
        <v>-30905</v>
      </c>
      <c r="G32" s="76">
        <v>-6678</v>
      </c>
      <c r="H32" s="67">
        <f t="shared" si="1"/>
        <v>-37583</v>
      </c>
      <c r="I32" s="75">
        <f t="shared" si="2"/>
        <v>-984978</v>
      </c>
    </row>
    <row r="33" spans="1:11" hidden="1" outlineLevel="1" x14ac:dyDescent="0.25">
      <c r="A33" s="71">
        <f t="shared" si="0"/>
        <v>26</v>
      </c>
      <c r="B33" s="66">
        <f>+B32+30</f>
        <v>39567</v>
      </c>
      <c r="D33" s="67">
        <v>666668</v>
      </c>
      <c r="G33" s="76">
        <v>-2692</v>
      </c>
      <c r="H33" s="67">
        <f t="shared" si="1"/>
        <v>663976</v>
      </c>
      <c r="I33" s="75">
        <f t="shared" si="2"/>
        <v>-321002</v>
      </c>
    </row>
    <row r="34" spans="1:11" hidden="1" outlineLevel="1" x14ac:dyDescent="0.25">
      <c r="A34" s="71">
        <f t="shared" si="0"/>
        <v>27</v>
      </c>
      <c r="B34" s="66">
        <f>+B33+31</f>
        <v>39598</v>
      </c>
      <c r="D34" s="67">
        <f>798058+25438</f>
        <v>823496</v>
      </c>
      <c r="G34" s="76">
        <f>440+72</f>
        <v>512</v>
      </c>
      <c r="H34" s="67">
        <f t="shared" si="1"/>
        <v>824008</v>
      </c>
      <c r="I34" s="75">
        <f t="shared" si="2"/>
        <v>503006</v>
      </c>
    </row>
    <row r="35" spans="1:11" hidden="1" outlineLevel="1" x14ac:dyDescent="0.25">
      <c r="A35" s="71">
        <f t="shared" si="0"/>
        <v>28</v>
      </c>
      <c r="B35" s="66">
        <f>+B34+30</f>
        <v>39628</v>
      </c>
      <c r="D35" s="67">
        <v>452181</v>
      </c>
      <c r="G35" s="76">
        <v>3231</v>
      </c>
      <c r="H35" s="67">
        <f t="shared" si="1"/>
        <v>455412</v>
      </c>
      <c r="I35" s="75">
        <f t="shared" si="2"/>
        <v>958418</v>
      </c>
    </row>
    <row r="36" spans="1:11" hidden="1" outlineLevel="1" x14ac:dyDescent="0.25">
      <c r="A36" s="71">
        <f t="shared" si="0"/>
        <v>29</v>
      </c>
      <c r="B36" s="66">
        <f>+B35+31</f>
        <v>39659</v>
      </c>
      <c r="D36" s="67">
        <v>763141</v>
      </c>
      <c r="G36" s="76">
        <f>ROUND((+I35+E36+(D36/2))*0.053/12,2)</f>
        <v>5918.28</v>
      </c>
      <c r="H36" s="67">
        <f t="shared" si="1"/>
        <v>769059.28</v>
      </c>
      <c r="I36" s="75">
        <f t="shared" si="2"/>
        <v>1727477.28</v>
      </c>
    </row>
    <row r="37" spans="1:11" hidden="1" outlineLevel="1" x14ac:dyDescent="0.25">
      <c r="A37" s="71">
        <f t="shared" si="0"/>
        <v>30</v>
      </c>
      <c r="B37" s="66">
        <f>+B36+30</f>
        <v>39689</v>
      </c>
      <c r="D37" s="67">
        <v>366677</v>
      </c>
      <c r="G37" s="76">
        <f>ROUND((+I36+E37+(D37/2))*0.053/12,2)</f>
        <v>8439.44</v>
      </c>
      <c r="H37" s="67">
        <f t="shared" si="1"/>
        <v>375116.44</v>
      </c>
      <c r="I37" s="75">
        <f t="shared" si="2"/>
        <v>2102593.7200000002</v>
      </c>
    </row>
    <row r="38" spans="1:11" hidden="1" outlineLevel="1" x14ac:dyDescent="0.25">
      <c r="A38" s="71">
        <f t="shared" si="0"/>
        <v>31</v>
      </c>
      <c r="B38" s="66">
        <f>+B37+30</f>
        <v>39719</v>
      </c>
      <c r="D38" s="67">
        <v>149827</v>
      </c>
      <c r="G38" s="76">
        <f>ROUND((+I37+E38+(D38/2))*0.053/12,2)</f>
        <v>9617.32</v>
      </c>
      <c r="H38" s="67">
        <f t="shared" si="1"/>
        <v>159444.32</v>
      </c>
      <c r="I38" s="75">
        <f t="shared" si="2"/>
        <v>2262038.04</v>
      </c>
    </row>
    <row r="39" spans="1:11" hidden="1" outlineLevel="1" x14ac:dyDescent="0.25">
      <c r="A39" s="71">
        <f t="shared" si="0"/>
        <v>32</v>
      </c>
      <c r="B39" s="66">
        <f>+B38+31</f>
        <v>39750</v>
      </c>
      <c r="D39" s="67">
        <v>-3075.65</v>
      </c>
      <c r="G39" s="76">
        <f>ROUND((+I38+E39+(D39/2))*0.05/12,2)</f>
        <v>9418.75</v>
      </c>
      <c r="H39" s="67">
        <f t="shared" si="1"/>
        <v>6343.1</v>
      </c>
      <c r="I39" s="75">
        <f t="shared" si="2"/>
        <v>2268381.14</v>
      </c>
    </row>
    <row r="40" spans="1:11" hidden="1" outlineLevel="1" x14ac:dyDescent="0.25">
      <c r="A40" s="71">
        <f t="shared" si="0"/>
        <v>33</v>
      </c>
      <c r="B40" s="66">
        <f>+B39+30</f>
        <v>39780</v>
      </c>
      <c r="D40" s="67">
        <v>221507</v>
      </c>
      <c r="E40" s="67">
        <v>-2262733</v>
      </c>
      <c r="G40" s="76">
        <f>ROUND((+I39+E40+(D40/2))*0.05/12,2)</f>
        <v>485.01</v>
      </c>
      <c r="H40" s="67">
        <f t="shared" si="1"/>
        <v>-2040740.99</v>
      </c>
      <c r="I40" s="75">
        <f t="shared" si="2"/>
        <v>227640.15000000014</v>
      </c>
    </row>
    <row r="41" spans="1:11" hidden="1" outlineLevel="1" x14ac:dyDescent="0.25">
      <c r="A41" s="71">
        <f t="shared" si="0"/>
        <v>34</v>
      </c>
      <c r="B41" s="66">
        <f>+B40+31</f>
        <v>39811</v>
      </c>
      <c r="D41" s="67">
        <v>-361614</v>
      </c>
      <c r="G41" s="76">
        <f>ROUND((+I40+E41+(D41/2))*0.05/12,2)</f>
        <v>195.14</v>
      </c>
      <c r="H41" s="67">
        <f t="shared" si="1"/>
        <v>-361418.86</v>
      </c>
      <c r="I41" s="75">
        <f t="shared" si="2"/>
        <v>-133778.70999999985</v>
      </c>
    </row>
    <row r="42" spans="1:11" hidden="1" outlineLevel="1" x14ac:dyDescent="0.25">
      <c r="A42" s="71">
        <f t="shared" si="0"/>
        <v>35</v>
      </c>
      <c r="B42" s="66">
        <f>+B41+31</f>
        <v>39842</v>
      </c>
      <c r="D42" s="67">
        <v>-1259795</v>
      </c>
      <c r="G42" s="76">
        <f>ROUND((+I41+E42+(D42/2))*0.0452/12,2)</f>
        <v>-2876.51</v>
      </c>
      <c r="H42" s="67">
        <f t="shared" si="1"/>
        <v>-1262671.51</v>
      </c>
      <c r="I42" s="75">
        <f t="shared" si="2"/>
        <v>-1396450.2199999997</v>
      </c>
    </row>
    <row r="43" spans="1:11" hidden="1" outlineLevel="1" x14ac:dyDescent="0.25">
      <c r="A43" s="71">
        <f t="shared" si="0"/>
        <v>36</v>
      </c>
      <c r="B43" s="66">
        <f>+B42+28</f>
        <v>39870</v>
      </c>
      <c r="D43" s="67">
        <v>-1429813</v>
      </c>
      <c r="G43" s="76">
        <f>ROUND((+I42+E43+(D43/2))*0.0452/12,2)</f>
        <v>-7952.78</v>
      </c>
      <c r="H43" s="67">
        <f t="shared" si="1"/>
        <v>-1437765.78</v>
      </c>
      <c r="I43" s="75">
        <f t="shared" si="2"/>
        <v>-2834216</v>
      </c>
    </row>
    <row r="44" spans="1:11" hidden="1" outlineLevel="1" x14ac:dyDescent="0.25">
      <c r="A44" s="71">
        <f t="shared" si="0"/>
        <v>37</v>
      </c>
      <c r="B44" s="66">
        <f>+B43+31</f>
        <v>39901</v>
      </c>
      <c r="D44" s="67">
        <v>-1225130</v>
      </c>
      <c r="G44" s="76">
        <f>ROUND((+I43+E44+(D44/2))*0.0452/12,2)</f>
        <v>-12982.88</v>
      </c>
      <c r="H44" s="67">
        <f t="shared" si="1"/>
        <v>-1238112.8799999999</v>
      </c>
      <c r="I44" s="75">
        <f t="shared" si="2"/>
        <v>-4072328.88</v>
      </c>
    </row>
    <row r="45" spans="1:11" hidden="1" outlineLevel="1" x14ac:dyDescent="0.25">
      <c r="A45" s="71">
        <f t="shared" si="0"/>
        <v>38</v>
      </c>
      <c r="B45" s="66">
        <f>+B44+30</f>
        <v>39931</v>
      </c>
      <c r="D45" s="67">
        <v>-933652</v>
      </c>
      <c r="G45" s="76">
        <f>ROUND((+I44+E45+(D45/2))*0.0337/12,2)</f>
        <v>-12747.46</v>
      </c>
      <c r="H45" s="67">
        <f t="shared" si="1"/>
        <v>-946399.46</v>
      </c>
      <c r="I45" s="75">
        <f t="shared" si="2"/>
        <v>-5018728.34</v>
      </c>
    </row>
    <row r="46" spans="1:11" hidden="1" outlineLevel="1" x14ac:dyDescent="0.25">
      <c r="A46" s="71">
        <f t="shared" si="0"/>
        <v>39</v>
      </c>
      <c r="B46" s="66">
        <f>+B45+31</f>
        <v>39962</v>
      </c>
      <c r="D46" s="67">
        <v>-510376</v>
      </c>
      <c r="G46" s="76">
        <f>ROUND((+I45+E46+(D46/2))*0.0337/12,2)</f>
        <v>-14810.92</v>
      </c>
      <c r="H46" s="67">
        <f t="shared" si="1"/>
        <v>-525186.92000000004</v>
      </c>
      <c r="I46" s="75">
        <f t="shared" si="2"/>
        <v>-5543915.2599999998</v>
      </c>
    </row>
    <row r="47" spans="1:11" hidden="1" outlineLevel="1" x14ac:dyDescent="0.25">
      <c r="A47" s="71">
        <f t="shared" si="0"/>
        <v>40</v>
      </c>
      <c r="B47" s="66">
        <f>+B46+30</f>
        <v>39992</v>
      </c>
      <c r="D47" s="67">
        <v>-504170</v>
      </c>
      <c r="E47" s="67">
        <f>-I44</f>
        <v>4072328.88</v>
      </c>
      <c r="G47" s="76">
        <f>ROUND((+I46+E47+(D47/2))*0.0337/12,2)</f>
        <v>-4840.6400000000003</v>
      </c>
      <c r="H47" s="67">
        <f t="shared" si="1"/>
        <v>3563318.2399999998</v>
      </c>
      <c r="I47" s="75">
        <f t="shared" si="2"/>
        <v>-1980597.02</v>
      </c>
    </row>
    <row r="48" spans="1:11" hidden="1" outlineLevel="1" x14ac:dyDescent="0.25">
      <c r="A48" s="71">
        <f t="shared" si="0"/>
        <v>41</v>
      </c>
      <c r="B48" s="66">
        <f>+B47+31</f>
        <v>40023</v>
      </c>
      <c r="D48" s="67">
        <v>-565700</v>
      </c>
      <c r="G48" s="76">
        <f t="shared" ref="G48:G53" si="3">ROUND((+I47+E48+(D48/2))*0.0325/12,2)</f>
        <v>-6130.17</v>
      </c>
      <c r="H48" s="67">
        <f t="shared" si="1"/>
        <v>-571830.17000000004</v>
      </c>
      <c r="I48" s="75">
        <f t="shared" si="2"/>
        <v>-2552427.19</v>
      </c>
      <c r="K48" s="67"/>
    </row>
    <row r="49" spans="1:11" hidden="1" outlineLevel="1" x14ac:dyDescent="0.25">
      <c r="A49" s="71">
        <f t="shared" si="0"/>
        <v>42</v>
      </c>
      <c r="B49" s="66">
        <f>+B48+30</f>
        <v>40053</v>
      </c>
      <c r="D49" s="67">
        <v>-585509</v>
      </c>
      <c r="G49" s="76">
        <f t="shared" si="3"/>
        <v>-7705.7</v>
      </c>
      <c r="H49" s="67">
        <f t="shared" si="1"/>
        <v>-593214.69999999995</v>
      </c>
      <c r="I49" s="75">
        <f t="shared" si="2"/>
        <v>-3145641.8899999997</v>
      </c>
    </row>
    <row r="50" spans="1:11" hidden="1" outlineLevel="1" x14ac:dyDescent="0.25">
      <c r="A50" s="71">
        <f t="shared" si="0"/>
        <v>43</v>
      </c>
      <c r="B50" s="66">
        <f>+B49+30</f>
        <v>40083</v>
      </c>
      <c r="D50" s="67">
        <v>-552800</v>
      </c>
      <c r="G50" s="76">
        <f t="shared" si="3"/>
        <v>-9268.0300000000007</v>
      </c>
      <c r="H50" s="67">
        <f t="shared" si="1"/>
        <v>-562068.03</v>
      </c>
      <c r="I50" s="75">
        <f t="shared" si="2"/>
        <v>-3707709.92</v>
      </c>
      <c r="K50" s="67"/>
    </row>
    <row r="51" spans="1:11" hidden="1" outlineLevel="1" x14ac:dyDescent="0.25">
      <c r="A51" s="71">
        <f t="shared" si="0"/>
        <v>44</v>
      </c>
      <c r="B51" s="66">
        <f>+B50+31</f>
        <v>40114</v>
      </c>
      <c r="D51" s="67">
        <v>-690884</v>
      </c>
      <c r="G51" s="76">
        <f t="shared" si="3"/>
        <v>-10977.29</v>
      </c>
      <c r="H51" s="67">
        <f t="shared" si="1"/>
        <v>-701861.29</v>
      </c>
      <c r="I51" s="75">
        <f t="shared" si="2"/>
        <v>-4409571.21</v>
      </c>
    </row>
    <row r="52" spans="1:11" hidden="1" outlineLevel="1" x14ac:dyDescent="0.25">
      <c r="A52" s="71">
        <f t="shared" si="0"/>
        <v>45</v>
      </c>
      <c r="B52" s="66">
        <f>+B51+30</f>
        <v>40144</v>
      </c>
      <c r="D52" s="67">
        <f>-491232-107125</f>
        <v>-598357</v>
      </c>
      <c r="E52" s="67">
        <f>-I51</f>
        <v>4409571.21</v>
      </c>
      <c r="G52" s="76">
        <f t="shared" si="3"/>
        <v>-810.28</v>
      </c>
      <c r="H52" s="67">
        <f t="shared" si="1"/>
        <v>3810403.93</v>
      </c>
      <c r="I52" s="75">
        <f t="shared" si="2"/>
        <v>-599167.2799999998</v>
      </c>
    </row>
    <row r="53" spans="1:11" hidden="1" outlineLevel="1" x14ac:dyDescent="0.25">
      <c r="A53" s="71">
        <f t="shared" si="0"/>
        <v>46</v>
      </c>
      <c r="B53" s="66">
        <f>+B52+31</f>
        <v>40175</v>
      </c>
      <c r="D53" s="67">
        <v>-63112</v>
      </c>
      <c r="G53" s="76">
        <f t="shared" si="3"/>
        <v>-1708.21</v>
      </c>
      <c r="H53" s="67">
        <f t="shared" si="1"/>
        <v>-64820.21</v>
      </c>
      <c r="I53" s="75">
        <f t="shared" si="2"/>
        <v>-663987.48999999976</v>
      </c>
    </row>
    <row r="54" spans="1:11" hidden="1" outlineLevel="1" x14ac:dyDescent="0.25">
      <c r="A54" s="71">
        <f t="shared" si="0"/>
        <v>47</v>
      </c>
      <c r="B54" s="66">
        <f>+B53+31</f>
        <v>40206</v>
      </c>
      <c r="G54" s="76"/>
      <c r="I54" s="75"/>
    </row>
    <row r="55" spans="1:11" hidden="1" outlineLevel="1" x14ac:dyDescent="0.25">
      <c r="A55" s="71">
        <f t="shared" si="0"/>
        <v>48</v>
      </c>
      <c r="B55" s="66">
        <f>+B53+31</f>
        <v>40206</v>
      </c>
      <c r="D55" s="67">
        <v>20464</v>
      </c>
      <c r="G55" s="76">
        <f>ROUND((+I53+E55+(D55/2))*0.0325/12,2)</f>
        <v>-1770.59</v>
      </c>
      <c r="H55" s="67">
        <f t="shared" ref="H55:H88" si="4">SUM(D55:G55)</f>
        <v>18693.41</v>
      </c>
      <c r="I55" s="75">
        <f>+I53+H55</f>
        <v>-645294.07999999973</v>
      </c>
    </row>
    <row r="56" spans="1:11" hidden="1" outlineLevel="1" x14ac:dyDescent="0.25">
      <c r="A56" s="71">
        <f t="shared" si="0"/>
        <v>49</v>
      </c>
      <c r="B56" s="66">
        <f>+B55+28</f>
        <v>40234</v>
      </c>
      <c r="D56" s="67">
        <v>-94128</v>
      </c>
      <c r="G56" s="76">
        <f>ROUND((+I55+E56+(D56/2))*0.0325/12,2)</f>
        <v>-1875.14</v>
      </c>
      <c r="H56" s="67">
        <f t="shared" si="4"/>
        <v>-96003.14</v>
      </c>
      <c r="I56" s="75">
        <f t="shared" ref="I56:I87" si="5">+I55+H56</f>
        <v>-741297.21999999974</v>
      </c>
    </row>
    <row r="57" spans="1:11" hidden="1" outlineLevel="1" x14ac:dyDescent="0.25">
      <c r="A57" s="71">
        <f t="shared" si="0"/>
        <v>50</v>
      </c>
      <c r="B57" s="66">
        <f>+B56+31</f>
        <v>40265</v>
      </c>
      <c r="D57" s="67">
        <v>-229421</v>
      </c>
      <c r="G57" s="76">
        <f>ROUND((+I56+E57+(D57/2))*0.0325/12,2)</f>
        <v>-2318.35</v>
      </c>
      <c r="H57" s="67">
        <f t="shared" si="4"/>
        <v>-231739.35</v>
      </c>
      <c r="I57" s="75">
        <f t="shared" si="5"/>
        <v>-973036.56999999972</v>
      </c>
    </row>
    <row r="58" spans="1:11" hidden="1" outlineLevel="1" x14ac:dyDescent="0.25">
      <c r="A58" s="71">
        <f t="shared" si="0"/>
        <v>51</v>
      </c>
      <c r="B58" s="66">
        <f>+B57+30</f>
        <v>40295</v>
      </c>
      <c r="D58" s="67">
        <f>-199009-16421</f>
        <v>-215430</v>
      </c>
      <c r="G58" s="76">
        <f>ROUND((+I57+E58+(D58/2))*0.0325/12,2)</f>
        <v>-2927.04</v>
      </c>
      <c r="H58" s="67">
        <f t="shared" si="4"/>
        <v>-218357.04</v>
      </c>
      <c r="I58" s="75">
        <f t="shared" si="5"/>
        <v>-1191393.6099999996</v>
      </c>
    </row>
    <row r="59" spans="1:11" hidden="1" outlineLevel="1" x14ac:dyDescent="0.25">
      <c r="A59" s="71">
        <f t="shared" si="0"/>
        <v>52</v>
      </c>
      <c r="B59" s="66">
        <f>+B58+31</f>
        <v>40326</v>
      </c>
      <c r="D59" s="67">
        <f>-227121-32022</f>
        <v>-259143</v>
      </c>
      <c r="G59" s="67">
        <f>-3534+226</f>
        <v>-3308</v>
      </c>
      <c r="H59" s="67">
        <f t="shared" si="4"/>
        <v>-262451</v>
      </c>
      <c r="I59" s="75">
        <f t="shared" si="5"/>
        <v>-1453844.6099999996</v>
      </c>
    </row>
    <row r="60" spans="1:11" hidden="1" outlineLevel="1" x14ac:dyDescent="0.25">
      <c r="A60" s="71">
        <f t="shared" si="0"/>
        <v>53</v>
      </c>
      <c r="B60" s="66">
        <f>+B59+30</f>
        <v>40356</v>
      </c>
      <c r="D60" s="67">
        <v>-153349</v>
      </c>
      <c r="G60" s="67">
        <v>-4666</v>
      </c>
      <c r="H60" s="67">
        <f t="shared" si="4"/>
        <v>-158015</v>
      </c>
      <c r="I60" s="75">
        <f t="shared" si="5"/>
        <v>-1611859.6099999996</v>
      </c>
    </row>
    <row r="61" spans="1:11" hidden="1" outlineLevel="1" x14ac:dyDescent="0.25">
      <c r="A61" s="71">
        <f t="shared" si="0"/>
        <v>54</v>
      </c>
      <c r="B61" s="66">
        <f>+B60+31</f>
        <v>40387</v>
      </c>
      <c r="D61" s="67">
        <v>-29164</v>
      </c>
      <c r="G61" s="67">
        <v>-4674</v>
      </c>
      <c r="H61" s="67">
        <f t="shared" si="4"/>
        <v>-33838</v>
      </c>
      <c r="I61" s="75">
        <f t="shared" si="5"/>
        <v>-1645697.6099999996</v>
      </c>
    </row>
    <row r="62" spans="1:11" hidden="1" outlineLevel="1" x14ac:dyDescent="0.25">
      <c r="A62" s="71">
        <f t="shared" si="0"/>
        <v>55</v>
      </c>
      <c r="B62" s="66">
        <f>+B61+30</f>
        <v>40417</v>
      </c>
      <c r="D62" s="67">
        <v>-40283</v>
      </c>
      <c r="G62" s="76">
        <f>ROUND((+I61+E62+(D62/2))*0.0325/12,2)</f>
        <v>-4511.6499999999996</v>
      </c>
      <c r="H62" s="67">
        <f t="shared" si="4"/>
        <v>-44794.65</v>
      </c>
      <c r="I62" s="75">
        <f t="shared" si="5"/>
        <v>-1690492.2599999995</v>
      </c>
    </row>
    <row r="63" spans="1:11" hidden="1" outlineLevel="1" x14ac:dyDescent="0.25">
      <c r="A63" s="71">
        <f t="shared" si="0"/>
        <v>56</v>
      </c>
      <c r="B63" s="66">
        <f>+B62+30</f>
        <v>40447</v>
      </c>
      <c r="D63" s="67">
        <v>-151042</v>
      </c>
      <c r="G63" s="76">
        <f>ROUND((+I62+E63+(D63/2))*0.0325/12,2)</f>
        <v>-4782.95</v>
      </c>
      <c r="H63" s="67">
        <f t="shared" si="4"/>
        <v>-155824.95000000001</v>
      </c>
      <c r="I63" s="75">
        <f t="shared" si="5"/>
        <v>-1846317.2099999995</v>
      </c>
    </row>
    <row r="64" spans="1:11" hidden="1" outlineLevel="1" x14ac:dyDescent="0.25">
      <c r="A64" s="71">
        <f t="shared" si="0"/>
        <v>57</v>
      </c>
      <c r="B64" s="66">
        <f>+B63+31</f>
        <v>40478</v>
      </c>
      <c r="D64" s="67">
        <v>-154888</v>
      </c>
      <c r="G64" s="76">
        <f>ROUND((+I63+E64+(D64/2))*0.0325/12,2)+524.4</f>
        <v>-4685.79</v>
      </c>
      <c r="H64" s="67">
        <f t="shared" si="4"/>
        <v>-159573.79</v>
      </c>
      <c r="I64" s="75">
        <f t="shared" si="5"/>
        <v>-2005890.9999999995</v>
      </c>
    </row>
    <row r="65" spans="1:9" hidden="1" outlineLevel="1" x14ac:dyDescent="0.25">
      <c r="A65" s="71">
        <f t="shared" si="0"/>
        <v>58</v>
      </c>
      <c r="B65" s="66">
        <f>+B64+30</f>
        <v>40508</v>
      </c>
      <c r="D65" s="67">
        <v>-193432</v>
      </c>
      <c r="E65" s="67">
        <f>-I64</f>
        <v>2005890.9999999995</v>
      </c>
      <c r="G65" s="76">
        <f>ROUND((+I64+E65+(D65/2))*0.0325/12,0)</f>
        <v>-262</v>
      </c>
      <c r="H65" s="67">
        <f t="shared" si="4"/>
        <v>1812196.9999999995</v>
      </c>
      <c r="I65" s="75">
        <f t="shared" si="5"/>
        <v>-193694</v>
      </c>
    </row>
    <row r="66" spans="1:9" hidden="1" outlineLevel="1" x14ac:dyDescent="0.25">
      <c r="A66" s="71">
        <f t="shared" si="0"/>
        <v>59</v>
      </c>
      <c r="B66" s="66">
        <f>+B65+31</f>
        <v>40539</v>
      </c>
      <c r="D66" s="67">
        <v>-163905</v>
      </c>
      <c r="G66" s="76">
        <f>ROUND((+I65+E66+(D66/2))*0.0325/12,0)</f>
        <v>-747</v>
      </c>
      <c r="H66" s="67">
        <f t="shared" si="4"/>
        <v>-164652</v>
      </c>
      <c r="I66" s="75">
        <f t="shared" si="5"/>
        <v>-358346</v>
      </c>
    </row>
    <row r="67" spans="1:9" hidden="1" outlineLevel="1" x14ac:dyDescent="0.25">
      <c r="A67" s="71">
        <f t="shared" si="0"/>
        <v>60</v>
      </c>
      <c r="B67" s="66">
        <f>+B66+31</f>
        <v>40570</v>
      </c>
      <c r="D67" s="67">
        <v>-121982</v>
      </c>
      <c r="F67" s="77">
        <v>3.2500000000000001E-2</v>
      </c>
      <c r="G67" s="76">
        <f t="shared" ref="G67:G113" si="6">ROUND((+I66+E67+(D67/2))*F67/12,0)</f>
        <v>-1136</v>
      </c>
      <c r="H67" s="67">
        <f t="shared" si="4"/>
        <v>-123117.9675</v>
      </c>
      <c r="I67" s="75">
        <f t="shared" si="5"/>
        <v>-481463.96750000003</v>
      </c>
    </row>
    <row r="68" spans="1:9" hidden="1" outlineLevel="1" x14ac:dyDescent="0.25">
      <c r="A68" s="71">
        <f t="shared" si="0"/>
        <v>61</v>
      </c>
      <c r="B68" s="66">
        <f>+B67+28</f>
        <v>40598</v>
      </c>
      <c r="D68" s="67">
        <v>-395599</v>
      </c>
      <c r="F68" s="77">
        <v>3.2500000000000001E-2</v>
      </c>
      <c r="G68" s="76">
        <f t="shared" si="6"/>
        <v>-1840</v>
      </c>
      <c r="H68" s="67">
        <f t="shared" si="4"/>
        <v>-397438.96750000003</v>
      </c>
      <c r="I68" s="75">
        <f t="shared" si="5"/>
        <v>-878902.93500000006</v>
      </c>
    </row>
    <row r="69" spans="1:9" hidden="1" outlineLevel="1" x14ac:dyDescent="0.25">
      <c r="A69" s="71">
        <f t="shared" si="0"/>
        <v>62</v>
      </c>
      <c r="B69" s="66">
        <f>+B68+31</f>
        <v>40629</v>
      </c>
      <c r="D69" s="67">
        <v>-239077</v>
      </c>
      <c r="F69" s="77">
        <v>3.2500000000000001E-2</v>
      </c>
      <c r="G69" s="76">
        <f t="shared" si="6"/>
        <v>-2704</v>
      </c>
      <c r="H69" s="67">
        <f t="shared" si="4"/>
        <v>-241780.9675</v>
      </c>
      <c r="I69" s="75">
        <f t="shared" si="5"/>
        <v>-1120683.9025000001</v>
      </c>
    </row>
    <row r="70" spans="1:9" hidden="1" outlineLevel="1" x14ac:dyDescent="0.25">
      <c r="A70" s="71">
        <f t="shared" si="0"/>
        <v>63</v>
      </c>
      <c r="B70" s="66">
        <f>+B69+30</f>
        <v>40659</v>
      </c>
      <c r="D70" s="67">
        <v>-424355</v>
      </c>
      <c r="F70" s="77">
        <v>3.2500000000000001E-2</v>
      </c>
      <c r="G70" s="76">
        <f t="shared" si="6"/>
        <v>-3610</v>
      </c>
      <c r="H70" s="67">
        <f t="shared" si="4"/>
        <v>-427964.96750000003</v>
      </c>
      <c r="I70" s="75">
        <f t="shared" si="5"/>
        <v>-1548648.87</v>
      </c>
    </row>
    <row r="71" spans="1:9" hidden="1" outlineLevel="1" x14ac:dyDescent="0.25">
      <c r="A71" s="71">
        <f t="shared" si="0"/>
        <v>64</v>
      </c>
      <c r="B71" s="66">
        <f>+B70+31</f>
        <v>40690</v>
      </c>
      <c r="D71" s="67">
        <v>-98440</v>
      </c>
      <c r="F71" s="77">
        <v>3.2500000000000001E-2</v>
      </c>
      <c r="G71" s="76">
        <f t="shared" si="6"/>
        <v>-4328</v>
      </c>
      <c r="H71" s="67">
        <f t="shared" si="4"/>
        <v>-102767.9675</v>
      </c>
      <c r="I71" s="75">
        <f t="shared" si="5"/>
        <v>-1651416.8375000001</v>
      </c>
    </row>
    <row r="72" spans="1:9" hidden="1" outlineLevel="1" x14ac:dyDescent="0.25">
      <c r="A72" s="71">
        <f t="shared" si="0"/>
        <v>65</v>
      </c>
      <c r="B72" s="66">
        <f>+B71+30</f>
        <v>40720</v>
      </c>
      <c r="D72" s="67">
        <v>-66489</v>
      </c>
      <c r="F72" s="77">
        <v>3.2500000000000001E-2</v>
      </c>
      <c r="G72" s="76">
        <f t="shared" si="6"/>
        <v>-4563</v>
      </c>
      <c r="H72" s="67">
        <f t="shared" si="4"/>
        <v>-71051.967499999999</v>
      </c>
      <c r="I72" s="75">
        <f t="shared" si="5"/>
        <v>-1722468.8050000002</v>
      </c>
    </row>
    <row r="73" spans="1:9" hidden="1" outlineLevel="1" x14ac:dyDescent="0.25">
      <c r="A73" s="71">
        <f t="shared" ref="A73:A136" si="7">+A72+1</f>
        <v>66</v>
      </c>
      <c r="B73" s="66">
        <f>+B72+31</f>
        <v>40751</v>
      </c>
      <c r="D73" s="67">
        <v>-20369</v>
      </c>
      <c r="F73" s="77">
        <v>3.2500000000000001E-2</v>
      </c>
      <c r="G73" s="76">
        <f t="shared" si="6"/>
        <v>-4693</v>
      </c>
      <c r="H73" s="67">
        <f t="shared" si="4"/>
        <v>-25061.967499999999</v>
      </c>
      <c r="I73" s="75">
        <f t="shared" si="5"/>
        <v>-1747530.7725000002</v>
      </c>
    </row>
    <row r="74" spans="1:9" hidden="1" outlineLevel="1" x14ac:dyDescent="0.25">
      <c r="A74" s="71">
        <f t="shared" si="7"/>
        <v>67</v>
      </c>
      <c r="B74" s="66">
        <f>+B73+30</f>
        <v>40781</v>
      </c>
      <c r="D74" s="67">
        <v>-38725</v>
      </c>
      <c r="F74" s="77">
        <v>3.2500000000000001E-2</v>
      </c>
      <c r="G74" s="76">
        <f t="shared" si="6"/>
        <v>-4785</v>
      </c>
      <c r="H74" s="67">
        <f t="shared" si="4"/>
        <v>-43509.967499999999</v>
      </c>
      <c r="I74" s="75">
        <f t="shared" si="5"/>
        <v>-1791040.7400000002</v>
      </c>
    </row>
    <row r="75" spans="1:9" hidden="1" outlineLevel="1" x14ac:dyDescent="0.25">
      <c r="A75" s="71">
        <f t="shared" si="7"/>
        <v>68</v>
      </c>
      <c r="B75" s="66">
        <f>+B74+30</f>
        <v>40811</v>
      </c>
      <c r="D75" s="67">
        <v>-72610</v>
      </c>
      <c r="F75" s="77">
        <v>3.2500000000000001E-2</v>
      </c>
      <c r="G75" s="76">
        <f t="shared" si="6"/>
        <v>-4949</v>
      </c>
      <c r="H75" s="67">
        <f t="shared" si="4"/>
        <v>-77558.967499999999</v>
      </c>
      <c r="I75" s="75">
        <f t="shared" si="5"/>
        <v>-1868599.7075000003</v>
      </c>
    </row>
    <row r="76" spans="1:9" hidden="1" outlineLevel="1" x14ac:dyDescent="0.25">
      <c r="A76" s="71">
        <f t="shared" si="7"/>
        <v>69</v>
      </c>
      <c r="B76" s="66">
        <f>+B75+31</f>
        <v>40842</v>
      </c>
      <c r="C76" s="87">
        <v>1</v>
      </c>
      <c r="D76" s="67">
        <v>-141352</v>
      </c>
      <c r="E76" s="67">
        <v>3</v>
      </c>
      <c r="F76" s="77">
        <v>3.2500000000000001E-2</v>
      </c>
      <c r="G76" s="76">
        <f t="shared" si="6"/>
        <v>-5252</v>
      </c>
      <c r="H76" s="67">
        <f t="shared" si="4"/>
        <v>-146600.9675</v>
      </c>
      <c r="I76" s="75">
        <f t="shared" si="5"/>
        <v>-2015200.6750000003</v>
      </c>
    </row>
    <row r="77" spans="1:9" hidden="1" outlineLevel="1" x14ac:dyDescent="0.25">
      <c r="A77" s="71">
        <f t="shared" si="7"/>
        <v>70</v>
      </c>
      <c r="B77" s="66">
        <f>+B76+30</f>
        <v>40872</v>
      </c>
      <c r="C77" s="87">
        <v>1</v>
      </c>
      <c r="D77" s="67">
        <v>-361900</v>
      </c>
      <c r="E77" s="67">
        <f>-I76</f>
        <v>2015200.6750000003</v>
      </c>
      <c r="F77" s="77">
        <v>3.2500000000000001E-2</v>
      </c>
      <c r="G77" s="76">
        <f t="shared" si="6"/>
        <v>-490</v>
      </c>
      <c r="H77" s="67">
        <f t="shared" si="4"/>
        <v>1652810.7075000003</v>
      </c>
      <c r="I77" s="75">
        <f t="shared" si="5"/>
        <v>-362389.96750000003</v>
      </c>
    </row>
    <row r="78" spans="1:9" hidden="1" outlineLevel="1" x14ac:dyDescent="0.25">
      <c r="A78" s="71">
        <f t="shared" si="7"/>
        <v>71</v>
      </c>
      <c r="B78" s="66">
        <f>+B77+31</f>
        <v>40903</v>
      </c>
      <c r="D78" s="67">
        <v>-703241</v>
      </c>
      <c r="F78" s="77">
        <v>3.2500000000000001E-2</v>
      </c>
      <c r="G78" s="76">
        <f t="shared" si="6"/>
        <v>-1934</v>
      </c>
      <c r="H78" s="67">
        <f t="shared" si="4"/>
        <v>-705174.96750000003</v>
      </c>
      <c r="I78" s="75">
        <f t="shared" si="5"/>
        <v>-1067564.9350000001</v>
      </c>
    </row>
    <row r="79" spans="1:9" hidden="1" outlineLevel="1" x14ac:dyDescent="0.25">
      <c r="A79" s="71">
        <f t="shared" si="7"/>
        <v>72</v>
      </c>
      <c r="B79" s="66">
        <f>+B78+31</f>
        <v>40934</v>
      </c>
      <c r="D79" s="67">
        <v>-958052</v>
      </c>
      <c r="F79" s="77">
        <v>3.2500000000000001E-2</v>
      </c>
      <c r="G79" s="76">
        <f t="shared" si="6"/>
        <v>-4189</v>
      </c>
      <c r="H79" s="67">
        <f t="shared" si="4"/>
        <v>-962240.96750000003</v>
      </c>
      <c r="I79" s="75">
        <f t="shared" si="5"/>
        <v>-2029805.9025000001</v>
      </c>
    </row>
    <row r="80" spans="1:9" hidden="1" outlineLevel="1" x14ac:dyDescent="0.25">
      <c r="A80" s="71">
        <f t="shared" si="7"/>
        <v>73</v>
      </c>
      <c r="B80" s="66">
        <f>+B79+29</f>
        <v>40963</v>
      </c>
      <c r="D80" s="67">
        <v>-1079065</v>
      </c>
      <c r="F80" s="77">
        <v>3.2500000000000001E-2</v>
      </c>
      <c r="G80" s="76">
        <f t="shared" si="6"/>
        <v>-6959</v>
      </c>
      <c r="H80" s="67">
        <f t="shared" si="4"/>
        <v>-1086023.9675</v>
      </c>
      <c r="I80" s="75">
        <f t="shared" si="5"/>
        <v>-3115829.87</v>
      </c>
    </row>
    <row r="81" spans="1:9" hidden="1" outlineLevel="1" x14ac:dyDescent="0.25">
      <c r="A81" s="71">
        <f t="shared" si="7"/>
        <v>74</v>
      </c>
      <c r="B81" s="66">
        <f>+B80+31</f>
        <v>40994</v>
      </c>
      <c r="D81" s="67">
        <v>-930736</v>
      </c>
      <c r="F81" s="77">
        <v>3.2500000000000001E-2</v>
      </c>
      <c r="G81" s="76">
        <f t="shared" si="6"/>
        <v>-9699</v>
      </c>
      <c r="H81" s="67">
        <f t="shared" si="4"/>
        <v>-940434.96750000003</v>
      </c>
      <c r="I81" s="75">
        <f t="shared" si="5"/>
        <v>-4056264.8375000004</v>
      </c>
    </row>
    <row r="82" spans="1:9" hidden="1" outlineLevel="1" x14ac:dyDescent="0.25">
      <c r="A82" s="71">
        <f t="shared" si="7"/>
        <v>75</v>
      </c>
      <c r="B82" s="66">
        <f>+B81+30</f>
        <v>41024</v>
      </c>
      <c r="D82" s="67">
        <v>-85118</v>
      </c>
      <c r="F82" s="77">
        <v>3.2500000000000001E-2</v>
      </c>
      <c r="G82" s="76">
        <f t="shared" si="6"/>
        <v>-11101</v>
      </c>
      <c r="H82" s="67">
        <f t="shared" si="4"/>
        <v>-96218.967499999999</v>
      </c>
      <c r="I82" s="75">
        <f t="shared" si="5"/>
        <v>-4152483.8050000002</v>
      </c>
    </row>
    <row r="83" spans="1:9" hidden="1" outlineLevel="1" x14ac:dyDescent="0.25">
      <c r="A83" s="71">
        <f t="shared" si="7"/>
        <v>76</v>
      </c>
      <c r="B83" s="66">
        <f>+B82+31</f>
        <v>41055</v>
      </c>
      <c r="D83" s="67">
        <v>-315878</v>
      </c>
      <c r="F83" s="77">
        <v>3.2500000000000001E-2</v>
      </c>
      <c r="G83" s="76">
        <f t="shared" si="6"/>
        <v>-11674</v>
      </c>
      <c r="H83" s="67">
        <f t="shared" si="4"/>
        <v>-327551.96750000003</v>
      </c>
      <c r="I83" s="75">
        <f t="shared" si="5"/>
        <v>-4480035.7725</v>
      </c>
    </row>
    <row r="84" spans="1:9" hidden="1" outlineLevel="1" x14ac:dyDescent="0.25">
      <c r="A84" s="71">
        <f t="shared" si="7"/>
        <v>77</v>
      </c>
      <c r="B84" s="66">
        <f>+B83+30</f>
        <v>41085</v>
      </c>
      <c r="C84" s="87">
        <v>2</v>
      </c>
      <c r="D84" s="67">
        <v>718.62</v>
      </c>
      <c r="E84" s="67">
        <v>4061107</v>
      </c>
      <c r="F84" s="77">
        <v>3.2500000000000001E-2</v>
      </c>
      <c r="G84" s="76">
        <f t="shared" si="6"/>
        <v>-1134</v>
      </c>
      <c r="H84" s="67">
        <f t="shared" si="4"/>
        <v>4060691.6525000003</v>
      </c>
      <c r="I84" s="75">
        <f t="shared" si="5"/>
        <v>-419344.11999999965</v>
      </c>
    </row>
    <row r="85" spans="1:9" hidden="1" outlineLevel="1" x14ac:dyDescent="0.25">
      <c r="A85" s="71">
        <f t="shared" si="7"/>
        <v>78</v>
      </c>
      <c r="B85" s="66">
        <f>+B84+31</f>
        <v>41116</v>
      </c>
      <c r="D85" s="67">
        <v>0</v>
      </c>
      <c r="F85" s="77">
        <v>3.2500000000000001E-2</v>
      </c>
      <c r="G85" s="76">
        <f t="shared" si="6"/>
        <v>-1136</v>
      </c>
      <c r="H85" s="67">
        <f t="shared" si="4"/>
        <v>-1135.9675</v>
      </c>
      <c r="I85" s="75">
        <f t="shared" si="5"/>
        <v>-420480.08749999967</v>
      </c>
    </row>
    <row r="86" spans="1:9" hidden="1" outlineLevel="1" x14ac:dyDescent="0.25">
      <c r="A86" s="71">
        <f t="shared" si="7"/>
        <v>79</v>
      </c>
      <c r="B86" s="66">
        <f>+B85+30</f>
        <v>41146</v>
      </c>
      <c r="D86" s="67">
        <v>0</v>
      </c>
      <c r="F86" s="77">
        <v>3.2500000000000001E-2</v>
      </c>
      <c r="G86" s="76">
        <f t="shared" si="6"/>
        <v>-1139</v>
      </c>
      <c r="H86" s="67">
        <f t="shared" si="4"/>
        <v>-1138.9675</v>
      </c>
      <c r="I86" s="75">
        <f t="shared" si="5"/>
        <v>-421619.0549999997</v>
      </c>
    </row>
    <row r="87" spans="1:9" hidden="1" outlineLevel="1" x14ac:dyDescent="0.25">
      <c r="A87" s="71">
        <f t="shared" si="7"/>
        <v>80</v>
      </c>
      <c r="B87" s="66">
        <f>+B86+30</f>
        <v>41176</v>
      </c>
      <c r="D87" s="67">
        <v>0</v>
      </c>
      <c r="F87" s="77">
        <v>3.2500000000000001E-2</v>
      </c>
      <c r="G87" s="76">
        <f t="shared" si="6"/>
        <v>-1142</v>
      </c>
      <c r="H87" s="67">
        <f t="shared" si="4"/>
        <v>-1141.9675</v>
      </c>
      <c r="I87" s="75">
        <f t="shared" si="5"/>
        <v>-422761.02249999973</v>
      </c>
    </row>
    <row r="88" spans="1:9" hidden="1" outlineLevel="1" x14ac:dyDescent="0.25">
      <c r="A88" s="71">
        <f t="shared" si="7"/>
        <v>81</v>
      </c>
      <c r="B88" s="66">
        <f>+B87+31</f>
        <v>41207</v>
      </c>
      <c r="D88" s="67">
        <v>-315011</v>
      </c>
      <c r="F88" s="77">
        <v>3.2500000000000001E-2</v>
      </c>
      <c r="G88" s="76">
        <f t="shared" si="6"/>
        <v>-1572</v>
      </c>
      <c r="H88" s="67">
        <f t="shared" si="4"/>
        <v>-316582.96750000003</v>
      </c>
      <c r="I88" s="75">
        <f t="shared" ref="I88:I119" si="8">+I87+H88</f>
        <v>-739343.98999999976</v>
      </c>
    </row>
    <row r="89" spans="1:9" hidden="1" outlineLevel="1" x14ac:dyDescent="0.25">
      <c r="A89" s="71">
        <f t="shared" si="7"/>
        <v>82</v>
      </c>
      <c r="B89" s="66">
        <f>+B88+30</f>
        <v>41237</v>
      </c>
      <c r="C89" s="87">
        <v>1</v>
      </c>
      <c r="D89" s="67">
        <v>-3131</v>
      </c>
      <c r="E89" s="67">
        <f>-I88</f>
        <v>739343.98999999976</v>
      </c>
      <c r="F89" s="77">
        <v>3.2500000000000001E-2</v>
      </c>
      <c r="G89" s="76">
        <f t="shared" si="6"/>
        <v>-4</v>
      </c>
      <c r="H89" s="67">
        <f t="shared" ref="H89:H120" si="9">SUM(D89:E89,G89)</f>
        <v>736208.98999999976</v>
      </c>
      <c r="I89" s="75">
        <f t="shared" si="8"/>
        <v>-3135</v>
      </c>
    </row>
    <row r="90" spans="1:9" hidden="1" outlineLevel="1" x14ac:dyDescent="0.25">
      <c r="A90" s="71">
        <f t="shared" si="7"/>
        <v>83</v>
      </c>
      <c r="B90" s="66">
        <f>+B89+31</f>
        <v>41268</v>
      </c>
      <c r="D90" s="67">
        <v>-50040</v>
      </c>
      <c r="F90" s="77">
        <v>3.2500000000000001E-2</v>
      </c>
      <c r="G90" s="76">
        <f t="shared" si="6"/>
        <v>-76</v>
      </c>
      <c r="H90" s="67">
        <f t="shared" si="9"/>
        <v>-50116</v>
      </c>
      <c r="I90" s="75">
        <f t="shared" si="8"/>
        <v>-53251</v>
      </c>
    </row>
    <row r="91" spans="1:9" hidden="1" outlineLevel="1" x14ac:dyDescent="0.25">
      <c r="A91" s="71">
        <f t="shared" si="7"/>
        <v>84</v>
      </c>
      <c r="B91" s="66">
        <f>+B90+31</f>
        <v>41299</v>
      </c>
      <c r="D91" s="67">
        <v>-136612</v>
      </c>
      <c r="F91" s="77">
        <v>3.2500000000000001E-2</v>
      </c>
      <c r="G91" s="76">
        <f t="shared" si="6"/>
        <v>-329</v>
      </c>
      <c r="H91" s="67">
        <f t="shared" si="9"/>
        <v>-136941</v>
      </c>
      <c r="I91" s="75">
        <f t="shared" si="8"/>
        <v>-190192</v>
      </c>
    </row>
    <row r="92" spans="1:9" hidden="1" outlineLevel="1" x14ac:dyDescent="0.25">
      <c r="A92" s="71">
        <f t="shared" si="7"/>
        <v>85</v>
      </c>
      <c r="B92" s="66">
        <f>+B91+28</f>
        <v>41327</v>
      </c>
      <c r="D92" s="67">
        <v>-277705</v>
      </c>
      <c r="F92" s="77">
        <v>3.2500000000000001E-2</v>
      </c>
      <c r="G92" s="76">
        <f t="shared" si="6"/>
        <v>-891</v>
      </c>
      <c r="H92" s="67">
        <f t="shared" si="9"/>
        <v>-278596</v>
      </c>
      <c r="I92" s="75">
        <f t="shared" si="8"/>
        <v>-468788</v>
      </c>
    </row>
    <row r="93" spans="1:9" hidden="1" outlineLevel="1" x14ac:dyDescent="0.25">
      <c r="A93" s="71">
        <f t="shared" si="7"/>
        <v>86</v>
      </c>
      <c r="B93" s="66">
        <f>+B92+31</f>
        <v>41358</v>
      </c>
      <c r="D93" s="67">
        <v>127284</v>
      </c>
      <c r="F93" s="77">
        <v>3.2500000000000001E-2</v>
      </c>
      <c r="G93" s="76">
        <f t="shared" si="6"/>
        <v>-1097</v>
      </c>
      <c r="H93" s="67">
        <f t="shared" si="9"/>
        <v>126187</v>
      </c>
      <c r="I93" s="75">
        <f t="shared" si="8"/>
        <v>-342601</v>
      </c>
    </row>
    <row r="94" spans="1:9" hidden="1" outlineLevel="1" x14ac:dyDescent="0.25">
      <c r="A94" s="71">
        <f t="shared" si="7"/>
        <v>87</v>
      </c>
      <c r="B94" s="66">
        <f>+B93+30</f>
        <v>41388</v>
      </c>
      <c r="D94" s="91">
        <v>-118502</v>
      </c>
      <c r="F94" s="77">
        <v>3.2500000000000001E-2</v>
      </c>
      <c r="G94" s="76">
        <f t="shared" si="6"/>
        <v>-1088</v>
      </c>
      <c r="H94" s="67">
        <f t="shared" si="9"/>
        <v>-119590</v>
      </c>
      <c r="I94" s="75">
        <f t="shared" si="8"/>
        <v>-462191</v>
      </c>
    </row>
    <row r="95" spans="1:9" hidden="1" outlineLevel="1" x14ac:dyDescent="0.25">
      <c r="A95" s="71">
        <f t="shared" si="7"/>
        <v>88</v>
      </c>
      <c r="B95" s="66">
        <f>+B94+31</f>
        <v>41419</v>
      </c>
      <c r="D95" s="91">
        <v>-61710</v>
      </c>
      <c r="F95" s="77">
        <v>3.2500000000000001E-2</v>
      </c>
      <c r="G95" s="76">
        <f t="shared" si="6"/>
        <v>-1335</v>
      </c>
      <c r="H95" s="67">
        <f t="shared" si="9"/>
        <v>-63045</v>
      </c>
      <c r="I95" s="75">
        <f t="shared" si="8"/>
        <v>-525236</v>
      </c>
    </row>
    <row r="96" spans="1:9" hidden="1" outlineLevel="1" x14ac:dyDescent="0.25">
      <c r="A96" s="71">
        <f t="shared" si="7"/>
        <v>89</v>
      </c>
      <c r="B96" s="66">
        <f>+B95+30</f>
        <v>41449</v>
      </c>
      <c r="D96" s="67">
        <v>130558</v>
      </c>
      <c r="F96" s="77">
        <v>3.2500000000000001E-2</v>
      </c>
      <c r="G96" s="76">
        <f t="shared" si="6"/>
        <v>-1246</v>
      </c>
      <c r="H96" s="67">
        <f t="shared" si="9"/>
        <v>129312</v>
      </c>
      <c r="I96" s="75">
        <f t="shared" si="8"/>
        <v>-395924</v>
      </c>
    </row>
    <row r="97" spans="1:9" hidden="1" outlineLevel="1" x14ac:dyDescent="0.25">
      <c r="A97" s="71">
        <f t="shared" si="7"/>
        <v>90</v>
      </c>
      <c r="B97" s="66">
        <f>+B96+31</f>
        <v>41480</v>
      </c>
      <c r="D97" s="67">
        <v>30297</v>
      </c>
      <c r="F97" s="77">
        <v>3.2500000000000001E-2</v>
      </c>
      <c r="G97" s="76">
        <f t="shared" si="6"/>
        <v>-1031</v>
      </c>
      <c r="H97" s="67">
        <f t="shared" si="9"/>
        <v>29266</v>
      </c>
      <c r="I97" s="75">
        <f t="shared" si="8"/>
        <v>-366658</v>
      </c>
    </row>
    <row r="98" spans="1:9" hidden="1" outlineLevel="1" x14ac:dyDescent="0.25">
      <c r="A98" s="71">
        <f t="shared" si="7"/>
        <v>91</v>
      </c>
      <c r="B98" s="66">
        <f>+B97+30</f>
        <v>41510</v>
      </c>
      <c r="D98" s="67">
        <v>13514</v>
      </c>
      <c r="F98" s="77">
        <v>3.2500000000000001E-2</v>
      </c>
      <c r="G98" s="76">
        <f t="shared" si="6"/>
        <v>-975</v>
      </c>
      <c r="H98" s="67">
        <f t="shared" si="9"/>
        <v>12539</v>
      </c>
      <c r="I98" s="75">
        <f t="shared" si="8"/>
        <v>-354119</v>
      </c>
    </row>
    <row r="99" spans="1:9" hidden="1" outlineLevel="1" x14ac:dyDescent="0.25">
      <c r="A99" s="71">
        <f t="shared" si="7"/>
        <v>92</v>
      </c>
      <c r="B99" s="66">
        <f>+B98+30</f>
        <v>41540</v>
      </c>
      <c r="D99" s="67">
        <v>-99827</v>
      </c>
      <c r="F99" s="77">
        <v>3.2500000000000001E-2</v>
      </c>
      <c r="G99" s="76">
        <f t="shared" si="6"/>
        <v>-1094</v>
      </c>
      <c r="H99" s="67">
        <f t="shared" si="9"/>
        <v>-100921</v>
      </c>
      <c r="I99" s="75">
        <f t="shared" si="8"/>
        <v>-455040</v>
      </c>
    </row>
    <row r="100" spans="1:9" hidden="1" outlineLevel="1" x14ac:dyDescent="0.25">
      <c r="A100" s="71">
        <f t="shared" si="7"/>
        <v>93</v>
      </c>
      <c r="B100" s="66">
        <f>+B99+31</f>
        <v>41571</v>
      </c>
      <c r="D100" s="67">
        <v>20129</v>
      </c>
      <c r="F100" s="77">
        <v>3.2500000000000001E-2</v>
      </c>
      <c r="G100" s="76">
        <f t="shared" si="6"/>
        <v>-1205</v>
      </c>
      <c r="H100" s="67">
        <f t="shared" si="9"/>
        <v>18924</v>
      </c>
      <c r="I100" s="75">
        <f t="shared" si="8"/>
        <v>-436116</v>
      </c>
    </row>
    <row r="101" spans="1:9" hidden="1" outlineLevel="1" x14ac:dyDescent="0.25">
      <c r="A101" s="71">
        <f t="shared" si="7"/>
        <v>94</v>
      </c>
      <c r="B101" s="66">
        <f>+B100+30</f>
        <v>41601</v>
      </c>
      <c r="C101" s="87">
        <v>1</v>
      </c>
      <c r="D101" s="67">
        <v>-80036</v>
      </c>
      <c r="E101" s="67">
        <f>-I100</f>
        <v>436116</v>
      </c>
      <c r="F101" s="77">
        <v>3.2500000000000001E-2</v>
      </c>
      <c r="G101" s="76">
        <f t="shared" si="6"/>
        <v>-108</v>
      </c>
      <c r="H101" s="67">
        <f t="shared" si="9"/>
        <v>355972</v>
      </c>
      <c r="I101" s="75">
        <f t="shared" si="8"/>
        <v>-80144</v>
      </c>
    </row>
    <row r="102" spans="1:9" hidden="1" outlineLevel="1" x14ac:dyDescent="0.25">
      <c r="A102" s="71">
        <f t="shared" si="7"/>
        <v>95</v>
      </c>
      <c r="B102" s="66">
        <f>+B101+31</f>
        <v>41632</v>
      </c>
      <c r="D102" s="67">
        <v>398581</v>
      </c>
      <c r="F102" s="77">
        <v>3.2500000000000001E-2</v>
      </c>
      <c r="G102" s="76">
        <f t="shared" si="6"/>
        <v>323</v>
      </c>
      <c r="H102" s="67">
        <f t="shared" si="9"/>
        <v>398904</v>
      </c>
      <c r="I102" s="75">
        <f t="shared" si="8"/>
        <v>318760</v>
      </c>
    </row>
    <row r="103" spans="1:9" hidden="1" outlineLevel="1" x14ac:dyDescent="0.25">
      <c r="A103" s="71">
        <f t="shared" si="7"/>
        <v>96</v>
      </c>
      <c r="B103" s="66">
        <f>+B102+31</f>
        <v>41663</v>
      </c>
      <c r="D103" s="67">
        <v>142262</v>
      </c>
      <c r="E103" s="66"/>
      <c r="F103" s="77">
        <v>3.2500000000000001E-2</v>
      </c>
      <c r="G103" s="76">
        <f t="shared" si="6"/>
        <v>1056</v>
      </c>
      <c r="H103" s="67">
        <f t="shared" si="9"/>
        <v>143318</v>
      </c>
      <c r="I103" s="75">
        <f t="shared" si="8"/>
        <v>462078</v>
      </c>
    </row>
    <row r="104" spans="1:9" hidden="1" outlineLevel="1" x14ac:dyDescent="0.25">
      <c r="A104" s="71">
        <f t="shared" si="7"/>
        <v>97</v>
      </c>
      <c r="B104" s="66">
        <f>+B103+28</f>
        <v>41691</v>
      </c>
      <c r="D104" s="67">
        <v>1110875</v>
      </c>
      <c r="E104" s="66"/>
      <c r="F104" s="77">
        <v>3.2500000000000001E-2</v>
      </c>
      <c r="G104" s="76">
        <f t="shared" si="6"/>
        <v>2756</v>
      </c>
      <c r="H104" s="67">
        <f t="shared" si="9"/>
        <v>1113631</v>
      </c>
      <c r="I104" s="75">
        <f t="shared" si="8"/>
        <v>1575709</v>
      </c>
    </row>
    <row r="105" spans="1:9" hidden="1" outlineLevel="1" x14ac:dyDescent="0.25">
      <c r="A105" s="71">
        <f t="shared" si="7"/>
        <v>98</v>
      </c>
      <c r="B105" s="66">
        <f>+B104+31</f>
        <v>41722</v>
      </c>
      <c r="D105" s="67">
        <v>881986</v>
      </c>
      <c r="E105" s="66"/>
      <c r="F105" s="77">
        <v>3.2500000000000001E-2</v>
      </c>
      <c r="G105" s="76">
        <f t="shared" si="6"/>
        <v>5462</v>
      </c>
      <c r="H105" s="67">
        <f t="shared" si="9"/>
        <v>887448</v>
      </c>
      <c r="I105" s="75">
        <f t="shared" si="8"/>
        <v>2463157</v>
      </c>
    </row>
    <row r="106" spans="1:9" hidden="1" outlineLevel="1" x14ac:dyDescent="0.25">
      <c r="A106" s="71">
        <f t="shared" si="7"/>
        <v>99</v>
      </c>
      <c r="B106" s="66">
        <f>+B105+30</f>
        <v>41752</v>
      </c>
      <c r="D106" s="67">
        <v>17442</v>
      </c>
      <c r="E106" s="66"/>
      <c r="F106" s="77">
        <v>3.2500000000000001E-2</v>
      </c>
      <c r="G106" s="76">
        <f t="shared" si="6"/>
        <v>6695</v>
      </c>
      <c r="H106" s="67">
        <f t="shared" si="9"/>
        <v>24137</v>
      </c>
      <c r="I106" s="75">
        <f t="shared" si="8"/>
        <v>2487294</v>
      </c>
    </row>
    <row r="107" spans="1:9" hidden="1" outlineLevel="1" x14ac:dyDescent="0.25">
      <c r="A107" s="71">
        <f t="shared" si="7"/>
        <v>100</v>
      </c>
      <c r="B107" s="66">
        <f>+B106+31</f>
        <v>41783</v>
      </c>
      <c r="D107" s="67">
        <v>147728</v>
      </c>
      <c r="E107" s="66"/>
      <c r="F107" s="77">
        <v>3.2500000000000001E-2</v>
      </c>
      <c r="G107" s="76">
        <f t="shared" si="6"/>
        <v>6936</v>
      </c>
      <c r="H107" s="67">
        <f t="shared" si="9"/>
        <v>154664</v>
      </c>
      <c r="I107" s="75">
        <f t="shared" si="8"/>
        <v>2641958</v>
      </c>
    </row>
    <row r="108" spans="1:9" hidden="1" outlineLevel="1" x14ac:dyDescent="0.25">
      <c r="A108" s="71">
        <f t="shared" si="7"/>
        <v>101</v>
      </c>
      <c r="B108" s="66">
        <f>+B107+30</f>
        <v>41813</v>
      </c>
      <c r="D108" s="67">
        <v>112468</v>
      </c>
      <c r="E108" s="66"/>
      <c r="F108" s="77">
        <v>3.2500000000000001E-2</v>
      </c>
      <c r="G108" s="76">
        <f t="shared" si="6"/>
        <v>7308</v>
      </c>
      <c r="H108" s="67">
        <f t="shared" si="9"/>
        <v>119776</v>
      </c>
      <c r="I108" s="75">
        <f t="shared" si="8"/>
        <v>2761734</v>
      </c>
    </row>
    <row r="109" spans="1:9" hidden="1" outlineLevel="1" x14ac:dyDescent="0.25">
      <c r="A109" s="71">
        <f t="shared" si="7"/>
        <v>102</v>
      </c>
      <c r="B109" s="66">
        <f>+B108+31</f>
        <v>41844</v>
      </c>
      <c r="D109" s="67">
        <v>74068</v>
      </c>
      <c r="E109" s="66"/>
      <c r="F109" s="77">
        <v>3.2500000000000001E-2</v>
      </c>
      <c r="G109" s="76">
        <f t="shared" si="6"/>
        <v>7580</v>
      </c>
      <c r="H109" s="67">
        <f t="shared" si="9"/>
        <v>81648</v>
      </c>
      <c r="I109" s="75">
        <f t="shared" si="8"/>
        <v>2843382</v>
      </c>
    </row>
    <row r="110" spans="1:9" hidden="1" outlineLevel="1" x14ac:dyDescent="0.25">
      <c r="A110" s="71">
        <f t="shared" si="7"/>
        <v>103</v>
      </c>
      <c r="B110" s="66">
        <f>+B109+31</f>
        <v>41875</v>
      </c>
      <c r="D110" s="67">
        <v>49866</v>
      </c>
      <c r="E110" s="66"/>
      <c r="F110" s="77">
        <v>3.2500000000000001E-2</v>
      </c>
      <c r="G110" s="76">
        <f t="shared" si="6"/>
        <v>7768</v>
      </c>
      <c r="H110" s="67">
        <f t="shared" si="9"/>
        <v>57634</v>
      </c>
      <c r="I110" s="75">
        <f t="shared" si="8"/>
        <v>2901016</v>
      </c>
    </row>
    <row r="111" spans="1:9" hidden="1" outlineLevel="1" x14ac:dyDescent="0.25">
      <c r="A111" s="71">
        <f t="shared" si="7"/>
        <v>104</v>
      </c>
      <c r="B111" s="66">
        <f>+B110+30</f>
        <v>41905</v>
      </c>
      <c r="D111" s="67">
        <v>-71842</v>
      </c>
      <c r="E111" s="66"/>
      <c r="F111" s="77">
        <v>3.2500000000000001E-2</v>
      </c>
      <c r="G111" s="76">
        <f t="shared" si="6"/>
        <v>7760</v>
      </c>
      <c r="H111" s="67">
        <f t="shared" si="9"/>
        <v>-64082</v>
      </c>
      <c r="I111" s="75">
        <f t="shared" si="8"/>
        <v>2836934</v>
      </c>
    </row>
    <row r="112" spans="1:9" hidden="1" outlineLevel="1" x14ac:dyDescent="0.25">
      <c r="A112" s="71">
        <f t="shared" si="7"/>
        <v>105</v>
      </c>
      <c r="B112" s="66">
        <f>+B111+31</f>
        <v>41936</v>
      </c>
      <c r="D112" s="67">
        <v>-28417</v>
      </c>
      <c r="E112" s="66"/>
      <c r="F112" s="77">
        <v>3.2500000000000001E-2</v>
      </c>
      <c r="G112" s="76">
        <f t="shared" si="6"/>
        <v>7645</v>
      </c>
      <c r="H112" s="67">
        <f t="shared" si="9"/>
        <v>-20772</v>
      </c>
      <c r="I112" s="75">
        <f t="shared" si="8"/>
        <v>2816162</v>
      </c>
    </row>
    <row r="113" spans="1:11" hidden="1" outlineLevel="1" x14ac:dyDescent="0.25">
      <c r="A113" s="71">
        <f t="shared" si="7"/>
        <v>106</v>
      </c>
      <c r="B113" s="66">
        <f>+B112+30</f>
        <v>41966</v>
      </c>
      <c r="C113" s="87">
        <v>1</v>
      </c>
      <c r="D113" s="67">
        <v>98527</v>
      </c>
      <c r="E113" s="67">
        <v>-2916751</v>
      </c>
      <c r="F113" s="77">
        <v>3.2500000000000001E-2</v>
      </c>
      <c r="G113" s="76">
        <f t="shared" si="6"/>
        <v>-139</v>
      </c>
      <c r="H113" s="67">
        <f t="shared" si="9"/>
        <v>-2818363</v>
      </c>
      <c r="I113" s="75">
        <f t="shared" si="8"/>
        <v>-2201</v>
      </c>
    </row>
    <row r="114" spans="1:11" hidden="1" outlineLevel="1" x14ac:dyDescent="0.25">
      <c r="A114" s="71">
        <f t="shared" si="7"/>
        <v>107</v>
      </c>
      <c r="B114" s="66">
        <f>+B113+31</f>
        <v>41997</v>
      </c>
      <c r="D114" s="67">
        <v>-106827</v>
      </c>
      <c r="E114" s="66"/>
      <c r="F114" s="77">
        <v>3.2500000000000001E-2</v>
      </c>
      <c r="G114" s="76">
        <f>ROUND((+I113+E114+(D114/2))*(F114/12),0)</f>
        <v>-151</v>
      </c>
      <c r="H114" s="67">
        <f t="shared" si="9"/>
        <v>-106978</v>
      </c>
      <c r="I114" s="75">
        <f t="shared" si="8"/>
        <v>-109179</v>
      </c>
    </row>
    <row r="115" spans="1:11" hidden="1" outlineLevel="1" x14ac:dyDescent="0.25">
      <c r="A115" s="71">
        <f t="shared" si="7"/>
        <v>108</v>
      </c>
      <c r="B115" s="66">
        <f>+B114+31</f>
        <v>42028</v>
      </c>
      <c r="D115" s="67">
        <v>-490858</v>
      </c>
      <c r="E115" s="66"/>
      <c r="F115" s="77">
        <v>3.2500000000000001E-2</v>
      </c>
      <c r="G115" s="76">
        <f t="shared" ref="G115:G127" si="10">ROUND((+I114+E115+(D115/2))*F115/12,0)</f>
        <v>-960</v>
      </c>
      <c r="H115" s="67">
        <f t="shared" si="9"/>
        <v>-491818</v>
      </c>
      <c r="I115" s="75">
        <f t="shared" si="8"/>
        <v>-600997</v>
      </c>
    </row>
    <row r="116" spans="1:11" hidden="1" outlineLevel="1" x14ac:dyDescent="0.25">
      <c r="A116" s="71">
        <f t="shared" si="7"/>
        <v>109</v>
      </c>
      <c r="B116" s="66">
        <f>+B115+28</f>
        <v>42056</v>
      </c>
      <c r="D116" s="67">
        <v>-401492</v>
      </c>
      <c r="E116" s="66"/>
      <c r="F116" s="77">
        <v>3.2500000000000001E-2</v>
      </c>
      <c r="G116" s="76">
        <f t="shared" si="10"/>
        <v>-2171</v>
      </c>
      <c r="H116" s="67">
        <f t="shared" si="9"/>
        <v>-403663</v>
      </c>
      <c r="I116" s="75">
        <f t="shared" si="8"/>
        <v>-1004660</v>
      </c>
    </row>
    <row r="117" spans="1:11" hidden="1" outlineLevel="1" x14ac:dyDescent="0.25">
      <c r="A117" s="71">
        <f t="shared" si="7"/>
        <v>110</v>
      </c>
      <c r="B117" s="66">
        <f>+B116+31</f>
        <v>42087</v>
      </c>
      <c r="D117" s="67">
        <v>-490273</v>
      </c>
      <c r="E117" s="66"/>
      <c r="F117" s="77">
        <v>3.2500000000000001E-2</v>
      </c>
      <c r="G117" s="76">
        <f t="shared" si="10"/>
        <v>-3385</v>
      </c>
      <c r="H117" s="67">
        <f t="shared" si="9"/>
        <v>-493658</v>
      </c>
      <c r="I117" s="75">
        <f t="shared" si="8"/>
        <v>-1498318</v>
      </c>
    </row>
    <row r="118" spans="1:11" hidden="1" outlineLevel="1" x14ac:dyDescent="0.25">
      <c r="A118" s="71">
        <f t="shared" si="7"/>
        <v>111</v>
      </c>
      <c r="B118" s="66">
        <f>+B117+30</f>
        <v>42117</v>
      </c>
      <c r="D118" s="67">
        <v>-507617</v>
      </c>
      <c r="E118" s="66"/>
      <c r="F118" s="77">
        <v>3.2500000000000001E-2</v>
      </c>
      <c r="G118" s="76">
        <f t="shared" si="10"/>
        <v>-4745</v>
      </c>
      <c r="H118" s="67">
        <f t="shared" si="9"/>
        <v>-512362</v>
      </c>
      <c r="I118" s="75">
        <f t="shared" si="8"/>
        <v>-2010680</v>
      </c>
    </row>
    <row r="119" spans="1:11" hidden="1" outlineLevel="1" x14ac:dyDescent="0.25">
      <c r="A119" s="71">
        <f t="shared" si="7"/>
        <v>112</v>
      </c>
      <c r="B119" s="66">
        <f>+B118+31</f>
        <v>42148</v>
      </c>
      <c r="D119" s="67">
        <v>-270013</v>
      </c>
      <c r="E119" s="66"/>
      <c r="F119" s="77">
        <v>3.2500000000000001E-2</v>
      </c>
      <c r="G119" s="76">
        <f t="shared" si="10"/>
        <v>-5811</v>
      </c>
      <c r="H119" s="67">
        <f t="shared" si="9"/>
        <v>-275824</v>
      </c>
      <c r="I119" s="75">
        <f t="shared" si="8"/>
        <v>-2286504</v>
      </c>
    </row>
    <row r="120" spans="1:11" hidden="1" outlineLevel="1" x14ac:dyDescent="0.25">
      <c r="A120" s="71">
        <f t="shared" si="7"/>
        <v>113</v>
      </c>
      <c r="B120" s="66">
        <f>+B119+30</f>
        <v>42178</v>
      </c>
      <c r="D120" s="67">
        <v>-283325</v>
      </c>
      <c r="E120" s="66"/>
      <c r="F120" s="77">
        <v>3.2500000000000001E-2</v>
      </c>
      <c r="G120" s="76">
        <f t="shared" si="10"/>
        <v>-6576</v>
      </c>
      <c r="H120" s="67">
        <f t="shared" si="9"/>
        <v>-289901</v>
      </c>
      <c r="I120" s="75">
        <f t="shared" ref="I120:I151" si="11">+I119+H120</f>
        <v>-2576405</v>
      </c>
    </row>
    <row r="121" spans="1:11" hidden="1" outlineLevel="1" x14ac:dyDescent="0.25">
      <c r="A121" s="71">
        <f t="shared" si="7"/>
        <v>114</v>
      </c>
      <c r="B121" s="66">
        <f>+B120+31</f>
        <v>42209</v>
      </c>
      <c r="D121" s="67">
        <v>-264071</v>
      </c>
      <c r="E121" s="66"/>
      <c r="F121" s="77">
        <v>3.2500000000000001E-2</v>
      </c>
      <c r="G121" s="76">
        <f t="shared" si="10"/>
        <v>-7335</v>
      </c>
      <c r="H121" s="67">
        <f t="shared" ref="H121:H152" si="12">SUM(D121:E121,G121)</f>
        <v>-271406</v>
      </c>
      <c r="I121" s="75">
        <f t="shared" si="11"/>
        <v>-2847811</v>
      </c>
      <c r="K121" s="80"/>
    </row>
    <row r="122" spans="1:11" hidden="1" outlineLevel="1" x14ac:dyDescent="0.25">
      <c r="A122" s="71">
        <f t="shared" si="7"/>
        <v>115</v>
      </c>
      <c r="B122" s="66">
        <f>+B121+31</f>
        <v>42240</v>
      </c>
      <c r="D122" s="67">
        <v>-214976</v>
      </c>
      <c r="F122" s="77">
        <v>3.2500000000000001E-2</v>
      </c>
      <c r="G122" s="76">
        <f t="shared" si="10"/>
        <v>-8004</v>
      </c>
      <c r="H122" s="67">
        <f t="shared" si="12"/>
        <v>-222980</v>
      </c>
      <c r="I122" s="75">
        <f t="shared" si="11"/>
        <v>-3070791</v>
      </c>
    </row>
    <row r="123" spans="1:11" hidden="1" outlineLevel="1" x14ac:dyDescent="0.25">
      <c r="A123" s="71">
        <f t="shared" si="7"/>
        <v>116</v>
      </c>
      <c r="B123" s="66">
        <f>+B122+30</f>
        <v>42270</v>
      </c>
      <c r="C123" s="89"/>
      <c r="D123" s="67">
        <v>-308272</v>
      </c>
      <c r="E123" s="66"/>
      <c r="F123" s="77">
        <v>3.2500000000000001E-2</v>
      </c>
      <c r="G123" s="76">
        <f t="shared" si="10"/>
        <v>-8734</v>
      </c>
      <c r="H123" s="67">
        <f t="shared" si="12"/>
        <v>-317006</v>
      </c>
      <c r="I123" s="75">
        <f t="shared" si="11"/>
        <v>-3387797</v>
      </c>
    </row>
    <row r="124" spans="1:11" hidden="1" outlineLevel="1" x14ac:dyDescent="0.25">
      <c r="A124" s="71">
        <f t="shared" si="7"/>
        <v>117</v>
      </c>
      <c r="B124" s="66">
        <f>+B123+31</f>
        <v>42301</v>
      </c>
      <c r="C124" s="87"/>
      <c r="D124" s="67">
        <v>-251408</v>
      </c>
      <c r="E124" s="86"/>
      <c r="F124" s="77">
        <v>3.2500000000000001E-2</v>
      </c>
      <c r="G124" s="76">
        <f t="shared" si="10"/>
        <v>-9516</v>
      </c>
      <c r="H124" s="67">
        <f t="shared" si="12"/>
        <v>-260924</v>
      </c>
      <c r="I124" s="75">
        <f t="shared" si="11"/>
        <v>-3648721</v>
      </c>
    </row>
    <row r="125" spans="1:11" hidden="1" outlineLevel="1" x14ac:dyDescent="0.25">
      <c r="A125" s="71">
        <f t="shared" si="7"/>
        <v>118</v>
      </c>
      <c r="B125" s="66">
        <f>+B124+30</f>
        <v>42331</v>
      </c>
      <c r="C125" s="87">
        <v>1</v>
      </c>
      <c r="D125" s="67">
        <v>-166164.95065709995</v>
      </c>
      <c r="E125" s="86">
        <v>3087447</v>
      </c>
      <c r="F125" s="77">
        <v>3.2500000000000001E-2</v>
      </c>
      <c r="G125" s="76">
        <f t="shared" si="10"/>
        <v>-1745</v>
      </c>
      <c r="H125" s="67">
        <f t="shared" si="12"/>
        <v>2919537.0493429</v>
      </c>
      <c r="I125" s="75">
        <f t="shared" si="11"/>
        <v>-729183.95065709995</v>
      </c>
    </row>
    <row r="126" spans="1:11" hidden="1" outlineLevel="1" x14ac:dyDescent="0.25">
      <c r="A126" s="71">
        <f t="shared" si="7"/>
        <v>119</v>
      </c>
      <c r="B126" s="66">
        <f>+B125+31</f>
        <v>42362</v>
      </c>
      <c r="C126" s="89"/>
      <c r="D126" s="67">
        <v>-404269.03908600006</v>
      </c>
      <c r="E126" s="90"/>
      <c r="F126" s="77">
        <v>3.2500000000000001E-2</v>
      </c>
      <c r="G126" s="76">
        <f t="shared" si="10"/>
        <v>-2522</v>
      </c>
      <c r="H126" s="67">
        <f t="shared" si="12"/>
        <v>-406791.03908600006</v>
      </c>
      <c r="I126" s="75">
        <f t="shared" si="11"/>
        <v>-1135974.9897431</v>
      </c>
    </row>
    <row r="127" spans="1:11" hidden="1" outlineLevel="1" x14ac:dyDescent="0.25">
      <c r="A127" s="71">
        <f t="shared" si="7"/>
        <v>120</v>
      </c>
      <c r="B127" s="66">
        <f>+B126+31</f>
        <v>42393</v>
      </c>
      <c r="C127" s="89"/>
      <c r="D127" s="67">
        <v>-389512.2211529999</v>
      </c>
      <c r="E127" s="66"/>
      <c r="F127" s="77">
        <v>3.2500000000000001E-2</v>
      </c>
      <c r="G127" s="76">
        <f t="shared" si="10"/>
        <v>-3604</v>
      </c>
      <c r="H127" s="67">
        <f t="shared" si="12"/>
        <v>-393116.2211529999</v>
      </c>
      <c r="I127" s="75">
        <f t="shared" si="11"/>
        <v>-1529091.2108960999</v>
      </c>
    </row>
    <row r="128" spans="1:11" hidden="1" outlineLevel="1" x14ac:dyDescent="0.25">
      <c r="A128" s="71">
        <f t="shared" si="7"/>
        <v>121</v>
      </c>
      <c r="B128" s="82">
        <f>+B127+29</f>
        <v>42422</v>
      </c>
      <c r="C128" s="89"/>
      <c r="D128" s="67">
        <v>-435772.88909700001</v>
      </c>
      <c r="E128" s="66"/>
      <c r="F128" s="77">
        <v>3.2500000000000001E-2</v>
      </c>
      <c r="G128" s="76">
        <f t="shared" ref="G128:G159" si="13">ROUND((+I127+E128+(D128/2))*F128/12,2)</f>
        <v>-4731.3999999999996</v>
      </c>
      <c r="H128" s="67">
        <f t="shared" si="12"/>
        <v>-440504.28909700003</v>
      </c>
      <c r="I128" s="75">
        <f t="shared" si="11"/>
        <v>-1969595.4999930998</v>
      </c>
    </row>
    <row r="129" spans="1:9" hidden="1" outlineLevel="1" x14ac:dyDescent="0.25">
      <c r="A129" s="71">
        <f t="shared" si="7"/>
        <v>122</v>
      </c>
      <c r="B129" s="66">
        <f>+B128+31</f>
        <v>42453</v>
      </c>
      <c r="C129" s="87">
        <v>2</v>
      </c>
      <c r="D129" s="67">
        <v>-636092.29787799995</v>
      </c>
      <c r="E129" s="86">
        <v>93.490000000000009</v>
      </c>
      <c r="F129" s="77">
        <v>3.2500000000000001E-2</v>
      </c>
      <c r="G129" s="76">
        <f t="shared" si="13"/>
        <v>-6195.44</v>
      </c>
      <c r="H129" s="67">
        <f t="shared" si="12"/>
        <v>-642194.24787799991</v>
      </c>
      <c r="I129" s="75">
        <f t="shared" si="11"/>
        <v>-2611789.7478711</v>
      </c>
    </row>
    <row r="130" spans="1:9" hidden="1" outlineLevel="1" x14ac:dyDescent="0.25">
      <c r="A130" s="71">
        <f t="shared" si="7"/>
        <v>123</v>
      </c>
      <c r="B130" s="66">
        <f>B129+30</f>
        <v>42483</v>
      </c>
      <c r="C130" s="87"/>
      <c r="D130" s="67">
        <v>-339881.772902</v>
      </c>
      <c r="E130" s="86"/>
      <c r="F130" s="77">
        <v>3.4599999999999999E-2</v>
      </c>
      <c r="G130" s="76">
        <f t="shared" si="13"/>
        <v>-8020.66</v>
      </c>
      <c r="H130" s="67">
        <f t="shared" si="12"/>
        <v>-347902.43290199997</v>
      </c>
      <c r="I130" s="75">
        <f t="shared" si="11"/>
        <v>-2959692.1807730999</v>
      </c>
    </row>
    <row r="131" spans="1:9" hidden="1" outlineLevel="1" x14ac:dyDescent="0.25">
      <c r="A131" s="71">
        <f t="shared" si="7"/>
        <v>124</v>
      </c>
      <c r="B131" s="66">
        <f>B130+31</f>
        <v>42514</v>
      </c>
      <c r="C131" s="87"/>
      <c r="D131" s="67">
        <v>-323178.75623599987</v>
      </c>
      <c r="E131" s="86"/>
      <c r="F131" s="77">
        <v>3.4599999999999999E-2</v>
      </c>
      <c r="G131" s="76">
        <f t="shared" si="13"/>
        <v>-8999.7000000000007</v>
      </c>
      <c r="H131" s="67">
        <f t="shared" si="12"/>
        <v>-332178.45623599988</v>
      </c>
      <c r="I131" s="75">
        <f t="shared" si="11"/>
        <v>-3291870.6370090996</v>
      </c>
    </row>
    <row r="132" spans="1:9" hidden="1" outlineLevel="1" x14ac:dyDescent="0.25">
      <c r="A132" s="71">
        <f t="shared" si="7"/>
        <v>125</v>
      </c>
      <c r="B132" s="66">
        <f>B131+30</f>
        <v>42544</v>
      </c>
      <c r="C132" s="87">
        <v>3</v>
      </c>
      <c r="D132" s="67">
        <v>-205022.84986199997</v>
      </c>
      <c r="E132" s="86">
        <v>2611790</v>
      </c>
      <c r="F132" s="77">
        <v>3.4599999999999999E-2</v>
      </c>
      <c r="G132" s="76">
        <f t="shared" si="13"/>
        <v>-2256.4699999999998</v>
      </c>
      <c r="H132" s="67">
        <f t="shared" si="12"/>
        <v>2404510.6801379998</v>
      </c>
      <c r="I132" s="75">
        <f t="shared" si="11"/>
        <v>-887359.95687109977</v>
      </c>
    </row>
    <row r="133" spans="1:9" hidden="1" outlineLevel="1" x14ac:dyDescent="0.25">
      <c r="A133" s="71">
        <f t="shared" si="7"/>
        <v>126</v>
      </c>
      <c r="B133" s="66">
        <f>B132+31</f>
        <v>42575</v>
      </c>
      <c r="C133" s="87"/>
      <c r="D133" s="67">
        <v>-120736.6912</v>
      </c>
      <c r="E133" s="86"/>
      <c r="F133" s="77">
        <v>3.5000000000000003E-2</v>
      </c>
      <c r="G133" s="76">
        <f t="shared" si="13"/>
        <v>-2764.21</v>
      </c>
      <c r="H133" s="67">
        <f t="shared" si="12"/>
        <v>-123500.90120000001</v>
      </c>
      <c r="I133" s="75">
        <f t="shared" si="11"/>
        <v>-1010860.8580710997</v>
      </c>
    </row>
    <row r="134" spans="1:9" hidden="1" outlineLevel="1" x14ac:dyDescent="0.25">
      <c r="A134" s="71">
        <f t="shared" si="7"/>
        <v>127</v>
      </c>
      <c r="B134" s="66">
        <f>B133+31</f>
        <v>42606</v>
      </c>
      <c r="C134" s="87"/>
      <c r="D134" s="67">
        <v>-140455.13302800001</v>
      </c>
      <c r="E134" s="86"/>
      <c r="F134" s="77">
        <v>3.5000000000000003E-2</v>
      </c>
      <c r="G134" s="76">
        <f t="shared" si="13"/>
        <v>-3153.17</v>
      </c>
      <c r="H134" s="67">
        <f t="shared" si="12"/>
        <v>-143608.30302800002</v>
      </c>
      <c r="I134" s="75">
        <f t="shared" si="11"/>
        <v>-1154469.1610990998</v>
      </c>
    </row>
    <row r="135" spans="1:9" hidden="1" outlineLevel="1" x14ac:dyDescent="0.25">
      <c r="A135" s="71">
        <f t="shared" si="7"/>
        <v>128</v>
      </c>
      <c r="B135" s="66">
        <f>B134+30</f>
        <v>42636</v>
      </c>
      <c r="C135" s="87"/>
      <c r="D135" s="67">
        <v>-132915.83371500007</v>
      </c>
      <c r="E135" s="86"/>
      <c r="F135" s="77">
        <v>3.5000000000000003E-2</v>
      </c>
      <c r="G135" s="76">
        <f t="shared" si="13"/>
        <v>-3561.04</v>
      </c>
      <c r="H135" s="67">
        <f t="shared" si="12"/>
        <v>-136476.87371500008</v>
      </c>
      <c r="I135" s="75">
        <f t="shared" si="11"/>
        <v>-1290946.0348140998</v>
      </c>
    </row>
    <row r="136" spans="1:9" hidden="1" outlineLevel="1" x14ac:dyDescent="0.25">
      <c r="A136" s="71">
        <f t="shared" si="7"/>
        <v>129</v>
      </c>
      <c r="B136" s="66">
        <f>B135+31</f>
        <v>42667</v>
      </c>
      <c r="C136" s="87"/>
      <c r="D136" s="67">
        <v>-169127.98</v>
      </c>
      <c r="E136" s="86"/>
      <c r="F136" s="77">
        <v>3.5000000000000003E-2</v>
      </c>
      <c r="G136" s="76">
        <f t="shared" si="13"/>
        <v>-4011.9</v>
      </c>
      <c r="H136" s="67">
        <f t="shared" si="12"/>
        <v>-173139.88</v>
      </c>
      <c r="I136" s="75">
        <f t="shared" si="11"/>
        <v>-1464085.9148140997</v>
      </c>
    </row>
    <row r="137" spans="1:9" hidden="1" outlineLevel="1" collapsed="1" x14ac:dyDescent="0.25">
      <c r="A137" s="71">
        <f t="shared" ref="A137:A200" si="14">+A136+1</f>
        <v>130</v>
      </c>
      <c r="B137" s="66">
        <f>+B136+30</f>
        <v>42697</v>
      </c>
      <c r="C137" s="87">
        <v>1</v>
      </c>
      <c r="D137" s="67">
        <v>-86960.092357000103</v>
      </c>
      <c r="E137" s="86">
        <v>1161213.3799999999</v>
      </c>
      <c r="F137" s="77">
        <v>3.5000000000000003E-2</v>
      </c>
      <c r="G137" s="76">
        <f t="shared" si="13"/>
        <v>-1010.2</v>
      </c>
      <c r="H137" s="67">
        <f t="shared" si="12"/>
        <v>1073243.0876429998</v>
      </c>
      <c r="I137" s="75">
        <f t="shared" si="11"/>
        <v>-390842.82717109984</v>
      </c>
    </row>
    <row r="138" spans="1:9" hidden="1" outlineLevel="1" x14ac:dyDescent="0.25">
      <c r="A138" s="71">
        <f t="shared" si="14"/>
        <v>131</v>
      </c>
      <c r="B138" s="66">
        <f>+B137+31</f>
        <v>42728</v>
      </c>
      <c r="C138" s="87"/>
      <c r="D138" s="67">
        <v>397271.74515200034</v>
      </c>
      <c r="E138" s="86"/>
      <c r="F138" s="77">
        <v>3.5000000000000003E-2</v>
      </c>
      <c r="G138" s="76">
        <f t="shared" si="13"/>
        <v>-560.6</v>
      </c>
      <c r="H138" s="67">
        <f t="shared" si="12"/>
        <v>396711.14515200036</v>
      </c>
      <c r="I138" s="75">
        <f t="shared" si="11"/>
        <v>5868.3179809005233</v>
      </c>
    </row>
    <row r="139" spans="1:9" hidden="1" outlineLevel="1" x14ac:dyDescent="0.25">
      <c r="A139" s="71">
        <f t="shared" si="14"/>
        <v>132</v>
      </c>
      <c r="B139" s="66">
        <f>+B138+31</f>
        <v>42759</v>
      </c>
      <c r="C139" s="87"/>
      <c r="D139" s="67">
        <v>389591.8774239989</v>
      </c>
      <c r="E139" s="86"/>
      <c r="F139" s="77">
        <v>3.5000000000000003E-2</v>
      </c>
      <c r="G139" s="76">
        <f t="shared" si="13"/>
        <v>585.27</v>
      </c>
      <c r="H139" s="67">
        <f t="shared" si="12"/>
        <v>390177.14742399892</v>
      </c>
      <c r="I139" s="75">
        <f t="shared" si="11"/>
        <v>396045.46540489944</v>
      </c>
    </row>
    <row r="140" spans="1:9" hidden="1" outlineLevel="1" x14ac:dyDescent="0.25">
      <c r="A140" s="71">
        <f t="shared" si="14"/>
        <v>133</v>
      </c>
      <c r="B140" s="66">
        <f>+B139+28</f>
        <v>42787</v>
      </c>
      <c r="C140" s="87"/>
      <c r="D140" s="67">
        <v>-133253.06445800001</v>
      </c>
      <c r="E140" s="86"/>
      <c r="F140" s="77">
        <v>3.5000000000000003E-2</v>
      </c>
      <c r="G140" s="76">
        <f t="shared" si="13"/>
        <v>960.81</v>
      </c>
      <c r="H140" s="67">
        <f t="shared" si="12"/>
        <v>-132292.25445800001</v>
      </c>
      <c r="I140" s="75">
        <f t="shared" si="11"/>
        <v>263753.21094689943</v>
      </c>
    </row>
    <row r="141" spans="1:9" hidden="1" outlineLevel="1" x14ac:dyDescent="0.25">
      <c r="A141" s="71">
        <f t="shared" si="14"/>
        <v>134</v>
      </c>
      <c r="B141" s="66">
        <f t="shared" ref="B141:B150" si="15">+B140+31</f>
        <v>42818</v>
      </c>
      <c r="C141" s="87"/>
      <c r="D141" s="67">
        <v>-303716.84245999996</v>
      </c>
      <c r="E141" s="86"/>
      <c r="F141" s="77">
        <v>3.5000000000000003E-2</v>
      </c>
      <c r="G141" s="76">
        <f t="shared" si="13"/>
        <v>326.36</v>
      </c>
      <c r="H141" s="67">
        <f t="shared" si="12"/>
        <v>-303390.48245999997</v>
      </c>
      <c r="I141" s="75">
        <f t="shared" si="11"/>
        <v>-39637.271513100539</v>
      </c>
    </row>
    <row r="142" spans="1:9" hidden="1" outlineLevel="1" x14ac:dyDescent="0.25">
      <c r="A142" s="71">
        <f t="shared" si="14"/>
        <v>135</v>
      </c>
      <c r="B142" s="66">
        <f t="shared" si="15"/>
        <v>42849</v>
      </c>
      <c r="C142" s="87"/>
      <c r="D142" s="67">
        <v>-192040.20714000007</v>
      </c>
      <c r="E142" s="86"/>
      <c r="F142" s="77">
        <v>3.7100000000000001E-2</v>
      </c>
      <c r="G142" s="76">
        <f t="shared" si="13"/>
        <v>-419.41</v>
      </c>
      <c r="H142" s="67">
        <f t="shared" si="12"/>
        <v>-192459.61714000007</v>
      </c>
      <c r="I142" s="75">
        <f t="shared" si="11"/>
        <v>-232096.88865310061</v>
      </c>
    </row>
    <row r="143" spans="1:9" hidden="1" outlineLevel="1" x14ac:dyDescent="0.25">
      <c r="A143" s="71">
        <f t="shared" si="14"/>
        <v>136</v>
      </c>
      <c r="B143" s="66">
        <f t="shared" si="15"/>
        <v>42880</v>
      </c>
      <c r="C143" s="87"/>
      <c r="D143" s="67">
        <v>-79605.552554000053</v>
      </c>
      <c r="E143" s="86"/>
      <c r="F143" s="77">
        <v>3.7100000000000001E-2</v>
      </c>
      <c r="G143" s="76">
        <f t="shared" si="13"/>
        <v>-840.62</v>
      </c>
      <c r="H143" s="67">
        <f t="shared" si="12"/>
        <v>-80446.172554000048</v>
      </c>
      <c r="I143" s="75">
        <f t="shared" si="11"/>
        <v>-312543.06120710063</v>
      </c>
    </row>
    <row r="144" spans="1:9" hidden="1" outlineLevel="1" x14ac:dyDescent="0.25">
      <c r="A144" s="71">
        <f t="shared" si="14"/>
        <v>137</v>
      </c>
      <c r="B144" s="66">
        <f t="shared" si="15"/>
        <v>42911</v>
      </c>
      <c r="C144" s="87"/>
      <c r="D144" s="67">
        <v>-41501.479491000064</v>
      </c>
      <c r="E144" s="86"/>
      <c r="F144" s="77">
        <v>3.7100000000000001E-2</v>
      </c>
      <c r="G144" s="76">
        <f t="shared" si="13"/>
        <v>-1030.43</v>
      </c>
      <c r="H144" s="67">
        <f t="shared" si="12"/>
        <v>-42531.909491000064</v>
      </c>
      <c r="I144" s="75">
        <f t="shared" si="11"/>
        <v>-355074.97069810069</v>
      </c>
    </row>
    <row r="145" spans="1:9" hidden="1" outlineLevel="1" x14ac:dyDescent="0.25">
      <c r="A145" s="71">
        <f t="shared" si="14"/>
        <v>138</v>
      </c>
      <c r="B145" s="66">
        <f t="shared" si="15"/>
        <v>42942</v>
      </c>
      <c r="C145" s="87"/>
      <c r="D145" s="67">
        <v>-122679.39746800007</v>
      </c>
      <c r="E145" s="86"/>
      <c r="F145" s="77">
        <v>3.9600000000000003E-2</v>
      </c>
      <c r="G145" s="76">
        <f t="shared" si="13"/>
        <v>-1374.17</v>
      </c>
      <c r="H145" s="67">
        <f t="shared" si="12"/>
        <v>-124053.56746800007</v>
      </c>
      <c r="I145" s="75">
        <f t="shared" si="11"/>
        <v>-479128.53816610074</v>
      </c>
    </row>
    <row r="146" spans="1:9" hidden="1" outlineLevel="1" x14ac:dyDescent="0.25">
      <c r="A146" s="71">
        <f t="shared" si="14"/>
        <v>139</v>
      </c>
      <c r="B146" s="66">
        <f t="shared" si="15"/>
        <v>42973</v>
      </c>
      <c r="C146" s="87"/>
      <c r="D146" s="67">
        <v>-18444.442625000025</v>
      </c>
      <c r="E146" s="86"/>
      <c r="F146" s="77">
        <v>3.9600000000000003E-2</v>
      </c>
      <c r="G146" s="76">
        <f t="shared" si="13"/>
        <v>-1611.56</v>
      </c>
      <c r="H146" s="67">
        <f t="shared" si="12"/>
        <v>-20056.002625000026</v>
      </c>
      <c r="I146" s="75">
        <f t="shared" si="11"/>
        <v>-499184.54079110076</v>
      </c>
    </row>
    <row r="147" spans="1:9" hidden="1" outlineLevel="1" x14ac:dyDescent="0.25">
      <c r="A147" s="71">
        <f t="shared" si="14"/>
        <v>140</v>
      </c>
      <c r="B147" s="66">
        <f t="shared" si="15"/>
        <v>43004</v>
      </c>
      <c r="C147" s="87"/>
      <c r="D147" s="67">
        <v>-149595.89859999984</v>
      </c>
      <c r="E147" s="86"/>
      <c r="F147" s="77">
        <v>3.9600000000000003E-2</v>
      </c>
      <c r="G147" s="76">
        <f t="shared" si="13"/>
        <v>-1894.14</v>
      </c>
      <c r="H147" s="67">
        <f t="shared" si="12"/>
        <v>-151490.03859999985</v>
      </c>
      <c r="I147" s="75">
        <f t="shared" si="11"/>
        <v>-650674.57939110068</v>
      </c>
    </row>
    <row r="148" spans="1:9" hidden="1" outlineLevel="1" x14ac:dyDescent="0.25">
      <c r="A148" s="71">
        <f t="shared" si="14"/>
        <v>141</v>
      </c>
      <c r="B148" s="66">
        <f t="shared" si="15"/>
        <v>43035</v>
      </c>
      <c r="C148" s="87"/>
      <c r="D148" s="67">
        <v>-291809.80427799979</v>
      </c>
      <c r="E148" s="86"/>
      <c r="F148" s="77">
        <v>4.2099999999999999E-2</v>
      </c>
      <c r="G148" s="76">
        <f t="shared" si="13"/>
        <v>-2794.67</v>
      </c>
      <c r="H148" s="67">
        <f t="shared" si="12"/>
        <v>-294604.47427799978</v>
      </c>
      <c r="I148" s="75">
        <f t="shared" si="11"/>
        <v>-945279.05366910039</v>
      </c>
    </row>
    <row r="149" spans="1:9" hidden="1" outlineLevel="1" x14ac:dyDescent="0.25">
      <c r="A149" s="71">
        <f t="shared" si="14"/>
        <v>142</v>
      </c>
      <c r="B149" s="66">
        <f t="shared" si="15"/>
        <v>43066</v>
      </c>
      <c r="C149" s="87">
        <v>1</v>
      </c>
      <c r="D149" s="67">
        <v>16913.827920999844</v>
      </c>
      <c r="E149" s="86">
        <v>502484.6</v>
      </c>
      <c r="F149" s="77">
        <v>4.2099999999999999E-2</v>
      </c>
      <c r="G149" s="76">
        <f t="shared" si="13"/>
        <v>-1523.8</v>
      </c>
      <c r="H149" s="67">
        <f t="shared" si="12"/>
        <v>517874.62792099983</v>
      </c>
      <c r="I149" s="75">
        <f t="shared" si="11"/>
        <v>-427404.42574810056</v>
      </c>
    </row>
    <row r="150" spans="1:9" hidden="1" outlineLevel="1" x14ac:dyDescent="0.25">
      <c r="A150" s="71">
        <f t="shared" si="14"/>
        <v>143</v>
      </c>
      <c r="B150" s="66">
        <f t="shared" si="15"/>
        <v>43097</v>
      </c>
      <c r="C150" s="87"/>
      <c r="D150" s="67">
        <v>-17087.423284000251</v>
      </c>
      <c r="E150" s="86"/>
      <c r="F150" s="77">
        <v>4.2099999999999999E-2</v>
      </c>
      <c r="G150" s="76">
        <f t="shared" si="13"/>
        <v>-1529.45</v>
      </c>
      <c r="H150" s="67">
        <f t="shared" si="12"/>
        <v>-18616.873284000252</v>
      </c>
      <c r="I150" s="75">
        <f t="shared" si="11"/>
        <v>-446021.29903210083</v>
      </c>
    </row>
    <row r="151" spans="1:9" hidden="1" outlineLevel="1" x14ac:dyDescent="0.25">
      <c r="A151" s="71">
        <f t="shared" si="14"/>
        <v>144</v>
      </c>
      <c r="B151" s="82">
        <v>43101</v>
      </c>
      <c r="C151" s="87"/>
      <c r="D151" s="67">
        <v>-60473.59</v>
      </c>
      <c r="E151" s="86"/>
      <c r="F151" s="77">
        <v>4.2500000000000003E-2</v>
      </c>
      <c r="G151" s="76">
        <f t="shared" si="13"/>
        <v>-1686.75</v>
      </c>
      <c r="H151" s="67">
        <f t="shared" si="12"/>
        <v>-62160.34</v>
      </c>
      <c r="I151" s="75">
        <f t="shared" si="11"/>
        <v>-508181.63903210079</v>
      </c>
    </row>
    <row r="152" spans="1:9" hidden="1" outlineLevel="1" x14ac:dyDescent="0.25">
      <c r="A152" s="71">
        <f t="shared" si="14"/>
        <v>145</v>
      </c>
      <c r="B152" s="82">
        <v>43132</v>
      </c>
      <c r="C152" s="87"/>
      <c r="D152" s="67">
        <v>-162473.62387200026</v>
      </c>
      <c r="E152" s="86"/>
      <c r="F152" s="77">
        <v>4.2500000000000003E-2</v>
      </c>
      <c r="G152" s="76">
        <f t="shared" si="13"/>
        <v>-2087.52</v>
      </c>
      <c r="H152" s="67">
        <f t="shared" si="12"/>
        <v>-164561.14387200025</v>
      </c>
      <c r="I152" s="75">
        <f t="shared" ref="I152:I183" si="16">+I151+H152</f>
        <v>-672742.78290410107</v>
      </c>
    </row>
    <row r="153" spans="1:9" hidden="1" outlineLevel="1" x14ac:dyDescent="0.25">
      <c r="A153" s="71">
        <f t="shared" si="14"/>
        <v>146</v>
      </c>
      <c r="B153" s="82">
        <v>43160</v>
      </c>
      <c r="C153" s="87"/>
      <c r="D153" s="67">
        <v>-280210.47632000013</v>
      </c>
      <c r="E153" s="86"/>
      <c r="F153" s="77">
        <v>4.2500000000000003E-2</v>
      </c>
      <c r="G153" s="76">
        <f t="shared" si="13"/>
        <v>-2878.84</v>
      </c>
      <c r="H153" s="67">
        <f t="shared" ref="H153:H184" si="17">SUM(D153:E153,G153)</f>
        <v>-283089.31632000016</v>
      </c>
      <c r="I153" s="75">
        <f t="shared" si="16"/>
        <v>-955832.09922410129</v>
      </c>
    </row>
    <row r="154" spans="1:9" hidden="1" outlineLevel="1" x14ac:dyDescent="0.25">
      <c r="A154" s="71">
        <f t="shared" si="14"/>
        <v>147</v>
      </c>
      <c r="B154" s="82">
        <v>43191</v>
      </c>
      <c r="C154" s="87"/>
      <c r="D154" s="67">
        <v>-407923.54092800012</v>
      </c>
      <c r="E154" s="86"/>
      <c r="F154" s="77">
        <v>4.4699999999999997E-2</v>
      </c>
      <c r="G154" s="76">
        <f t="shared" si="13"/>
        <v>-4320.2299999999996</v>
      </c>
      <c r="H154" s="67">
        <f t="shared" si="17"/>
        <v>-412243.7709280001</v>
      </c>
      <c r="I154" s="75">
        <f t="shared" si="16"/>
        <v>-1368075.8701521014</v>
      </c>
    </row>
    <row r="155" spans="1:9" hidden="1" outlineLevel="1" x14ac:dyDescent="0.25">
      <c r="A155" s="71">
        <f t="shared" si="14"/>
        <v>148</v>
      </c>
      <c r="B155" s="82">
        <v>43221</v>
      </c>
      <c r="C155" s="87"/>
      <c r="D155" s="67">
        <v>-197888.21846400003</v>
      </c>
      <c r="E155" s="86"/>
      <c r="F155" s="77">
        <v>4.4699999999999997E-2</v>
      </c>
      <c r="G155" s="76">
        <f t="shared" si="13"/>
        <v>-5464.65</v>
      </c>
      <c r="H155" s="67">
        <f t="shared" si="17"/>
        <v>-203352.86846400003</v>
      </c>
      <c r="I155" s="75">
        <f t="shared" si="16"/>
        <v>-1571428.7386161014</v>
      </c>
    </row>
    <row r="156" spans="1:9" hidden="1" outlineLevel="1" x14ac:dyDescent="0.25">
      <c r="A156" s="71">
        <f t="shared" si="14"/>
        <v>149</v>
      </c>
      <c r="B156" s="82">
        <v>43252</v>
      </c>
      <c r="C156" s="87"/>
      <c r="D156" s="67">
        <v>-181874.12280399998</v>
      </c>
      <c r="E156" s="86"/>
      <c r="F156" s="77">
        <v>4.4699999999999997E-2</v>
      </c>
      <c r="G156" s="76">
        <f t="shared" si="13"/>
        <v>-6192.31</v>
      </c>
      <c r="H156" s="67">
        <f t="shared" si="17"/>
        <v>-188066.43280399998</v>
      </c>
      <c r="I156" s="75">
        <f t="shared" si="16"/>
        <v>-1759495.1714201015</v>
      </c>
    </row>
    <row r="157" spans="1:9" hidden="1" outlineLevel="1" x14ac:dyDescent="0.25">
      <c r="A157" s="71">
        <f t="shared" si="14"/>
        <v>150</v>
      </c>
      <c r="B157" s="82">
        <v>43282</v>
      </c>
      <c r="C157" s="87"/>
      <c r="D157" s="67">
        <v>-138692.90726000001</v>
      </c>
      <c r="E157" s="86"/>
      <c r="F157" s="77">
        <v>4.6899999999999997E-2</v>
      </c>
      <c r="G157" s="76">
        <f t="shared" si="13"/>
        <v>-7147.72</v>
      </c>
      <c r="H157" s="67">
        <f t="shared" si="17"/>
        <v>-145840.62726000001</v>
      </c>
      <c r="I157" s="75">
        <f t="shared" si="16"/>
        <v>-1905335.7986801015</v>
      </c>
    </row>
    <row r="158" spans="1:9" hidden="1" outlineLevel="1" x14ac:dyDescent="0.25">
      <c r="A158" s="71">
        <f t="shared" si="14"/>
        <v>151</v>
      </c>
      <c r="B158" s="82">
        <v>43313</v>
      </c>
      <c r="C158" s="87"/>
      <c r="D158" s="67">
        <v>-62814.382783999958</v>
      </c>
      <c r="E158" s="86"/>
      <c r="F158" s="77">
        <v>4.6899999999999997E-2</v>
      </c>
      <c r="G158" s="76">
        <f t="shared" si="13"/>
        <v>-7569.44</v>
      </c>
      <c r="H158" s="67">
        <f t="shared" si="17"/>
        <v>-70383.82278399996</v>
      </c>
      <c r="I158" s="75">
        <f t="shared" si="16"/>
        <v>-1975719.6214641016</v>
      </c>
    </row>
    <row r="159" spans="1:9" hidden="1" outlineLevel="1" x14ac:dyDescent="0.25">
      <c r="A159" s="71">
        <f t="shared" si="14"/>
        <v>152</v>
      </c>
      <c r="B159" s="82">
        <v>43344</v>
      </c>
      <c r="C159" s="87"/>
      <c r="D159" s="67">
        <v>-136799.79808900016</v>
      </c>
      <c r="E159" s="86"/>
      <c r="F159" s="77">
        <v>4.6899999999999997E-2</v>
      </c>
      <c r="G159" s="76">
        <f t="shared" si="13"/>
        <v>-7989.1</v>
      </c>
      <c r="H159" s="67">
        <f t="shared" si="17"/>
        <v>-144788.89808900017</v>
      </c>
      <c r="I159" s="75">
        <f t="shared" si="16"/>
        <v>-2120508.5195531016</v>
      </c>
    </row>
    <row r="160" spans="1:9" hidden="1" outlineLevel="1" x14ac:dyDescent="0.25">
      <c r="A160" s="71">
        <f t="shared" si="14"/>
        <v>153</v>
      </c>
      <c r="B160" s="82">
        <v>43374</v>
      </c>
      <c r="C160" s="87"/>
      <c r="D160" s="67">
        <v>-171187.56944600004</v>
      </c>
      <c r="E160" s="86"/>
      <c r="F160" s="88">
        <v>4.9599999999999998E-2</v>
      </c>
      <c r="G160" s="76">
        <f t="shared" ref="G160:G191" si="18">ROUND((+I159+E160+(D160/2))*F160/12,2)</f>
        <v>-9118.56</v>
      </c>
      <c r="H160" s="67">
        <f t="shared" si="17"/>
        <v>-180306.12944600004</v>
      </c>
      <c r="I160" s="75">
        <f t="shared" si="16"/>
        <v>-2300814.6489991015</v>
      </c>
    </row>
    <row r="161" spans="1:9" hidden="1" outlineLevel="1" x14ac:dyDescent="0.25">
      <c r="A161" s="71">
        <f t="shared" si="14"/>
        <v>154</v>
      </c>
      <c r="B161" s="82">
        <v>43405</v>
      </c>
      <c r="C161" s="87">
        <v>1</v>
      </c>
      <c r="D161" s="67">
        <v>950778.20533500053</v>
      </c>
      <c r="E161" s="86">
        <v>1991639.6114641016</v>
      </c>
      <c r="F161" s="88">
        <v>4.9599999999999998E-2</v>
      </c>
      <c r="G161" s="76">
        <f t="shared" si="18"/>
        <v>687.02</v>
      </c>
      <c r="H161" s="67">
        <f t="shared" si="17"/>
        <v>2943104.8367991024</v>
      </c>
      <c r="I161" s="75">
        <f t="shared" si="16"/>
        <v>642290.18780000089</v>
      </c>
    </row>
    <row r="162" spans="1:9" hidden="1" outlineLevel="1" x14ac:dyDescent="0.25">
      <c r="A162" s="71">
        <f t="shared" si="14"/>
        <v>155</v>
      </c>
      <c r="B162" s="82">
        <v>43435</v>
      </c>
      <c r="C162" s="87"/>
      <c r="D162" s="67">
        <v>701599.81078328099</v>
      </c>
      <c r="E162" s="86"/>
      <c r="F162" s="88">
        <v>4.9599999999999998E-2</v>
      </c>
      <c r="G162" s="76">
        <f t="shared" si="18"/>
        <v>4104.7700000000004</v>
      </c>
      <c r="H162" s="67">
        <f t="shared" si="17"/>
        <v>705704.58078328101</v>
      </c>
      <c r="I162" s="75">
        <f t="shared" si="16"/>
        <v>1347994.7685832819</v>
      </c>
    </row>
    <row r="163" spans="1:9" hidden="1" outlineLevel="1" x14ac:dyDescent="0.25">
      <c r="A163" s="71">
        <f t="shared" si="14"/>
        <v>156</v>
      </c>
      <c r="B163" s="82">
        <v>43466</v>
      </c>
      <c r="C163" s="87"/>
      <c r="D163" s="67">
        <v>388675.61577244988</v>
      </c>
      <c r="E163" s="86"/>
      <c r="F163" s="88">
        <v>5.1799999999999999E-2</v>
      </c>
      <c r="G163" s="76">
        <f t="shared" si="18"/>
        <v>6657.74</v>
      </c>
      <c r="H163" s="67">
        <f t="shared" si="17"/>
        <v>395333.35577244987</v>
      </c>
      <c r="I163" s="75">
        <f t="shared" si="16"/>
        <v>1743328.1243557318</v>
      </c>
    </row>
    <row r="164" spans="1:9" hidden="1" outlineLevel="1" x14ac:dyDescent="0.25">
      <c r="A164" s="71">
        <f t="shared" si="14"/>
        <v>157</v>
      </c>
      <c r="B164" s="82">
        <v>43497</v>
      </c>
      <c r="C164" s="87"/>
      <c r="D164" s="67">
        <v>1216886.1177600003</v>
      </c>
      <c r="E164" s="86"/>
      <c r="F164" s="88">
        <v>5.1799999999999999E-2</v>
      </c>
      <c r="G164" s="76">
        <f t="shared" si="18"/>
        <v>10151.81</v>
      </c>
      <c r="H164" s="67">
        <f t="shared" si="17"/>
        <v>1227037.9277600003</v>
      </c>
      <c r="I164" s="75">
        <f t="shared" si="16"/>
        <v>2970366.0521157319</v>
      </c>
    </row>
    <row r="165" spans="1:9" hidden="1" outlineLevel="1" x14ac:dyDescent="0.25">
      <c r="A165" s="71">
        <f t="shared" si="14"/>
        <v>158</v>
      </c>
      <c r="B165" s="82">
        <v>43525</v>
      </c>
      <c r="C165" s="87"/>
      <c r="D165" s="67">
        <v>561925.9502249998</v>
      </c>
      <c r="E165" s="86"/>
      <c r="F165" s="88">
        <v>5.1799999999999999E-2</v>
      </c>
      <c r="G165" s="76">
        <f t="shared" si="18"/>
        <v>14034.9</v>
      </c>
      <c r="H165" s="67">
        <f t="shared" si="17"/>
        <v>575960.85022499983</v>
      </c>
      <c r="I165" s="75">
        <f t="shared" si="16"/>
        <v>3546326.9023407316</v>
      </c>
    </row>
    <row r="166" spans="1:9" hidden="1" outlineLevel="1" x14ac:dyDescent="0.25">
      <c r="A166" s="71">
        <f t="shared" si="14"/>
        <v>159</v>
      </c>
      <c r="B166" s="82">
        <v>43556</v>
      </c>
      <c r="C166" s="87"/>
      <c r="D166" s="67">
        <v>-251479.4393180511</v>
      </c>
      <c r="E166" s="86"/>
      <c r="F166" s="88">
        <v>5.45E-2</v>
      </c>
      <c r="G166" s="76">
        <f t="shared" si="18"/>
        <v>15535.17</v>
      </c>
      <c r="H166" s="67">
        <f t="shared" si="17"/>
        <v>-235944.26931805108</v>
      </c>
      <c r="I166" s="75">
        <f t="shared" si="16"/>
        <v>3310382.6330226804</v>
      </c>
    </row>
    <row r="167" spans="1:9" hidden="1" outlineLevel="1" x14ac:dyDescent="0.25">
      <c r="A167" s="71">
        <f t="shared" si="14"/>
        <v>160</v>
      </c>
      <c r="B167" s="82">
        <v>43586</v>
      </c>
      <c r="C167" s="87"/>
      <c r="D167" s="67">
        <v>-240347.44889643404</v>
      </c>
      <c r="E167" s="86"/>
      <c r="F167" s="88">
        <v>5.45E-2</v>
      </c>
      <c r="G167" s="76">
        <f t="shared" si="18"/>
        <v>14488.87</v>
      </c>
      <c r="H167" s="67">
        <f t="shared" si="17"/>
        <v>-225858.57889643405</v>
      </c>
      <c r="I167" s="75">
        <f t="shared" si="16"/>
        <v>3084524.0541262464</v>
      </c>
    </row>
    <row r="168" spans="1:9" hidden="1" outlineLevel="1" x14ac:dyDescent="0.25">
      <c r="A168" s="71">
        <f t="shared" si="14"/>
        <v>161</v>
      </c>
      <c r="B168" s="82">
        <v>43617</v>
      </c>
      <c r="C168" s="87"/>
      <c r="D168" s="67">
        <v>-199222.30125700001</v>
      </c>
      <c r="E168" s="86"/>
      <c r="F168" s="88">
        <v>5.45E-2</v>
      </c>
      <c r="G168" s="76">
        <f t="shared" si="18"/>
        <v>13556.48</v>
      </c>
      <c r="H168" s="67">
        <f t="shared" si="17"/>
        <v>-185665.821257</v>
      </c>
      <c r="I168" s="75">
        <f t="shared" si="16"/>
        <v>2898858.2328692465</v>
      </c>
    </row>
    <row r="169" spans="1:9" hidden="1" outlineLevel="1" x14ac:dyDescent="0.25">
      <c r="A169" s="71">
        <f t="shared" si="14"/>
        <v>162</v>
      </c>
      <c r="B169" s="82">
        <v>43647</v>
      </c>
      <c r="C169" s="87"/>
      <c r="D169" s="67">
        <v>-115634.95162399998</v>
      </c>
      <c r="E169" s="86"/>
      <c r="F169" s="88">
        <v>5.5E-2</v>
      </c>
      <c r="G169" s="76">
        <f t="shared" si="18"/>
        <v>13021.44</v>
      </c>
      <c r="H169" s="67">
        <f t="shared" si="17"/>
        <v>-102613.51162399998</v>
      </c>
      <c r="I169" s="75">
        <f t="shared" si="16"/>
        <v>2796244.7212452465</v>
      </c>
    </row>
    <row r="170" spans="1:9" hidden="1" outlineLevel="1" x14ac:dyDescent="0.25">
      <c r="A170" s="71">
        <f t="shared" si="14"/>
        <v>163</v>
      </c>
      <c r="B170" s="82">
        <v>43678</v>
      </c>
      <c r="C170" s="87"/>
      <c r="D170" s="67">
        <v>-104459.36503015843</v>
      </c>
      <c r="E170" s="86"/>
      <c r="F170" s="88">
        <v>5.5E-2</v>
      </c>
      <c r="G170" s="76">
        <f t="shared" si="18"/>
        <v>12576.74</v>
      </c>
      <c r="H170" s="67">
        <f t="shared" si="17"/>
        <v>-91882.625030158422</v>
      </c>
      <c r="I170" s="75">
        <f t="shared" si="16"/>
        <v>2704362.0962150879</v>
      </c>
    </row>
    <row r="171" spans="1:9" hidden="1" outlineLevel="1" x14ac:dyDescent="0.25">
      <c r="A171" s="71">
        <f t="shared" si="14"/>
        <v>164</v>
      </c>
      <c r="B171" s="82">
        <v>43709</v>
      </c>
      <c r="C171" s="87"/>
      <c r="D171" s="67">
        <v>-228609.43098243204</v>
      </c>
      <c r="E171" s="86"/>
      <c r="F171" s="88">
        <v>5.5E-2</v>
      </c>
      <c r="G171" s="76">
        <f t="shared" si="18"/>
        <v>11871.1</v>
      </c>
      <c r="H171" s="67">
        <f t="shared" si="17"/>
        <v>-216738.33098243203</v>
      </c>
      <c r="I171" s="75">
        <f t="shared" si="16"/>
        <v>2487623.7652326557</v>
      </c>
    </row>
    <row r="172" spans="1:9" hidden="1" outlineLevel="1" x14ac:dyDescent="0.25">
      <c r="A172" s="71">
        <f t="shared" si="14"/>
        <v>165</v>
      </c>
      <c r="B172" s="82">
        <v>43739</v>
      </c>
      <c r="C172" s="87"/>
      <c r="D172" s="67">
        <v>-164080.03691068734</v>
      </c>
      <c r="E172" s="86"/>
      <c r="F172" s="79">
        <v>5.4199999999999998E-2</v>
      </c>
      <c r="G172" s="76">
        <f t="shared" si="18"/>
        <v>10865.22</v>
      </c>
      <c r="H172" s="67">
        <f t="shared" si="17"/>
        <v>-153214.81691068734</v>
      </c>
      <c r="I172" s="75">
        <f t="shared" si="16"/>
        <v>2334408.9483219683</v>
      </c>
    </row>
    <row r="173" spans="1:9" hidden="1" outlineLevel="1" x14ac:dyDescent="0.25">
      <c r="A173" s="71">
        <f t="shared" si="14"/>
        <v>166</v>
      </c>
      <c r="B173" s="82">
        <v>43770</v>
      </c>
      <c r="C173" s="87">
        <v>1</v>
      </c>
      <c r="D173" s="67">
        <v>484578.30990011711</v>
      </c>
      <c r="E173" s="80">
        <v>-2729027.78</v>
      </c>
      <c r="F173" s="79">
        <v>5.4199999999999998E-2</v>
      </c>
      <c r="G173" s="76">
        <f t="shared" si="18"/>
        <v>-688.02</v>
      </c>
      <c r="H173" s="67">
        <f t="shared" si="17"/>
        <v>-2245137.4900998827</v>
      </c>
      <c r="I173" s="75">
        <f t="shared" si="16"/>
        <v>89271.45822208561</v>
      </c>
    </row>
    <row r="174" spans="1:9" hidden="1" outlineLevel="1" x14ac:dyDescent="0.25">
      <c r="A174" s="71">
        <f t="shared" si="14"/>
        <v>167</v>
      </c>
      <c r="B174" s="82">
        <v>43800</v>
      </c>
      <c r="C174" s="87"/>
      <c r="D174" s="67">
        <v>728482.49452461628</v>
      </c>
      <c r="E174" s="86"/>
      <c r="F174" s="79">
        <v>5.4199999999999998E-2</v>
      </c>
      <c r="G174" s="76">
        <f t="shared" si="18"/>
        <v>2048.37</v>
      </c>
      <c r="H174" s="67">
        <f t="shared" si="17"/>
        <v>730530.86452461628</v>
      </c>
      <c r="I174" s="75">
        <f t="shared" si="16"/>
        <v>819802.32274670189</v>
      </c>
    </row>
    <row r="175" spans="1:9" hidden="1" outlineLevel="1" x14ac:dyDescent="0.25">
      <c r="A175" s="71">
        <f t="shared" si="14"/>
        <v>168</v>
      </c>
      <c r="B175" s="82">
        <v>43831</v>
      </c>
      <c r="C175" s="87"/>
      <c r="D175" s="67">
        <v>338852.2272536112</v>
      </c>
      <c r="E175" s="86"/>
      <c r="F175" s="79">
        <v>4.9599999999999998E-2</v>
      </c>
      <c r="G175" s="76">
        <f t="shared" si="18"/>
        <v>4088.81</v>
      </c>
      <c r="H175" s="67">
        <f t="shared" si="17"/>
        <v>342941.0372536112</v>
      </c>
      <c r="I175" s="75">
        <f t="shared" si="16"/>
        <v>1162743.360000313</v>
      </c>
    </row>
    <row r="176" spans="1:9" hidden="1" outlineLevel="1" x14ac:dyDescent="0.25">
      <c r="A176" s="71">
        <f t="shared" si="14"/>
        <v>169</v>
      </c>
      <c r="B176" s="82">
        <v>43862</v>
      </c>
      <c r="D176" s="67">
        <v>-20154.040065271634</v>
      </c>
      <c r="E176" s="66"/>
      <c r="F176" s="79">
        <v>4.9599999999999998E-2</v>
      </c>
      <c r="G176" s="76">
        <f t="shared" si="18"/>
        <v>4764.3500000000004</v>
      </c>
      <c r="H176" s="67">
        <f t="shared" si="17"/>
        <v>-15389.690065271634</v>
      </c>
      <c r="I176" s="75">
        <f t="shared" si="16"/>
        <v>1147353.6699350413</v>
      </c>
    </row>
    <row r="177" spans="1:9" hidden="1" outlineLevel="1" x14ac:dyDescent="0.25">
      <c r="A177" s="71">
        <f t="shared" si="14"/>
        <v>170</v>
      </c>
      <c r="B177" s="82">
        <v>43891</v>
      </c>
      <c r="D177" s="67">
        <v>-188263.82422603262</v>
      </c>
      <c r="E177" s="66"/>
      <c r="F177" s="79">
        <v>4.9599999999999998E-2</v>
      </c>
      <c r="G177" s="76">
        <f t="shared" si="18"/>
        <v>4353.32</v>
      </c>
      <c r="H177" s="67">
        <f t="shared" si="17"/>
        <v>-183910.50422603262</v>
      </c>
      <c r="I177" s="75">
        <f t="shared" si="16"/>
        <v>963443.1657090087</v>
      </c>
    </row>
    <row r="178" spans="1:9" hidden="1" outlineLevel="1" x14ac:dyDescent="0.25">
      <c r="A178" s="71">
        <f t="shared" si="14"/>
        <v>171</v>
      </c>
      <c r="B178" s="82">
        <v>43922</v>
      </c>
      <c r="D178" s="67">
        <v>-293940.53968449484</v>
      </c>
      <c r="E178" s="66"/>
      <c r="F178" s="79">
        <v>4.7500000000000001E-2</v>
      </c>
      <c r="G178" s="76">
        <f t="shared" si="18"/>
        <v>3231.87</v>
      </c>
      <c r="H178" s="67">
        <f t="shared" si="17"/>
        <v>-290708.66968449485</v>
      </c>
      <c r="I178" s="75">
        <f t="shared" si="16"/>
        <v>672734.49602451385</v>
      </c>
    </row>
    <row r="179" spans="1:9" hidden="1" outlineLevel="1" x14ac:dyDescent="0.25">
      <c r="A179" s="71">
        <f t="shared" si="14"/>
        <v>172</v>
      </c>
      <c r="B179" s="82">
        <v>43952</v>
      </c>
      <c r="D179" s="67">
        <v>-109023.61758603796</v>
      </c>
      <c r="E179" s="66"/>
      <c r="F179" s="79">
        <v>4.7500000000000001E-2</v>
      </c>
      <c r="G179" s="76">
        <f t="shared" si="18"/>
        <v>2447.13</v>
      </c>
      <c r="H179" s="67">
        <f t="shared" si="17"/>
        <v>-106576.48758603795</v>
      </c>
      <c r="I179" s="75">
        <f t="shared" si="16"/>
        <v>566158.0084384759</v>
      </c>
    </row>
    <row r="180" spans="1:9" hidden="1" outlineLevel="1" x14ac:dyDescent="0.25">
      <c r="A180" s="71">
        <f t="shared" si="14"/>
        <v>173</v>
      </c>
      <c r="B180" s="82">
        <v>43983</v>
      </c>
      <c r="D180" s="67">
        <v>-141885.02264002588</v>
      </c>
      <c r="E180" s="66"/>
      <c r="F180" s="79">
        <v>4.7500000000000001E-2</v>
      </c>
      <c r="G180" s="76">
        <f t="shared" si="18"/>
        <v>1960.23</v>
      </c>
      <c r="H180" s="67">
        <f t="shared" si="17"/>
        <v>-139924.79264002587</v>
      </c>
      <c r="I180" s="75">
        <f t="shared" si="16"/>
        <v>426233.21579845005</v>
      </c>
    </row>
    <row r="181" spans="1:9" hidden="1" outlineLevel="1" x14ac:dyDescent="0.25">
      <c r="A181" s="71">
        <f t="shared" si="14"/>
        <v>174</v>
      </c>
      <c r="B181" s="82">
        <v>44013</v>
      </c>
      <c r="D181" s="67">
        <v>-99528.150117065248</v>
      </c>
      <c r="E181" s="66"/>
      <c r="F181" s="79">
        <v>3.4299999999999997E-2</v>
      </c>
      <c r="G181" s="76">
        <f t="shared" si="18"/>
        <v>1076.07</v>
      </c>
      <c r="H181" s="67">
        <f t="shared" si="17"/>
        <v>-98452.080117065241</v>
      </c>
      <c r="I181" s="75">
        <f t="shared" si="16"/>
        <v>327781.13568138483</v>
      </c>
    </row>
    <row r="182" spans="1:9" hidden="1" outlineLevel="1" x14ac:dyDescent="0.25">
      <c r="A182" s="71">
        <f t="shared" si="14"/>
        <v>175</v>
      </c>
      <c r="B182" s="82">
        <v>44044</v>
      </c>
      <c r="D182" s="67">
        <v>-58301.158791474169</v>
      </c>
      <c r="E182" s="66"/>
      <c r="F182" s="79">
        <v>3.4299999999999997E-2</v>
      </c>
      <c r="G182" s="76">
        <f t="shared" si="18"/>
        <v>853.59</v>
      </c>
      <c r="H182" s="67">
        <f t="shared" si="17"/>
        <v>-57447.568791474172</v>
      </c>
      <c r="I182" s="75">
        <f t="shared" si="16"/>
        <v>270333.56688991067</v>
      </c>
    </row>
    <row r="183" spans="1:9" hidden="1" outlineLevel="1" x14ac:dyDescent="0.25">
      <c r="A183" s="71">
        <f t="shared" si="14"/>
        <v>176</v>
      </c>
      <c r="B183" s="82">
        <v>44075</v>
      </c>
      <c r="D183" s="67">
        <v>23984.098093772249</v>
      </c>
      <c r="E183" s="66"/>
      <c r="F183" s="79">
        <v>3.4299999999999997E-2</v>
      </c>
      <c r="G183" s="76">
        <f t="shared" si="18"/>
        <v>806.98</v>
      </c>
      <c r="H183" s="67">
        <f t="shared" si="17"/>
        <v>24791.078093772248</v>
      </c>
      <c r="I183" s="75">
        <f t="shared" si="16"/>
        <v>295124.6449836829</v>
      </c>
    </row>
    <row r="184" spans="1:9" hidden="1" outlineLevel="1" x14ac:dyDescent="0.25">
      <c r="A184" s="71">
        <f t="shared" si="14"/>
        <v>177</v>
      </c>
      <c r="B184" s="82">
        <v>44105</v>
      </c>
      <c r="D184" s="67">
        <v>127005.09749636115</v>
      </c>
      <c r="E184" s="66"/>
      <c r="F184" s="79">
        <v>3.2500000000000001E-2</v>
      </c>
      <c r="G184" s="76">
        <f t="shared" si="18"/>
        <v>971.28</v>
      </c>
      <c r="H184" s="67">
        <f t="shared" si="17"/>
        <v>127976.37749636115</v>
      </c>
      <c r="I184" s="75">
        <f t="shared" ref="I184:I215" si="19">+I183+H184</f>
        <v>423101.02248004405</v>
      </c>
    </row>
    <row r="185" spans="1:9" hidden="1" outlineLevel="1" collapsed="1" x14ac:dyDescent="0.25">
      <c r="A185" s="71">
        <f t="shared" si="14"/>
        <v>178</v>
      </c>
      <c r="B185" s="82">
        <v>44136</v>
      </c>
      <c r="C185" s="81" t="s">
        <v>321</v>
      </c>
      <c r="D185" s="67">
        <v>191723.21801759163</v>
      </c>
      <c r="E185" s="80">
        <v>-271881.18</v>
      </c>
      <c r="F185" s="79">
        <v>3.2500000000000001E-2</v>
      </c>
      <c r="G185" s="76">
        <f t="shared" si="18"/>
        <v>669.18</v>
      </c>
      <c r="H185" s="67">
        <f t="shared" ref="H185:H216" si="20">SUM(D185:E185,G185)</f>
        <v>-79488.781982408371</v>
      </c>
      <c r="I185" s="75">
        <f t="shared" si="19"/>
        <v>343612.24049763568</v>
      </c>
    </row>
    <row r="186" spans="1:9" hidden="1" outlineLevel="1" x14ac:dyDescent="0.25">
      <c r="A186" s="71">
        <f t="shared" si="14"/>
        <v>179</v>
      </c>
      <c r="B186" s="82">
        <v>44166</v>
      </c>
      <c r="D186" s="67">
        <v>56623.828687272966</v>
      </c>
      <c r="E186" s="66"/>
      <c r="F186" s="79">
        <v>3.2500000000000001E-2</v>
      </c>
      <c r="G186" s="76">
        <f t="shared" si="18"/>
        <v>1007.29</v>
      </c>
      <c r="H186" s="67">
        <f t="shared" si="20"/>
        <v>57631.118687272967</v>
      </c>
      <c r="I186" s="75">
        <f t="shared" si="19"/>
        <v>401243.35918490862</v>
      </c>
    </row>
    <row r="187" spans="1:9" hidden="1" outlineLevel="1" x14ac:dyDescent="0.25">
      <c r="A187" s="71">
        <f t="shared" si="14"/>
        <v>180</v>
      </c>
      <c r="B187" s="82">
        <v>44197</v>
      </c>
      <c r="D187" s="67">
        <v>47600.121752672458</v>
      </c>
      <c r="E187" s="66"/>
      <c r="F187" s="79">
        <v>3.2500000000000001E-2</v>
      </c>
      <c r="G187" s="76">
        <f t="shared" si="18"/>
        <v>1151.1600000000001</v>
      </c>
      <c r="H187" s="67">
        <f t="shared" si="20"/>
        <v>48751.281752672461</v>
      </c>
      <c r="I187" s="75">
        <f t="shared" si="19"/>
        <v>449994.64093758108</v>
      </c>
    </row>
    <row r="188" spans="1:9" hidden="1" outlineLevel="1" x14ac:dyDescent="0.25">
      <c r="A188" s="71">
        <f t="shared" si="14"/>
        <v>181</v>
      </c>
      <c r="B188" s="82">
        <v>44228</v>
      </c>
      <c r="D188" s="67">
        <v>3152891.7168109696</v>
      </c>
      <c r="E188" s="66"/>
      <c r="F188" s="79">
        <v>3.2500000000000001E-2</v>
      </c>
      <c r="G188" s="76">
        <f t="shared" si="18"/>
        <v>5488.28</v>
      </c>
      <c r="H188" s="67">
        <f t="shared" si="20"/>
        <v>3158379.9968109694</v>
      </c>
      <c r="I188" s="75">
        <f t="shared" si="19"/>
        <v>3608374.6377485506</v>
      </c>
    </row>
    <row r="189" spans="1:9" hidden="1" outlineLevel="1" x14ac:dyDescent="0.25">
      <c r="A189" s="71">
        <f t="shared" si="14"/>
        <v>182</v>
      </c>
      <c r="B189" s="82">
        <v>44256</v>
      </c>
      <c r="D189" s="67">
        <v>173675.69248649309</v>
      </c>
      <c r="E189" s="66"/>
      <c r="F189" s="79">
        <v>3.2500000000000001E-2</v>
      </c>
      <c r="G189" s="76">
        <f t="shared" si="18"/>
        <v>10007.870000000001</v>
      </c>
      <c r="H189" s="67">
        <f t="shared" si="20"/>
        <v>183683.56248649309</v>
      </c>
      <c r="I189" s="75">
        <f t="shared" si="19"/>
        <v>3792058.2002350437</v>
      </c>
    </row>
    <row r="190" spans="1:9" hidden="1" outlineLevel="1" x14ac:dyDescent="0.25">
      <c r="A190" s="71">
        <f t="shared" si="14"/>
        <v>183</v>
      </c>
      <c r="B190" s="82">
        <v>44287</v>
      </c>
      <c r="D190" s="67">
        <v>-117151.50315940171</v>
      </c>
      <c r="E190" s="66"/>
      <c r="F190" s="79">
        <v>3.2500000000000001E-2</v>
      </c>
      <c r="G190" s="76">
        <f t="shared" si="18"/>
        <v>10111.51</v>
      </c>
      <c r="H190" s="67">
        <f t="shared" si="20"/>
        <v>-107039.99315940171</v>
      </c>
      <c r="I190" s="75">
        <f t="shared" si="19"/>
        <v>3685018.207075642</v>
      </c>
    </row>
    <row r="191" spans="1:9" hidden="1" outlineLevel="1" x14ac:dyDescent="0.25">
      <c r="A191" s="71">
        <f t="shared" si="14"/>
        <v>184</v>
      </c>
      <c r="B191" s="82">
        <v>44317</v>
      </c>
      <c r="D191" s="67">
        <v>1767.2309658659869</v>
      </c>
      <c r="E191" s="66"/>
      <c r="F191" s="79">
        <v>3.2500000000000001E-2</v>
      </c>
      <c r="G191" s="76">
        <f t="shared" si="18"/>
        <v>9982.65</v>
      </c>
      <c r="H191" s="67">
        <f t="shared" si="20"/>
        <v>11749.880965865987</v>
      </c>
      <c r="I191" s="75">
        <f t="shared" si="19"/>
        <v>3696768.0880415081</v>
      </c>
    </row>
    <row r="192" spans="1:9" hidden="1" outlineLevel="1" x14ac:dyDescent="0.25">
      <c r="A192" s="71">
        <f t="shared" si="14"/>
        <v>185</v>
      </c>
      <c r="B192" s="82">
        <v>44348</v>
      </c>
      <c r="D192" s="67">
        <v>54300.440563458367</v>
      </c>
      <c r="E192" s="66"/>
      <c r="F192" s="79">
        <v>3.2500000000000001E-2</v>
      </c>
      <c r="G192" s="76">
        <f t="shared" ref="G192:G223" si="21">ROUND((+I191+E192+(D192/2))*F192/12,2)</f>
        <v>10085.61</v>
      </c>
      <c r="H192" s="67">
        <f t="shared" si="20"/>
        <v>64386.050563458368</v>
      </c>
      <c r="I192" s="75">
        <f t="shared" si="19"/>
        <v>3761154.1386049665</v>
      </c>
    </row>
    <row r="193" spans="1:9" hidden="1" outlineLevel="1" x14ac:dyDescent="0.25">
      <c r="A193" s="71">
        <f t="shared" si="14"/>
        <v>186</v>
      </c>
      <c r="B193" s="82">
        <v>44378</v>
      </c>
      <c r="D193" s="67">
        <v>160746.53413712996</v>
      </c>
      <c r="E193" s="66"/>
      <c r="F193" s="79">
        <v>3.2500000000000001E-2</v>
      </c>
      <c r="G193" s="76">
        <f t="shared" si="21"/>
        <v>10404.14</v>
      </c>
      <c r="H193" s="67">
        <f t="shared" si="20"/>
        <v>171150.67413712997</v>
      </c>
      <c r="I193" s="75">
        <f t="shared" si="19"/>
        <v>3932304.8127420964</v>
      </c>
    </row>
    <row r="194" spans="1:9" hidden="1" outlineLevel="1" x14ac:dyDescent="0.25">
      <c r="A194" s="71">
        <f t="shared" si="14"/>
        <v>187</v>
      </c>
      <c r="B194" s="82">
        <v>44409</v>
      </c>
      <c r="D194" s="67">
        <v>197841.65287631607</v>
      </c>
      <c r="E194" s="66"/>
      <c r="F194" s="79">
        <v>3.2500000000000001E-2</v>
      </c>
      <c r="G194" s="76">
        <f t="shared" si="21"/>
        <v>10917.9</v>
      </c>
      <c r="H194" s="67">
        <f t="shared" si="20"/>
        <v>208759.55287631607</v>
      </c>
      <c r="I194" s="75">
        <f t="shared" si="19"/>
        <v>4141064.3656184124</v>
      </c>
    </row>
    <row r="195" spans="1:9" hidden="1" outlineLevel="1" x14ac:dyDescent="0.25">
      <c r="A195" s="71">
        <f t="shared" si="14"/>
        <v>188</v>
      </c>
      <c r="B195" s="82">
        <v>44440</v>
      </c>
      <c r="D195" s="67">
        <v>442685.75143191172</v>
      </c>
      <c r="E195" s="66"/>
      <c r="F195" s="79">
        <v>3.2500000000000001E-2</v>
      </c>
      <c r="G195" s="76">
        <f t="shared" si="21"/>
        <v>11814.85</v>
      </c>
      <c r="H195" s="67">
        <f t="shared" si="20"/>
        <v>454500.60143191169</v>
      </c>
      <c r="I195" s="75">
        <f t="shared" si="19"/>
        <v>4595564.9670503242</v>
      </c>
    </row>
    <row r="196" spans="1:9" hidden="1" outlineLevel="1" x14ac:dyDescent="0.25">
      <c r="A196" s="71">
        <f t="shared" si="14"/>
        <v>189</v>
      </c>
      <c r="B196" s="82">
        <v>44470</v>
      </c>
      <c r="D196" s="67">
        <f>964960.13</f>
        <v>964960.13</v>
      </c>
      <c r="E196" s="66"/>
      <c r="F196" s="79">
        <v>3.2500000000000001E-2</v>
      </c>
      <c r="G196" s="76">
        <f t="shared" si="21"/>
        <v>13753.04</v>
      </c>
      <c r="H196" s="67">
        <f t="shared" si="20"/>
        <v>978713.17</v>
      </c>
      <c r="I196" s="75">
        <f t="shared" si="19"/>
        <v>5574278.1370503241</v>
      </c>
    </row>
    <row r="197" spans="1:9" hidden="1" outlineLevel="1" collapsed="1" x14ac:dyDescent="0.25">
      <c r="A197" s="71">
        <f t="shared" si="14"/>
        <v>190</v>
      </c>
      <c r="B197" s="82">
        <v>44521</v>
      </c>
      <c r="C197" s="81" t="s">
        <v>321</v>
      </c>
      <c r="D197" s="67">
        <v>356574.92</v>
      </c>
      <c r="E197" s="80">
        <v>-4163525.5056184125</v>
      </c>
      <c r="F197" s="79">
        <v>3.2500000000000001E-2</v>
      </c>
      <c r="G197" s="76">
        <f t="shared" si="21"/>
        <v>4303.6499999999996</v>
      </c>
      <c r="H197" s="67">
        <f t="shared" si="20"/>
        <v>-3802646.9356184127</v>
      </c>
      <c r="I197" s="75">
        <f t="shared" si="19"/>
        <v>1771631.2014319114</v>
      </c>
    </row>
    <row r="198" spans="1:9" hidden="1" outlineLevel="1" x14ac:dyDescent="0.25">
      <c r="A198" s="71">
        <f t="shared" si="14"/>
        <v>191</v>
      </c>
      <c r="B198" s="82">
        <v>44561</v>
      </c>
      <c r="C198" s="81"/>
      <c r="D198" s="67">
        <v>1043088.5</v>
      </c>
      <c r="E198" s="80"/>
      <c r="F198" s="79">
        <v>3.2500000000000001E-2</v>
      </c>
      <c r="G198" s="76">
        <f t="shared" si="21"/>
        <v>6210.68</v>
      </c>
      <c r="H198" s="67">
        <f t="shared" si="20"/>
        <v>1049299.18</v>
      </c>
      <c r="I198" s="75">
        <f t="shared" si="19"/>
        <v>2820930.3814319111</v>
      </c>
    </row>
    <row r="199" spans="1:9" hidden="1" outlineLevel="1" x14ac:dyDescent="0.25">
      <c r="A199" s="71">
        <f t="shared" si="14"/>
        <v>192</v>
      </c>
      <c r="B199" s="82">
        <v>44562</v>
      </c>
      <c r="C199" s="81"/>
      <c r="D199" s="67">
        <v>1007957.8629637449</v>
      </c>
      <c r="E199" s="80"/>
      <c r="F199" s="79">
        <v>3.2500000000000001E-2</v>
      </c>
      <c r="G199" s="76">
        <f t="shared" si="21"/>
        <v>9004.9599999999991</v>
      </c>
      <c r="H199" s="67">
        <f t="shared" si="20"/>
        <v>1016962.8229637449</v>
      </c>
      <c r="I199" s="75">
        <f t="shared" si="19"/>
        <v>3837893.204395656</v>
      </c>
    </row>
    <row r="200" spans="1:9" hidden="1" outlineLevel="1" x14ac:dyDescent="0.25">
      <c r="A200" s="71">
        <f t="shared" si="14"/>
        <v>193</v>
      </c>
      <c r="B200" s="82">
        <v>44594</v>
      </c>
      <c r="C200" s="81"/>
      <c r="D200" s="67">
        <v>794853.74706715741</v>
      </c>
      <c r="E200" s="80"/>
      <c r="F200" s="79">
        <v>3.2500000000000001E-2</v>
      </c>
      <c r="G200" s="76">
        <f t="shared" si="21"/>
        <v>11470.66</v>
      </c>
      <c r="H200" s="67">
        <f t="shared" si="20"/>
        <v>806324.40706715744</v>
      </c>
      <c r="I200" s="75">
        <f t="shared" si="19"/>
        <v>4644217.6114628138</v>
      </c>
    </row>
    <row r="201" spans="1:9" hidden="1" outlineLevel="1" x14ac:dyDescent="0.25">
      <c r="A201" s="71">
        <f t="shared" ref="A201:A238" si="22">+A200+1</f>
        <v>194</v>
      </c>
      <c r="B201" s="82">
        <v>44626</v>
      </c>
      <c r="C201" s="81"/>
      <c r="D201" s="67">
        <v>456616.13110740745</v>
      </c>
      <c r="E201" s="80"/>
      <c r="F201" s="79">
        <v>3.2500000000000001E-2</v>
      </c>
      <c r="G201" s="76">
        <f t="shared" si="21"/>
        <v>13196.42</v>
      </c>
      <c r="H201" s="67">
        <f t="shared" si="20"/>
        <v>469812.55110740743</v>
      </c>
      <c r="I201" s="75">
        <f t="shared" si="19"/>
        <v>5114030.1625702213</v>
      </c>
    </row>
    <row r="202" spans="1:9" hidden="1" outlineLevel="1" x14ac:dyDescent="0.25">
      <c r="A202" s="71">
        <f t="shared" si="22"/>
        <v>195</v>
      </c>
      <c r="B202" s="82">
        <v>44658</v>
      </c>
      <c r="C202" s="81"/>
      <c r="D202" s="67">
        <v>1212367.1045766422</v>
      </c>
      <c r="E202" s="80"/>
      <c r="F202" s="79">
        <v>3.2500000000000001E-2</v>
      </c>
      <c r="G202" s="76">
        <f t="shared" si="21"/>
        <v>15492.25</v>
      </c>
      <c r="H202" s="67">
        <f t="shared" si="20"/>
        <v>1227859.3545766422</v>
      </c>
      <c r="I202" s="75">
        <f t="shared" si="19"/>
        <v>6341889.517146863</v>
      </c>
    </row>
    <row r="203" spans="1:9" hidden="1" outlineLevel="1" x14ac:dyDescent="0.25">
      <c r="A203" s="71">
        <f t="shared" si="22"/>
        <v>196</v>
      </c>
      <c r="B203" s="82">
        <v>44690</v>
      </c>
      <c r="C203" s="81"/>
      <c r="D203" s="67">
        <v>1813218.7693729203</v>
      </c>
      <c r="E203" s="80"/>
      <c r="F203" s="79">
        <v>3.2500000000000001E-2</v>
      </c>
      <c r="G203" s="76">
        <f t="shared" si="21"/>
        <v>19631.349999999999</v>
      </c>
      <c r="H203" s="67">
        <f t="shared" si="20"/>
        <v>1832850.1193729204</v>
      </c>
      <c r="I203" s="75">
        <f t="shared" si="19"/>
        <v>8174739.6365197832</v>
      </c>
    </row>
    <row r="204" spans="1:9" hidden="1" outlineLevel="1" x14ac:dyDescent="0.25">
      <c r="A204" s="71">
        <f t="shared" si="22"/>
        <v>197</v>
      </c>
      <c r="B204" s="82">
        <v>44722</v>
      </c>
      <c r="C204" s="81"/>
      <c r="D204" s="67">
        <v>1073287.400191538</v>
      </c>
      <c r="E204" s="80"/>
      <c r="F204" s="79">
        <v>3.2500000000000001E-2</v>
      </c>
      <c r="G204" s="76">
        <f t="shared" si="21"/>
        <v>23593.33</v>
      </c>
      <c r="H204" s="67">
        <f t="shared" si="20"/>
        <v>1096880.7301915381</v>
      </c>
      <c r="I204" s="75">
        <f t="shared" si="19"/>
        <v>9271620.3667113222</v>
      </c>
    </row>
    <row r="205" spans="1:9" hidden="1" outlineLevel="1" x14ac:dyDescent="0.25">
      <c r="A205" s="71">
        <f t="shared" si="22"/>
        <v>198</v>
      </c>
      <c r="B205" s="82">
        <v>44754</v>
      </c>
      <c r="C205" s="81"/>
      <c r="D205" s="67">
        <v>717219.33878711471</v>
      </c>
      <c r="E205" s="80"/>
      <c r="F205" s="79">
        <v>3.5999999999999997E-2</v>
      </c>
      <c r="G205" s="76">
        <f t="shared" si="21"/>
        <v>28890.69</v>
      </c>
      <c r="H205" s="67">
        <f t="shared" si="20"/>
        <v>746110.02878711466</v>
      </c>
      <c r="I205" s="75">
        <f t="shared" si="19"/>
        <v>10017730.395498436</v>
      </c>
    </row>
    <row r="206" spans="1:9" hidden="1" outlineLevel="1" x14ac:dyDescent="0.25">
      <c r="A206" s="71">
        <f t="shared" si="22"/>
        <v>199</v>
      </c>
      <c r="B206" s="82">
        <v>44786</v>
      </c>
      <c r="C206" s="81"/>
      <c r="D206" s="67">
        <v>763569.39693245781</v>
      </c>
      <c r="E206" s="80"/>
      <c r="F206" s="79">
        <v>3.5999999999999997E-2</v>
      </c>
      <c r="G206" s="76">
        <f t="shared" si="21"/>
        <v>31198.55</v>
      </c>
      <c r="H206" s="67">
        <f t="shared" si="20"/>
        <v>794767.94693245785</v>
      </c>
      <c r="I206" s="75">
        <f t="shared" si="19"/>
        <v>10812498.342430893</v>
      </c>
    </row>
    <row r="207" spans="1:9" hidden="1" outlineLevel="1" x14ac:dyDescent="0.25">
      <c r="A207" s="71">
        <f t="shared" si="22"/>
        <v>200</v>
      </c>
      <c r="B207" s="82">
        <v>44818</v>
      </c>
      <c r="C207" s="81"/>
      <c r="D207" s="67">
        <v>268229.69810854271</v>
      </c>
      <c r="E207" s="80"/>
      <c r="F207" s="79">
        <v>3.5999999999999997E-2</v>
      </c>
      <c r="G207" s="76">
        <f t="shared" si="21"/>
        <v>32839.839999999997</v>
      </c>
      <c r="H207" s="67">
        <f t="shared" si="20"/>
        <v>301069.53810854268</v>
      </c>
      <c r="I207" s="75">
        <f t="shared" si="19"/>
        <v>11113567.880539436</v>
      </c>
    </row>
    <row r="208" spans="1:9" hidden="1" outlineLevel="1" x14ac:dyDescent="0.25">
      <c r="A208" s="71">
        <f t="shared" si="22"/>
        <v>201</v>
      </c>
      <c r="B208" s="82">
        <v>44850</v>
      </c>
      <c r="C208" s="81"/>
      <c r="D208" s="67">
        <v>507150.90178022592</v>
      </c>
      <c r="E208" s="80"/>
      <c r="F208" s="79">
        <v>4.9099999999999998E-2</v>
      </c>
      <c r="G208" s="76">
        <f t="shared" si="21"/>
        <v>46510.559999999998</v>
      </c>
      <c r="H208" s="67">
        <f t="shared" si="20"/>
        <v>553661.46178022586</v>
      </c>
      <c r="I208" s="75">
        <f t="shared" si="19"/>
        <v>11667229.342319662</v>
      </c>
    </row>
    <row r="209" spans="1:9" hidden="1" outlineLevel="1" collapsed="1" x14ac:dyDescent="0.25">
      <c r="A209" s="71">
        <f t="shared" si="22"/>
        <v>202</v>
      </c>
      <c r="B209" s="82">
        <v>44882</v>
      </c>
      <c r="C209" s="81" t="s">
        <v>321</v>
      </c>
      <c r="D209" s="67">
        <v>563593.16729187686</v>
      </c>
      <c r="E209" s="85">
        <v>-10877470.65</v>
      </c>
      <c r="F209" s="79">
        <v>4.9099999999999998E-2</v>
      </c>
      <c r="G209" s="76">
        <f t="shared" si="21"/>
        <v>4384.45</v>
      </c>
      <c r="H209" s="67">
        <f t="shared" si="20"/>
        <v>-10309493.032708123</v>
      </c>
      <c r="I209" s="75">
        <f t="shared" si="19"/>
        <v>1357736.3096115384</v>
      </c>
    </row>
    <row r="210" spans="1:9" hidden="1" outlineLevel="1" x14ac:dyDescent="0.25">
      <c r="A210" s="71">
        <f t="shared" si="22"/>
        <v>203</v>
      </c>
      <c r="B210" s="82">
        <v>44914</v>
      </c>
      <c r="C210" s="81"/>
      <c r="D210" s="67">
        <v>2585838.7805864597</v>
      </c>
      <c r="E210" s="80"/>
      <c r="F210" s="79">
        <v>4.9099999999999998E-2</v>
      </c>
      <c r="G210" s="76">
        <f t="shared" si="21"/>
        <v>10845.6</v>
      </c>
      <c r="H210" s="67">
        <f t="shared" si="20"/>
        <v>2596684.3805864598</v>
      </c>
      <c r="I210" s="75">
        <f t="shared" si="19"/>
        <v>3954420.6901979982</v>
      </c>
    </row>
    <row r="211" spans="1:9" hidden="1" outlineLevel="1" x14ac:dyDescent="0.25">
      <c r="A211" s="71">
        <f t="shared" si="22"/>
        <v>204</v>
      </c>
      <c r="B211" s="82">
        <v>44946</v>
      </c>
      <c r="C211" s="81"/>
      <c r="D211" s="67">
        <v>67205.903326556087</v>
      </c>
      <c r="E211" s="80"/>
      <c r="F211" s="79">
        <v>6.3100000000000003E-2</v>
      </c>
      <c r="G211" s="76">
        <f t="shared" si="21"/>
        <v>20970.36</v>
      </c>
      <c r="H211" s="67">
        <f t="shared" si="20"/>
        <v>88176.263326556087</v>
      </c>
      <c r="I211" s="75">
        <f t="shared" si="19"/>
        <v>4042596.9535245541</v>
      </c>
    </row>
    <row r="212" spans="1:9" hidden="1" outlineLevel="1" x14ac:dyDescent="0.25">
      <c r="A212" s="71">
        <f t="shared" si="22"/>
        <v>205</v>
      </c>
      <c r="B212" s="82">
        <v>44978</v>
      </c>
      <c r="C212" s="81"/>
      <c r="D212" s="67">
        <v>-418371.07190227881</v>
      </c>
      <c r="E212" s="80"/>
      <c r="F212" s="79">
        <v>6.3100000000000003E-2</v>
      </c>
      <c r="G212" s="76">
        <f t="shared" si="21"/>
        <v>20157.36</v>
      </c>
      <c r="H212" s="67">
        <f t="shared" si="20"/>
        <v>-398213.71190227882</v>
      </c>
      <c r="I212" s="75">
        <f t="shared" si="19"/>
        <v>3644383.2416222752</v>
      </c>
    </row>
    <row r="213" spans="1:9" hidden="1" outlineLevel="1" x14ac:dyDescent="0.25">
      <c r="A213" s="71">
        <f t="shared" si="22"/>
        <v>206</v>
      </c>
      <c r="B213" s="82">
        <v>45010</v>
      </c>
      <c r="C213" s="81"/>
      <c r="D213" s="67">
        <v>-713533.21110613272</v>
      </c>
      <c r="E213" s="80"/>
      <c r="F213" s="79">
        <v>6.3100000000000003E-2</v>
      </c>
      <c r="G213" s="76">
        <f t="shared" si="21"/>
        <v>17287.38</v>
      </c>
      <c r="H213" s="67">
        <f t="shared" si="20"/>
        <v>-696245.83110613271</v>
      </c>
      <c r="I213" s="75">
        <f t="shared" si="19"/>
        <v>2948137.4105161424</v>
      </c>
    </row>
    <row r="214" spans="1:9" hidden="1" outlineLevel="1" x14ac:dyDescent="0.25">
      <c r="A214" s="71">
        <f t="shared" si="22"/>
        <v>207</v>
      </c>
      <c r="B214" s="82">
        <v>45042</v>
      </c>
      <c r="C214" s="81"/>
      <c r="D214" s="67">
        <v>-673838.54837079626</v>
      </c>
      <c r="E214" s="80"/>
      <c r="F214" s="79">
        <v>7.4999999999999997E-2</v>
      </c>
      <c r="G214" s="76">
        <f t="shared" si="21"/>
        <v>16320.11</v>
      </c>
      <c r="H214" s="67">
        <f t="shared" si="20"/>
        <v>-657518.43837079627</v>
      </c>
      <c r="I214" s="75">
        <f t="shared" si="19"/>
        <v>2290618.972145346</v>
      </c>
    </row>
    <row r="215" spans="1:9" hidden="1" outlineLevel="1" x14ac:dyDescent="0.25">
      <c r="A215" s="71">
        <f t="shared" si="22"/>
        <v>208</v>
      </c>
      <c r="B215" s="82">
        <v>45074</v>
      </c>
      <c r="C215" s="81"/>
      <c r="D215" s="67">
        <v>-454705.92808457301</v>
      </c>
      <c r="E215" s="80"/>
      <c r="F215" s="79">
        <v>7.4999999999999997E-2</v>
      </c>
      <c r="G215" s="76">
        <f t="shared" si="21"/>
        <v>12895.41</v>
      </c>
      <c r="H215" s="67">
        <f t="shared" si="20"/>
        <v>-441810.51808457304</v>
      </c>
      <c r="I215" s="75">
        <f t="shared" si="19"/>
        <v>1848808.4540607729</v>
      </c>
    </row>
    <row r="216" spans="1:9" hidden="1" outlineLevel="1" x14ac:dyDescent="0.25">
      <c r="A216" s="71">
        <f t="shared" si="22"/>
        <v>209</v>
      </c>
      <c r="B216" s="82">
        <v>45106</v>
      </c>
      <c r="C216" s="81"/>
      <c r="D216" s="67">
        <v>-394677.98855997878</v>
      </c>
      <c r="E216" s="80"/>
      <c r="F216" s="79">
        <v>7.4999999999999997E-2</v>
      </c>
      <c r="G216" s="76">
        <f t="shared" si="21"/>
        <v>10321.68</v>
      </c>
      <c r="H216" s="67">
        <f t="shared" si="20"/>
        <v>-384356.30855997879</v>
      </c>
      <c r="I216" s="75">
        <f t="shared" ref="I216:I244" si="23">+I215+H216</f>
        <v>1464452.1455007941</v>
      </c>
    </row>
    <row r="217" spans="1:9" hidden="1" outlineLevel="1" x14ac:dyDescent="0.25">
      <c r="A217" s="71">
        <f t="shared" si="22"/>
        <v>210</v>
      </c>
      <c r="B217" s="82">
        <v>45138</v>
      </c>
      <c r="C217" s="81"/>
      <c r="D217" s="67">
        <v>-364354.5617606559</v>
      </c>
      <c r="E217" s="80"/>
      <c r="F217" s="79">
        <v>8.0199999999999994E-2</v>
      </c>
      <c r="G217" s="76">
        <f t="shared" si="21"/>
        <v>8569.8700000000008</v>
      </c>
      <c r="H217" s="67">
        <f t="shared" ref="H217:H244" si="24">SUM(D217:E217,G217)</f>
        <v>-355784.6917606559</v>
      </c>
      <c r="I217" s="75">
        <f t="shared" si="23"/>
        <v>1108667.4537401381</v>
      </c>
    </row>
    <row r="218" spans="1:9" hidden="1" outlineLevel="1" x14ac:dyDescent="0.25">
      <c r="A218" s="71">
        <f t="shared" si="22"/>
        <v>211</v>
      </c>
      <c r="B218" s="82">
        <v>45139</v>
      </c>
      <c r="C218" s="81"/>
      <c r="D218" s="67">
        <v>-330994.78090858774</v>
      </c>
      <c r="E218" s="80"/>
      <c r="F218" s="79">
        <v>8.0199999999999994E-2</v>
      </c>
      <c r="G218" s="76">
        <f t="shared" si="21"/>
        <v>6303.52</v>
      </c>
      <c r="H218" s="67">
        <f t="shared" si="24"/>
        <v>-324691.26090858772</v>
      </c>
      <c r="I218" s="75">
        <f t="shared" si="23"/>
        <v>783976.19283155038</v>
      </c>
    </row>
    <row r="219" spans="1:9" hidden="1" outlineLevel="1" x14ac:dyDescent="0.25">
      <c r="A219" s="71">
        <f t="shared" si="22"/>
        <v>212</v>
      </c>
      <c r="B219" s="82">
        <v>45170</v>
      </c>
      <c r="C219" s="81"/>
      <c r="D219" s="67">
        <v>-192344.00123117061</v>
      </c>
      <c r="E219" s="80"/>
      <c r="F219" s="79">
        <v>8.0199999999999994E-2</v>
      </c>
      <c r="G219" s="76">
        <f t="shared" si="21"/>
        <v>4596.82</v>
      </c>
      <c r="H219" s="67">
        <f t="shared" si="24"/>
        <v>-187747.1812311706</v>
      </c>
      <c r="I219" s="75">
        <f t="shared" si="23"/>
        <v>596229.01160037983</v>
      </c>
    </row>
    <row r="220" spans="1:9" hidden="1" outlineLevel="1" x14ac:dyDescent="0.25">
      <c r="A220" s="71">
        <f t="shared" si="22"/>
        <v>213</v>
      </c>
      <c r="B220" s="82">
        <v>45202</v>
      </c>
      <c r="C220" s="81"/>
      <c r="D220" s="67">
        <v>-491065.79393307073</v>
      </c>
      <c r="E220" s="80"/>
      <c r="F220" s="79">
        <v>8.3500000000000005E-2</v>
      </c>
      <c r="G220" s="76">
        <f t="shared" si="21"/>
        <v>2440.2600000000002</v>
      </c>
      <c r="H220" s="67">
        <f t="shared" si="24"/>
        <v>-488625.53393307072</v>
      </c>
      <c r="I220" s="75">
        <f t="shared" si="23"/>
        <v>107603.47766730911</v>
      </c>
    </row>
    <row r="221" spans="1:9" hidden="1" outlineLevel="1" collapsed="1" x14ac:dyDescent="0.25">
      <c r="A221" s="71">
        <f t="shared" si="22"/>
        <v>214</v>
      </c>
      <c r="B221" s="82">
        <v>45234</v>
      </c>
      <c r="C221" s="81" t="s">
        <v>321</v>
      </c>
      <c r="D221" s="67">
        <v>-213722.12094200961</v>
      </c>
      <c r="E221" s="80">
        <v>-798844.89</v>
      </c>
      <c r="F221" s="79">
        <v>8.3500000000000005E-2</v>
      </c>
      <c r="G221" s="76">
        <f t="shared" si="21"/>
        <v>-5553.46</v>
      </c>
      <c r="H221" s="67">
        <f t="shared" si="24"/>
        <v>-1018120.4709420096</v>
      </c>
      <c r="I221" s="75">
        <f t="shared" si="23"/>
        <v>-910516.99327470048</v>
      </c>
    </row>
    <row r="222" spans="1:9" hidden="1" outlineLevel="1" x14ac:dyDescent="0.25">
      <c r="A222" s="71">
        <f t="shared" si="22"/>
        <v>215</v>
      </c>
      <c r="B222" s="82">
        <v>45266</v>
      </c>
      <c r="C222" s="81"/>
      <c r="D222" s="67">
        <v>50804.868421745254</v>
      </c>
      <c r="E222" s="80"/>
      <c r="F222" s="79">
        <v>8.3500000000000005E-2</v>
      </c>
      <c r="G222" s="76">
        <f t="shared" si="21"/>
        <v>-6158.92</v>
      </c>
      <c r="H222" s="67">
        <f t="shared" si="24"/>
        <v>44645.948421745255</v>
      </c>
      <c r="I222" s="75">
        <f t="shared" si="23"/>
        <v>-865871.04485295527</v>
      </c>
    </row>
    <row r="223" spans="1:9" hidden="1" outlineLevel="1" x14ac:dyDescent="0.25">
      <c r="A223" s="71">
        <f t="shared" si="22"/>
        <v>216</v>
      </c>
      <c r="B223" s="82">
        <v>45298</v>
      </c>
      <c r="C223" s="81"/>
      <c r="D223" s="67">
        <v>-741865.59342019516</v>
      </c>
      <c r="E223" s="80"/>
      <c r="F223" s="79">
        <v>8.5000000000000006E-2</v>
      </c>
      <c r="G223" s="76">
        <f t="shared" si="21"/>
        <v>-8760.69</v>
      </c>
      <c r="H223" s="67">
        <f t="shared" si="24"/>
        <v>-750626.2834201951</v>
      </c>
      <c r="I223" s="75">
        <f t="shared" si="23"/>
        <v>-1616497.3282731504</v>
      </c>
    </row>
    <row r="224" spans="1:9" hidden="1" outlineLevel="1" x14ac:dyDescent="0.25">
      <c r="A224" s="71">
        <f t="shared" si="22"/>
        <v>217</v>
      </c>
      <c r="B224" s="82">
        <v>45330</v>
      </c>
      <c r="C224" s="81"/>
      <c r="D224" s="67">
        <v>-568311.91790747037</v>
      </c>
      <c r="E224" s="80"/>
      <c r="F224" s="79">
        <v>8.5000000000000006E-2</v>
      </c>
      <c r="G224" s="76">
        <f t="shared" ref="G224:G244" si="25">ROUND((+I223+E224+(D224/2))*F224/12,2)</f>
        <v>-13462.96</v>
      </c>
      <c r="H224" s="67">
        <f t="shared" si="24"/>
        <v>-581774.87790747033</v>
      </c>
      <c r="I224" s="75">
        <f t="shared" si="23"/>
        <v>-2198272.2061806209</v>
      </c>
    </row>
    <row r="225" spans="1:9" hidden="1" outlineLevel="1" x14ac:dyDescent="0.25">
      <c r="A225" s="71">
        <f t="shared" si="22"/>
        <v>218</v>
      </c>
      <c r="B225" s="82">
        <v>45362</v>
      </c>
      <c r="C225" s="81"/>
      <c r="D225" s="67">
        <v>-1857328.0670219939</v>
      </c>
      <c r="E225" s="80"/>
      <c r="F225" s="79">
        <v>8.5000000000000006E-2</v>
      </c>
      <c r="G225" s="76">
        <f t="shared" si="25"/>
        <v>-22149.13</v>
      </c>
      <c r="H225" s="67">
        <f t="shared" si="24"/>
        <v>-1879477.1970219938</v>
      </c>
      <c r="I225" s="75">
        <f t="shared" si="23"/>
        <v>-4077749.4032026147</v>
      </c>
    </row>
    <row r="226" spans="1:9" hidden="1" outlineLevel="1" x14ac:dyDescent="0.25">
      <c r="A226" s="71">
        <f t="shared" si="22"/>
        <v>219</v>
      </c>
      <c r="B226" s="82">
        <v>45394</v>
      </c>
      <c r="C226" s="81"/>
      <c r="D226" s="67">
        <v>-1709387.5565452927</v>
      </c>
      <c r="E226" s="80"/>
      <c r="F226" s="79">
        <v>8.5000000000000006E-2</v>
      </c>
      <c r="G226" s="76">
        <f t="shared" si="25"/>
        <v>-34938.14</v>
      </c>
      <c r="H226" s="67">
        <f t="shared" si="24"/>
        <v>-1744325.6965452926</v>
      </c>
      <c r="I226" s="75">
        <f t="shared" si="23"/>
        <v>-5822075.0997479074</v>
      </c>
    </row>
    <row r="227" spans="1:9" hidden="1" outlineLevel="1" x14ac:dyDescent="0.25">
      <c r="A227" s="71">
        <f t="shared" si="22"/>
        <v>220</v>
      </c>
      <c r="B227" s="82">
        <v>45426</v>
      </c>
      <c r="C227" s="81"/>
      <c r="D227" s="67">
        <v>-1257091.1302310119</v>
      </c>
      <c r="E227" s="80"/>
      <c r="F227" s="79">
        <v>8.5000000000000006E-2</v>
      </c>
      <c r="G227" s="76">
        <f t="shared" si="25"/>
        <v>-45691.9</v>
      </c>
      <c r="H227" s="67">
        <f t="shared" si="24"/>
        <v>-1302783.0302310118</v>
      </c>
      <c r="I227" s="75">
        <f t="shared" si="23"/>
        <v>-7124858.1299789194</v>
      </c>
    </row>
    <row r="228" spans="1:9" hidden="1" outlineLevel="1" x14ac:dyDescent="0.25">
      <c r="A228" s="71">
        <f t="shared" si="22"/>
        <v>221</v>
      </c>
      <c r="B228" s="82">
        <v>45458</v>
      </c>
      <c r="C228" s="81"/>
      <c r="D228" s="67">
        <v>-776627.61995379184</v>
      </c>
      <c r="E228" s="80"/>
      <c r="F228" s="79">
        <v>8.5000000000000006E-2</v>
      </c>
      <c r="G228" s="76">
        <f t="shared" si="25"/>
        <v>-53218.3</v>
      </c>
      <c r="H228" s="67">
        <f t="shared" si="24"/>
        <v>-829845.91995379189</v>
      </c>
      <c r="I228" s="75">
        <f t="shared" si="23"/>
        <v>-7954704.0499327108</v>
      </c>
    </row>
    <row r="229" spans="1:9" hidden="1" outlineLevel="1" x14ac:dyDescent="0.25">
      <c r="A229" s="71">
        <f t="shared" si="22"/>
        <v>222</v>
      </c>
      <c r="B229" s="82">
        <v>45490</v>
      </c>
      <c r="C229" s="81"/>
      <c r="D229" s="67">
        <v>-383019.40023451432</v>
      </c>
      <c r="E229" s="80"/>
      <c r="F229" s="79">
        <v>8.5000000000000006E-2</v>
      </c>
      <c r="G229" s="76">
        <f t="shared" si="25"/>
        <v>-57702.35</v>
      </c>
      <c r="H229" s="67">
        <f t="shared" si="24"/>
        <v>-440721.7502345143</v>
      </c>
      <c r="I229" s="75">
        <f t="shared" si="23"/>
        <v>-8395425.8001672253</v>
      </c>
    </row>
    <row r="230" spans="1:9" hidden="1" outlineLevel="1" x14ac:dyDescent="0.25">
      <c r="A230" s="71">
        <f t="shared" si="22"/>
        <v>223</v>
      </c>
      <c r="B230" s="82">
        <v>45522</v>
      </c>
      <c r="C230" s="81"/>
      <c r="D230" s="67">
        <v>-450825.82942733518</v>
      </c>
      <c r="E230" s="80"/>
      <c r="F230" s="79">
        <v>8.5000000000000006E-2</v>
      </c>
      <c r="G230" s="76">
        <f t="shared" si="25"/>
        <v>-61064.27</v>
      </c>
      <c r="H230" s="67">
        <f t="shared" si="24"/>
        <v>-511890.0994273352</v>
      </c>
      <c r="I230" s="75">
        <f t="shared" si="23"/>
        <v>-8907315.8995945603</v>
      </c>
    </row>
    <row r="231" spans="1:9" hidden="1" outlineLevel="1" x14ac:dyDescent="0.25">
      <c r="A231" s="71">
        <f t="shared" si="22"/>
        <v>224</v>
      </c>
      <c r="B231" s="82">
        <v>45554</v>
      </c>
      <c r="C231" s="81"/>
      <c r="D231" s="67">
        <v>-632387.99208214763</v>
      </c>
      <c r="E231" s="80"/>
      <c r="F231" s="79">
        <v>8.5000000000000006E-2</v>
      </c>
      <c r="G231" s="76">
        <f t="shared" si="25"/>
        <v>-65333.2</v>
      </c>
      <c r="H231" s="67">
        <f t="shared" si="24"/>
        <v>-697721.19208214758</v>
      </c>
      <c r="I231" s="75">
        <f t="shared" si="23"/>
        <v>-9605037.0916767083</v>
      </c>
    </row>
    <row r="232" spans="1:9" hidden="1" outlineLevel="1" x14ac:dyDescent="0.25">
      <c r="A232" s="71">
        <f t="shared" si="22"/>
        <v>225</v>
      </c>
      <c r="B232" s="82">
        <v>45586</v>
      </c>
      <c r="C232" s="81"/>
      <c r="D232" s="67">
        <v>-1485852.2329095327</v>
      </c>
      <c r="E232" s="80"/>
      <c r="F232" s="79">
        <v>8.5000000000000006E-2</v>
      </c>
      <c r="G232" s="76">
        <f t="shared" si="25"/>
        <v>-73298.070000000007</v>
      </c>
      <c r="H232" s="67">
        <f t="shared" si="24"/>
        <v>-1559150.3029095328</v>
      </c>
      <c r="I232" s="75">
        <f t="shared" si="23"/>
        <v>-11164187.394586241</v>
      </c>
    </row>
    <row r="233" spans="1:9" collapsed="1" x14ac:dyDescent="0.25">
      <c r="A233" s="71">
        <f t="shared" si="22"/>
        <v>226</v>
      </c>
      <c r="B233" s="82">
        <v>45618</v>
      </c>
      <c r="C233" s="81"/>
      <c r="D233" s="67">
        <v>-674910.86219373625</v>
      </c>
      <c r="E233" s="80">
        <v>9033949.7895945609</v>
      </c>
      <c r="F233" s="79">
        <v>8.5000000000000006E-2</v>
      </c>
      <c r="G233" s="76">
        <f t="shared" si="25"/>
        <v>-17479.490000000002</v>
      </c>
      <c r="H233" s="67">
        <f t="shared" si="24"/>
        <v>8341559.4374008244</v>
      </c>
      <c r="I233" s="75">
        <f t="shared" si="23"/>
        <v>-2822627.9571854165</v>
      </c>
    </row>
    <row r="234" spans="1:9" x14ac:dyDescent="0.25">
      <c r="A234" s="71">
        <f t="shared" si="22"/>
        <v>227</v>
      </c>
      <c r="B234" s="82">
        <v>45650</v>
      </c>
      <c r="C234" s="81"/>
      <c r="D234" s="67">
        <v>-992156.61057294486</v>
      </c>
      <c r="E234" s="80"/>
      <c r="F234" s="79">
        <v>8.5000000000000006E-2</v>
      </c>
      <c r="G234" s="76">
        <f t="shared" si="25"/>
        <v>-23507.5</v>
      </c>
      <c r="H234" s="67">
        <f t="shared" si="24"/>
        <v>-1015664.1105729449</v>
      </c>
      <c r="I234" s="75">
        <f t="shared" si="23"/>
        <v>-3838292.0677583613</v>
      </c>
    </row>
    <row r="235" spans="1:9" x14ac:dyDescent="0.25">
      <c r="A235" s="71">
        <f t="shared" si="22"/>
        <v>228</v>
      </c>
      <c r="B235" s="82">
        <v>45682</v>
      </c>
      <c r="C235" s="81"/>
      <c r="D235" s="67">
        <v>-1221495.9224265274</v>
      </c>
      <c r="E235" s="80"/>
      <c r="F235" s="79">
        <v>8.0399999999999999E-2</v>
      </c>
      <c r="G235" s="76">
        <f t="shared" si="25"/>
        <v>-29808.57</v>
      </c>
      <c r="H235" s="67">
        <f t="shared" si="24"/>
        <v>-1251304.4924265274</v>
      </c>
      <c r="I235" s="75">
        <f t="shared" si="23"/>
        <v>-5089596.5601848885</v>
      </c>
    </row>
    <row r="236" spans="1:9" x14ac:dyDescent="0.25">
      <c r="A236" s="71">
        <f t="shared" si="22"/>
        <v>229</v>
      </c>
      <c r="B236" s="82">
        <v>45714</v>
      </c>
      <c r="C236" s="81"/>
      <c r="D236" s="67">
        <v>-974071.88373255637</v>
      </c>
      <c r="E236" s="80"/>
      <c r="F236" s="79">
        <v>8.0399999999999999E-2</v>
      </c>
      <c r="G236" s="76">
        <f t="shared" si="25"/>
        <v>-37363.440000000002</v>
      </c>
      <c r="H236" s="67">
        <f t="shared" si="24"/>
        <v>-1011435.3237325563</v>
      </c>
      <c r="I236" s="75">
        <f t="shared" si="23"/>
        <v>-6101031.8839174453</v>
      </c>
    </row>
    <row r="237" spans="1:9" x14ac:dyDescent="0.25">
      <c r="A237" s="71">
        <f t="shared" si="22"/>
        <v>230</v>
      </c>
      <c r="B237" s="82">
        <v>45746</v>
      </c>
      <c r="C237" s="81"/>
      <c r="D237" s="84">
        <f>-403058.447724215+'[34]151941 WA Tariffs'!D56</f>
        <v>-398539.66772421496</v>
      </c>
      <c r="E237" s="80"/>
      <c r="F237" s="79">
        <v>8.0399999999999999E-2</v>
      </c>
      <c r="G237" s="76">
        <f t="shared" si="25"/>
        <v>-42212.02</v>
      </c>
      <c r="H237" s="67">
        <f t="shared" si="24"/>
        <v>-440751.68772421498</v>
      </c>
      <c r="I237" s="75">
        <f t="shared" si="23"/>
        <v>-6541783.5716416603</v>
      </c>
    </row>
    <row r="238" spans="1:9" x14ac:dyDescent="0.25">
      <c r="A238" s="71">
        <f t="shared" si="22"/>
        <v>231</v>
      </c>
      <c r="B238" s="82">
        <v>45748</v>
      </c>
      <c r="C238" s="81"/>
      <c r="D238" s="67">
        <v>-1267967.4974363451</v>
      </c>
      <c r="E238" s="80"/>
      <c r="F238" s="79">
        <v>7.5499999999999998E-2</v>
      </c>
      <c r="G238" s="76">
        <f t="shared" si="25"/>
        <v>-45147.54</v>
      </c>
      <c r="H238" s="67">
        <f t="shared" si="24"/>
        <v>-1313115.0374363451</v>
      </c>
      <c r="I238" s="75">
        <f t="shared" si="23"/>
        <v>-7854898.609078005</v>
      </c>
    </row>
    <row r="239" spans="1:9" x14ac:dyDescent="0.25">
      <c r="A239" s="71">
        <f>+A237+1</f>
        <v>231</v>
      </c>
      <c r="B239" s="82">
        <v>45778</v>
      </c>
      <c r="C239" s="81"/>
      <c r="D239" s="67">
        <v>-839964.837336706</v>
      </c>
      <c r="E239" s="80"/>
      <c r="F239" s="79">
        <v>7.5499999999999998E-2</v>
      </c>
      <c r="G239" s="76">
        <f t="shared" si="25"/>
        <v>-52062.79</v>
      </c>
      <c r="H239" s="67">
        <f t="shared" si="24"/>
        <v>-892027.62733670603</v>
      </c>
      <c r="I239" s="75">
        <f t="shared" si="23"/>
        <v>-8746926.2364147119</v>
      </c>
    </row>
    <row r="240" spans="1:9" x14ac:dyDescent="0.25">
      <c r="A240" s="71">
        <f t="shared" ref="A240:A249" si="26">+A239+1</f>
        <v>232</v>
      </c>
      <c r="B240" s="82">
        <v>45810</v>
      </c>
      <c r="C240" s="81"/>
      <c r="D240" s="67">
        <v>-499968.28093450115</v>
      </c>
      <c r="E240" s="80"/>
      <c r="F240" s="79">
        <v>7.5499999999999998E-2</v>
      </c>
      <c r="G240" s="76">
        <f t="shared" si="25"/>
        <v>-56605.56</v>
      </c>
      <c r="H240" s="67">
        <f t="shared" si="24"/>
        <v>-556573.84093450115</v>
      </c>
      <c r="I240" s="75">
        <f t="shared" si="23"/>
        <v>-9303500.0773492139</v>
      </c>
    </row>
    <row r="241" spans="1:9" x14ac:dyDescent="0.25">
      <c r="A241" s="71">
        <f t="shared" si="26"/>
        <v>233</v>
      </c>
      <c r="B241" s="82">
        <v>45842</v>
      </c>
      <c r="C241" s="81"/>
      <c r="D241" s="67">
        <v>-523208.76892500167</v>
      </c>
      <c r="E241" s="80"/>
      <c r="F241" s="83">
        <v>7.4999999999999997E-2</v>
      </c>
      <c r="G241" s="76">
        <f t="shared" si="25"/>
        <v>-59781.9</v>
      </c>
      <c r="H241" s="67">
        <f t="shared" si="24"/>
        <v>-582990.66892500164</v>
      </c>
      <c r="I241" s="75">
        <f t="shared" si="23"/>
        <v>-9886490.7462742161</v>
      </c>
    </row>
    <row r="242" spans="1:9" x14ac:dyDescent="0.25">
      <c r="A242" s="71">
        <f t="shared" si="26"/>
        <v>234</v>
      </c>
      <c r="B242" s="82">
        <v>45874</v>
      </c>
      <c r="C242" s="81"/>
      <c r="D242" s="67">
        <v>-583060.10731055494</v>
      </c>
      <c r="E242" s="80"/>
      <c r="F242" s="79">
        <v>7.4999999999999997E-2</v>
      </c>
      <c r="G242" s="76">
        <f t="shared" si="25"/>
        <v>-63612.63</v>
      </c>
      <c r="H242" s="67">
        <f t="shared" si="24"/>
        <v>-646672.73731055495</v>
      </c>
      <c r="I242" s="75">
        <f t="shared" si="23"/>
        <v>-10533163.483584771</v>
      </c>
    </row>
    <row r="243" spans="1:9" x14ac:dyDescent="0.25">
      <c r="A243" s="71">
        <f t="shared" si="26"/>
        <v>235</v>
      </c>
      <c r="B243" s="82">
        <v>45906</v>
      </c>
      <c r="C243" s="81"/>
      <c r="E243" s="80"/>
      <c r="F243" s="79">
        <v>7.4999999999999997E-2</v>
      </c>
      <c r="G243" s="76">
        <f t="shared" si="25"/>
        <v>-65832.27</v>
      </c>
      <c r="H243" s="67">
        <f t="shared" si="24"/>
        <v>-65832.27</v>
      </c>
      <c r="I243" s="75">
        <f t="shared" si="23"/>
        <v>-10598995.75358477</v>
      </c>
    </row>
    <row r="244" spans="1:9" x14ac:dyDescent="0.25">
      <c r="A244" s="71">
        <f t="shared" si="26"/>
        <v>236</v>
      </c>
      <c r="B244" s="82">
        <v>45938</v>
      </c>
      <c r="C244" s="81"/>
      <c r="E244" s="80"/>
      <c r="F244" s="79">
        <v>7.4999999999999997E-2</v>
      </c>
      <c r="G244" s="76">
        <f t="shared" si="25"/>
        <v>-66243.72</v>
      </c>
      <c r="H244" s="67">
        <f t="shared" si="24"/>
        <v>-66243.72</v>
      </c>
      <c r="I244" s="75">
        <f t="shared" si="23"/>
        <v>-10665239.473584771</v>
      </c>
    </row>
    <row r="245" spans="1:9" x14ac:dyDescent="0.25">
      <c r="A245" s="71">
        <f t="shared" si="26"/>
        <v>237</v>
      </c>
      <c r="E245" s="78"/>
      <c r="F245" s="77"/>
      <c r="G245" s="76"/>
      <c r="I245" s="75"/>
    </row>
    <row r="246" spans="1:9" x14ac:dyDescent="0.25">
      <c r="A246" s="71">
        <f t="shared" si="26"/>
        <v>238</v>
      </c>
      <c r="B246" s="74" t="s">
        <v>320</v>
      </c>
    </row>
    <row r="247" spans="1:9" x14ac:dyDescent="0.25">
      <c r="A247" s="71">
        <f t="shared" si="26"/>
        <v>239</v>
      </c>
      <c r="B247" s="73"/>
    </row>
    <row r="248" spans="1:9" x14ac:dyDescent="0.25">
      <c r="A248" s="71">
        <f t="shared" si="26"/>
        <v>240</v>
      </c>
      <c r="B248" s="72" t="s">
        <v>318</v>
      </c>
    </row>
    <row r="249" spans="1:9" x14ac:dyDescent="0.25">
      <c r="A249" s="71">
        <f t="shared" si="26"/>
        <v>241</v>
      </c>
      <c r="B249" s="70" t="s">
        <v>319</v>
      </c>
    </row>
    <row r="250" spans="1:9" x14ac:dyDescent="0.25">
      <c r="B250" s="69"/>
    </row>
  </sheetData>
  <pageMargins left="0.7" right="0.7" top="0.75" bottom="0.75" header="0.3" footer="0.3"/>
  <pageSetup scale="72" orientation="portrait" r:id="rId1"/>
  <headerFooter alignWithMargins="0">
    <oddHeader>&amp;R&amp;"Arial,Regular"UG-250717 - NWN WUTC Advice 25-08A
Exhibit A - Supporting Materials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B1441-0049-4228-897A-56D02C1DB918}">
  <sheetPr>
    <tabColor theme="0" tint="-0.14999847407452621"/>
    <pageSetUpPr fitToPage="1"/>
  </sheetPr>
  <dimension ref="A1:L279"/>
  <sheetViews>
    <sheetView tabSelected="1" view="pageBreakPreview" zoomScaleNormal="100" zoomScaleSheetLayoutView="100" workbookViewId="0">
      <pane xSplit="1" ySplit="11" topLeftCell="B12" activePane="bottomRight" state="frozen"/>
      <selection activeCell="I13" sqref="I13:I80"/>
      <selection pane="topRight" activeCell="I13" sqref="I13:I80"/>
      <selection pane="bottomLeft" activeCell="I13" sqref="I13:I80"/>
      <selection pane="bottomRight" activeCell="I13" sqref="I13:I80"/>
    </sheetView>
  </sheetViews>
  <sheetFormatPr defaultColWidth="9.19921875" defaultRowHeight="12.5" outlineLevelRow="1" x14ac:dyDescent="0.25"/>
  <cols>
    <col min="1" max="1" width="4.69921875" style="68" customWidth="1"/>
    <col min="2" max="2" width="15.69921875" style="66" customWidth="1"/>
    <col min="3" max="3" width="14.19921875" style="66" customWidth="1"/>
    <col min="4" max="4" width="18.19921875" style="66" customWidth="1"/>
    <col min="5" max="5" width="17.19921875" style="66" bestFit="1" customWidth="1"/>
    <col min="6" max="7" width="15.69921875" style="66" customWidth="1"/>
    <col min="8" max="9" width="20.69921875" style="66" customWidth="1"/>
    <col min="10" max="10" width="15.69921875" style="67" customWidth="1"/>
    <col min="11" max="20" width="15.69921875" style="66" customWidth="1"/>
    <col min="21" max="16384" width="9.19921875" style="66"/>
  </cols>
  <sheetData>
    <row r="1" spans="1:10" x14ac:dyDescent="0.25">
      <c r="B1" s="66" t="s">
        <v>345</v>
      </c>
      <c r="D1" s="66" t="s">
        <v>344</v>
      </c>
    </row>
    <row r="2" spans="1:10" x14ac:dyDescent="0.25">
      <c r="B2" s="66" t="s">
        <v>343</v>
      </c>
      <c r="D2" s="66" t="s">
        <v>2</v>
      </c>
    </row>
    <row r="3" spans="1:10" x14ac:dyDescent="0.25">
      <c r="B3" s="66" t="s">
        <v>342</v>
      </c>
      <c r="D3" s="70" t="s">
        <v>356</v>
      </c>
    </row>
    <row r="4" spans="1:10" x14ac:dyDescent="0.25">
      <c r="B4" s="66" t="s">
        <v>340</v>
      </c>
      <c r="D4" s="114">
        <v>151545</v>
      </c>
      <c r="H4" s="74"/>
    </row>
    <row r="5" spans="1:10" x14ac:dyDescent="0.25">
      <c r="D5" s="66" t="s">
        <v>339</v>
      </c>
    </row>
    <row r="6" spans="1:10" x14ac:dyDescent="0.25">
      <c r="D6" s="66" t="s">
        <v>338</v>
      </c>
    </row>
    <row r="8" spans="1:10" x14ac:dyDescent="0.25">
      <c r="A8" s="71">
        <v>1</v>
      </c>
      <c r="B8" s="66" t="s">
        <v>337</v>
      </c>
      <c r="G8" s="93"/>
    </row>
    <row r="9" spans="1:10" x14ac:dyDescent="0.25">
      <c r="A9" s="71">
        <f t="shared" ref="A9:A72" si="0">+A8+1</f>
        <v>2</v>
      </c>
      <c r="G9" s="93"/>
    </row>
    <row r="10" spans="1:10" x14ac:dyDescent="0.25">
      <c r="A10" s="71">
        <f t="shared" si="0"/>
        <v>3</v>
      </c>
      <c r="B10" s="93"/>
      <c r="C10" s="93"/>
      <c r="D10" s="93"/>
      <c r="E10" s="93"/>
      <c r="F10" s="93"/>
      <c r="G10" s="93"/>
      <c r="H10" s="93"/>
      <c r="I10" s="93"/>
    </row>
    <row r="11" spans="1:10" x14ac:dyDescent="0.25">
      <c r="A11" s="71">
        <f t="shared" si="0"/>
        <v>4</v>
      </c>
      <c r="B11" s="95" t="s">
        <v>336</v>
      </c>
      <c r="C11" s="95" t="s">
        <v>335</v>
      </c>
      <c r="D11" s="95" t="s">
        <v>276</v>
      </c>
      <c r="E11" s="95" t="s">
        <v>333</v>
      </c>
      <c r="F11" s="94" t="s">
        <v>332</v>
      </c>
      <c r="G11" s="94" t="s">
        <v>263</v>
      </c>
      <c r="H11" s="94" t="s">
        <v>275</v>
      </c>
      <c r="I11" s="94" t="s">
        <v>267</v>
      </c>
    </row>
    <row r="12" spans="1:10" x14ac:dyDescent="0.25">
      <c r="A12" s="71">
        <f t="shared" si="0"/>
        <v>5</v>
      </c>
      <c r="B12" s="93" t="s">
        <v>331</v>
      </c>
      <c r="C12" s="93" t="s">
        <v>330</v>
      </c>
      <c r="D12" s="93" t="s">
        <v>329</v>
      </c>
      <c r="E12" s="93" t="s">
        <v>328</v>
      </c>
      <c r="F12" s="92" t="s">
        <v>327</v>
      </c>
      <c r="G12" s="92" t="s">
        <v>326</v>
      </c>
      <c r="H12" s="92" t="s">
        <v>325</v>
      </c>
      <c r="I12" s="92" t="s">
        <v>324</v>
      </c>
      <c r="J12" s="92"/>
    </row>
    <row r="13" spans="1:10" hidden="1" outlineLevel="1" x14ac:dyDescent="0.25">
      <c r="A13" s="71">
        <f t="shared" si="0"/>
        <v>6</v>
      </c>
      <c r="G13" s="93"/>
    </row>
    <row r="14" spans="1:10" hidden="1" outlineLevel="1" x14ac:dyDescent="0.25">
      <c r="A14" s="71">
        <f t="shared" si="0"/>
        <v>7</v>
      </c>
      <c r="B14" s="70" t="s">
        <v>323</v>
      </c>
      <c r="D14" s="67"/>
      <c r="E14" s="67"/>
      <c r="F14" s="67"/>
      <c r="G14" s="67"/>
      <c r="H14" s="67"/>
      <c r="I14" s="67"/>
    </row>
    <row r="15" spans="1:10" hidden="1" outlineLevel="1" x14ac:dyDescent="0.25">
      <c r="A15" s="71">
        <f t="shared" si="0"/>
        <v>8</v>
      </c>
      <c r="B15" s="66">
        <v>39021</v>
      </c>
      <c r="D15" s="67"/>
      <c r="E15" s="67"/>
      <c r="F15" s="67"/>
      <c r="G15" s="75"/>
      <c r="H15" s="67"/>
      <c r="I15" s="67">
        <v>-108333.09</v>
      </c>
    </row>
    <row r="16" spans="1:10" hidden="1" outlineLevel="1" x14ac:dyDescent="0.25">
      <c r="A16" s="71">
        <f t="shared" si="0"/>
        <v>9</v>
      </c>
      <c r="B16" s="66">
        <f>+B15+30</f>
        <v>39051</v>
      </c>
      <c r="D16" s="67">
        <f>1938.86+13441.19</f>
        <v>15380.050000000001</v>
      </c>
      <c r="E16" s="67">
        <f>-'151540 WACOG Deferral'!E16</f>
        <v>-572607</v>
      </c>
      <c r="F16" s="67"/>
      <c r="G16" s="75">
        <f>-692.5-4340.68</f>
        <v>-5033.18</v>
      </c>
      <c r="H16" s="67">
        <f t="shared" ref="H16:H53" si="1">SUM(D16:G16)</f>
        <v>-562260.13</v>
      </c>
      <c r="I16" s="75">
        <f t="shared" ref="I16:I53" si="2">+I15+H16</f>
        <v>-670593.22</v>
      </c>
    </row>
    <row r="17" spans="1:10" hidden="1" outlineLevel="1" x14ac:dyDescent="0.25">
      <c r="A17" s="71">
        <f t="shared" si="0"/>
        <v>10</v>
      </c>
      <c r="B17" s="66">
        <f>+B16+31</f>
        <v>39082</v>
      </c>
      <c r="D17" s="67">
        <v>35793.33</v>
      </c>
      <c r="E17" s="67"/>
      <c r="F17" s="67"/>
      <c r="G17" s="75">
        <v>-4209.8900000000003</v>
      </c>
      <c r="H17" s="67">
        <f t="shared" si="1"/>
        <v>31583.440000000002</v>
      </c>
      <c r="I17" s="75">
        <f t="shared" si="2"/>
        <v>-639009.78</v>
      </c>
    </row>
    <row r="18" spans="1:10" hidden="1" outlineLevel="1" x14ac:dyDescent="0.25">
      <c r="A18" s="71">
        <f t="shared" si="0"/>
        <v>11</v>
      </c>
      <c r="B18" s="66">
        <f>+B17+31</f>
        <v>39113</v>
      </c>
      <c r="D18" s="67">
        <v>46397.81</v>
      </c>
      <c r="E18" s="67"/>
      <c r="F18" s="67"/>
      <c r="G18" s="75">
        <v>-3971.98</v>
      </c>
      <c r="H18" s="67">
        <f t="shared" si="1"/>
        <v>42425.829999999994</v>
      </c>
      <c r="I18" s="75">
        <f t="shared" si="2"/>
        <v>-596583.95000000007</v>
      </c>
    </row>
    <row r="19" spans="1:10" hidden="1" outlineLevel="1" x14ac:dyDescent="0.25">
      <c r="A19" s="71">
        <f t="shared" si="0"/>
        <v>12</v>
      </c>
      <c r="B19" s="66">
        <f>+B18+28</f>
        <v>39141</v>
      </c>
      <c r="D19" s="67">
        <v>41633.870000000003</v>
      </c>
      <c r="E19" s="67"/>
      <c r="F19" s="67"/>
      <c r="G19" s="75">
        <v>-3920.01</v>
      </c>
      <c r="H19" s="67">
        <f t="shared" si="1"/>
        <v>37713.86</v>
      </c>
      <c r="I19" s="75">
        <f t="shared" si="2"/>
        <v>-558870.09000000008</v>
      </c>
    </row>
    <row r="20" spans="1:10" hidden="1" outlineLevel="1" x14ac:dyDescent="0.25">
      <c r="A20" s="71">
        <f t="shared" si="0"/>
        <v>13</v>
      </c>
      <c r="B20" s="66">
        <f>+B19+31</f>
        <v>39172</v>
      </c>
      <c r="D20" s="67">
        <v>30959.43</v>
      </c>
      <c r="E20" s="67"/>
      <c r="F20" s="67"/>
      <c r="G20" s="75">
        <v>-3699.58</v>
      </c>
      <c r="H20" s="67">
        <f t="shared" si="1"/>
        <v>27259.85</v>
      </c>
      <c r="I20" s="75">
        <f t="shared" si="2"/>
        <v>-531610.24000000011</v>
      </c>
    </row>
    <row r="21" spans="1:10" hidden="1" outlineLevel="1" x14ac:dyDescent="0.25">
      <c r="A21" s="71">
        <f t="shared" si="0"/>
        <v>14</v>
      </c>
      <c r="B21" s="66">
        <f>+B20+30</f>
        <v>39202</v>
      </c>
      <c r="D21" s="67">
        <v>22211.56</v>
      </c>
      <c r="E21" s="67"/>
      <c r="F21" s="67"/>
      <c r="G21" s="75">
        <v>-3543.77</v>
      </c>
      <c r="H21" s="67">
        <f t="shared" si="1"/>
        <v>18667.79</v>
      </c>
      <c r="I21" s="75">
        <f t="shared" si="2"/>
        <v>-512942.45000000013</v>
      </c>
    </row>
    <row r="22" spans="1:10" hidden="1" outlineLevel="1" x14ac:dyDescent="0.25">
      <c r="A22" s="71">
        <f t="shared" si="0"/>
        <v>15</v>
      </c>
      <c r="B22" s="66">
        <f>+B21+31</f>
        <v>39233</v>
      </c>
      <c r="D22" s="67">
        <v>17015.62</v>
      </c>
      <c r="E22" s="67"/>
      <c r="F22" s="67"/>
      <c r="G22" s="75">
        <v>-3434.36</v>
      </c>
      <c r="H22" s="67">
        <f t="shared" si="1"/>
        <v>13581.259999999998</v>
      </c>
      <c r="I22" s="75">
        <f t="shared" si="2"/>
        <v>-499361.19000000012</v>
      </c>
    </row>
    <row r="23" spans="1:10" hidden="1" outlineLevel="1" x14ac:dyDescent="0.25">
      <c r="A23" s="71">
        <f t="shared" si="0"/>
        <v>16</v>
      </c>
      <c r="B23" s="66">
        <f>+B22+30</f>
        <v>39263</v>
      </c>
      <c r="D23" s="67">
        <v>11810.44</v>
      </c>
      <c r="E23" s="67"/>
      <c r="F23" s="67"/>
      <c r="G23" s="75">
        <v>-3460.84</v>
      </c>
      <c r="H23" s="67">
        <f t="shared" si="1"/>
        <v>8349.6</v>
      </c>
      <c r="I23" s="75">
        <f t="shared" si="2"/>
        <v>-491011.59000000014</v>
      </c>
      <c r="J23" s="75"/>
    </row>
    <row r="24" spans="1:10" hidden="1" outlineLevel="1" x14ac:dyDescent="0.25">
      <c r="A24" s="71">
        <f t="shared" si="0"/>
        <v>17</v>
      </c>
      <c r="B24" s="66">
        <f>+B23+31</f>
        <v>39294</v>
      </c>
      <c r="C24" s="93"/>
      <c r="D24" s="67">
        <v>9999.68</v>
      </c>
      <c r="E24" s="67"/>
      <c r="F24" s="67"/>
      <c r="G24" s="75">
        <f>ROUND((+I23+E24+(D24/2))*0.0825/12,2)</f>
        <v>-3341.33</v>
      </c>
      <c r="H24" s="67">
        <f t="shared" si="1"/>
        <v>6658.35</v>
      </c>
      <c r="I24" s="75">
        <f t="shared" si="2"/>
        <v>-484353.24000000017</v>
      </c>
    </row>
    <row r="25" spans="1:10" hidden="1" outlineLevel="1" x14ac:dyDescent="0.25">
      <c r="A25" s="71">
        <f t="shared" si="0"/>
        <v>18</v>
      </c>
      <c r="B25" s="66">
        <f>+B24+30</f>
        <v>39324</v>
      </c>
      <c r="C25" s="93"/>
      <c r="D25" s="67">
        <v>9248.5400000000009</v>
      </c>
      <c r="E25" s="67"/>
      <c r="F25" s="67"/>
      <c r="G25" s="75">
        <f>ROUND((+I24+E25+(D25/2))*0.0825/12,2)</f>
        <v>-3298.14</v>
      </c>
      <c r="H25" s="67">
        <f t="shared" si="1"/>
        <v>5950.4000000000015</v>
      </c>
      <c r="I25" s="75">
        <f t="shared" si="2"/>
        <v>-478402.84000000014</v>
      </c>
    </row>
    <row r="26" spans="1:10" hidden="1" outlineLevel="1" x14ac:dyDescent="0.25">
      <c r="A26" s="71">
        <f t="shared" si="0"/>
        <v>19</v>
      </c>
      <c r="B26" s="66">
        <f>+B25+30</f>
        <v>39354</v>
      </c>
      <c r="C26" s="93"/>
      <c r="D26" s="67">
        <v>10144.530000000001</v>
      </c>
      <c r="E26" s="67"/>
      <c r="F26" s="67"/>
      <c r="G26" s="75">
        <f>ROUND((+I25+E26+(D26/2))*0.0825/12,2)</f>
        <v>-3254.15</v>
      </c>
      <c r="H26" s="67">
        <f t="shared" si="1"/>
        <v>6890.380000000001</v>
      </c>
      <c r="I26" s="75">
        <f t="shared" si="2"/>
        <v>-471512.46000000014</v>
      </c>
    </row>
    <row r="27" spans="1:10" hidden="1" outlineLevel="1" x14ac:dyDescent="0.25">
      <c r="A27" s="71">
        <f t="shared" si="0"/>
        <v>20</v>
      </c>
      <c r="B27" s="66">
        <f>+B26+31</f>
        <v>39385</v>
      </c>
      <c r="C27" s="93"/>
      <c r="D27" s="67">
        <v>15090.36</v>
      </c>
      <c r="E27" s="67"/>
      <c r="F27" s="67"/>
      <c r="G27" s="76">
        <f>ROUND((+I26+E27+(D27/2))*0.0825/12,2)</f>
        <v>-3189.78</v>
      </c>
      <c r="H27" s="67">
        <f t="shared" si="1"/>
        <v>11900.58</v>
      </c>
      <c r="I27" s="75">
        <f t="shared" si="2"/>
        <v>-459611.88000000012</v>
      </c>
    </row>
    <row r="28" spans="1:10" hidden="1" outlineLevel="1" x14ac:dyDescent="0.25">
      <c r="A28" s="71">
        <f t="shared" si="0"/>
        <v>21</v>
      </c>
      <c r="B28" s="66">
        <f>+B27+30</f>
        <v>39415</v>
      </c>
      <c r="C28" s="66" t="s">
        <v>355</v>
      </c>
      <c r="D28" s="67">
        <v>11269.68</v>
      </c>
      <c r="E28" s="67">
        <f>-'151540 WACOG Deferral'!E28</f>
        <v>-5713797</v>
      </c>
      <c r="F28" s="67"/>
      <c r="G28" s="76">
        <f>ROUND((+I27+E28+(D28/2))*0.0825/12,2)</f>
        <v>-42403.45</v>
      </c>
      <c r="H28" s="67">
        <f t="shared" si="1"/>
        <v>-5744930.7700000005</v>
      </c>
      <c r="I28" s="75">
        <f t="shared" si="2"/>
        <v>-6204542.6500000004</v>
      </c>
    </row>
    <row r="29" spans="1:10" hidden="1" outlineLevel="1" x14ac:dyDescent="0.25">
      <c r="A29" s="71">
        <f t="shared" si="0"/>
        <v>22</v>
      </c>
      <c r="B29" s="66">
        <f>+B28</f>
        <v>39415</v>
      </c>
      <c r="C29" s="66" t="s">
        <v>354</v>
      </c>
      <c r="D29" s="67">
        <v>233322.88</v>
      </c>
      <c r="E29" s="67"/>
      <c r="F29" s="67"/>
      <c r="G29" s="76">
        <f>ROUND((+(D29/2))*0.0825/12,2)</f>
        <v>802.05</v>
      </c>
      <c r="H29" s="67">
        <f t="shared" si="1"/>
        <v>234124.93</v>
      </c>
      <c r="I29" s="75">
        <f t="shared" si="2"/>
        <v>-5970417.7200000007</v>
      </c>
    </row>
    <row r="30" spans="1:10" hidden="1" outlineLevel="1" x14ac:dyDescent="0.25">
      <c r="A30" s="71">
        <f t="shared" si="0"/>
        <v>23</v>
      </c>
      <c r="B30" s="66">
        <f>+B28+31</f>
        <v>39446</v>
      </c>
      <c r="D30" s="67">
        <v>691497</v>
      </c>
      <c r="E30" s="67"/>
      <c r="F30" s="67"/>
      <c r="G30" s="76">
        <f>ROUND((+I29+E30+(D30/2))*0.0825/12,2)</f>
        <v>-38669.599999999999</v>
      </c>
      <c r="H30" s="67">
        <f t="shared" si="1"/>
        <v>652827.4</v>
      </c>
      <c r="I30" s="75">
        <f t="shared" si="2"/>
        <v>-5317590.32</v>
      </c>
    </row>
    <row r="31" spans="1:10" hidden="1" outlineLevel="1" x14ac:dyDescent="0.25">
      <c r="A31" s="71">
        <f t="shared" si="0"/>
        <v>24</v>
      </c>
      <c r="B31" s="66">
        <f>+B30+31</f>
        <v>39477</v>
      </c>
      <c r="D31" s="67">
        <v>835033.65</v>
      </c>
      <c r="G31" s="76">
        <f>ROUND((+I30+E31+(D31/2))*0.0776/12,2)</f>
        <v>-31687.14</v>
      </c>
      <c r="H31" s="67">
        <f t="shared" si="1"/>
        <v>803346.51</v>
      </c>
      <c r="I31" s="75">
        <f t="shared" si="2"/>
        <v>-4514243.8100000005</v>
      </c>
    </row>
    <row r="32" spans="1:10" hidden="1" outlineLevel="1" x14ac:dyDescent="0.25">
      <c r="A32" s="71">
        <f t="shared" si="0"/>
        <v>25</v>
      </c>
      <c r="B32" s="66">
        <f>+B31+29</f>
        <v>39506</v>
      </c>
      <c r="D32" s="67">
        <v>790013.29</v>
      </c>
      <c r="G32" s="76">
        <f>ROUND((+I31+E32+(D32/2))*0.0776/12,2)</f>
        <v>-26637.73</v>
      </c>
      <c r="H32" s="67">
        <f t="shared" si="1"/>
        <v>763375.56</v>
      </c>
      <c r="I32" s="75">
        <f t="shared" si="2"/>
        <v>-3750868.2500000005</v>
      </c>
    </row>
    <row r="33" spans="1:9" hidden="1" outlineLevel="1" x14ac:dyDescent="0.25">
      <c r="A33" s="71">
        <f t="shared" si="0"/>
        <v>26</v>
      </c>
      <c r="B33" s="66">
        <f>+B32+31</f>
        <v>39537</v>
      </c>
      <c r="D33" s="67">
        <v>578221.73</v>
      </c>
      <c r="G33" s="76">
        <f>ROUND((+I32+E33+(D33/2))*0.0776/12,2)</f>
        <v>-22386.03</v>
      </c>
      <c r="H33" s="67">
        <f t="shared" si="1"/>
        <v>555835.69999999995</v>
      </c>
      <c r="I33" s="75">
        <f t="shared" si="2"/>
        <v>-3195032.5500000007</v>
      </c>
    </row>
    <row r="34" spans="1:9" hidden="1" outlineLevel="1" x14ac:dyDescent="0.25">
      <c r="A34" s="71">
        <f t="shared" si="0"/>
        <v>27</v>
      </c>
      <c r="B34" s="66">
        <f>+B33+30</f>
        <v>39567</v>
      </c>
      <c r="D34" s="67">
        <v>588237.96</v>
      </c>
      <c r="G34" s="76">
        <f>ROUND((+I33+E34+(D34/2))*0.0677/12,2)</f>
        <v>-16365.99</v>
      </c>
      <c r="H34" s="67">
        <f t="shared" si="1"/>
        <v>571871.97</v>
      </c>
      <c r="I34" s="75">
        <f t="shared" si="2"/>
        <v>-2623160.580000001</v>
      </c>
    </row>
    <row r="35" spans="1:9" hidden="1" outlineLevel="1" x14ac:dyDescent="0.25">
      <c r="A35" s="71">
        <f t="shared" si="0"/>
        <v>28</v>
      </c>
      <c r="B35" s="66">
        <f>+B34+31</f>
        <v>39598</v>
      </c>
      <c r="D35" s="67">
        <v>398285.64</v>
      </c>
      <c r="G35" s="76">
        <f>ROUND((+I34+E35+(D35/2))*0.0677/12,2)</f>
        <v>-13675.5</v>
      </c>
      <c r="H35" s="67">
        <f t="shared" si="1"/>
        <v>384610.14</v>
      </c>
      <c r="I35" s="75">
        <f t="shared" si="2"/>
        <v>-2238550.4400000009</v>
      </c>
    </row>
    <row r="36" spans="1:9" hidden="1" outlineLevel="1" x14ac:dyDescent="0.25">
      <c r="A36" s="71">
        <f t="shared" si="0"/>
        <v>29</v>
      </c>
      <c r="B36" s="66">
        <f>+B35+30</f>
        <v>39628</v>
      </c>
      <c r="D36" s="67">
        <v>269730.38</v>
      </c>
      <c r="G36" s="76">
        <f>ROUND((+I35+E36+(D36/2))*0.0677/12,2)</f>
        <v>-11868.29</v>
      </c>
      <c r="H36" s="67">
        <f t="shared" si="1"/>
        <v>257862.09</v>
      </c>
      <c r="I36" s="75">
        <f t="shared" si="2"/>
        <v>-1980688.3500000008</v>
      </c>
    </row>
    <row r="37" spans="1:9" hidden="1" outlineLevel="1" x14ac:dyDescent="0.25">
      <c r="A37" s="71">
        <f t="shared" si="0"/>
        <v>30</v>
      </c>
      <c r="B37" s="66">
        <f>+B36+31</f>
        <v>39659</v>
      </c>
      <c r="D37" s="67">
        <v>205144.05</v>
      </c>
      <c r="G37" s="76">
        <f>ROUND((+I36+E37+(D37/2))*0.053/12,2)</f>
        <v>-8295.01</v>
      </c>
      <c r="H37" s="67">
        <f t="shared" si="1"/>
        <v>196849.03999999998</v>
      </c>
      <c r="I37" s="75">
        <f t="shared" si="2"/>
        <v>-1783839.3100000008</v>
      </c>
    </row>
    <row r="38" spans="1:9" hidden="1" outlineLevel="1" x14ac:dyDescent="0.25">
      <c r="A38" s="71">
        <f t="shared" si="0"/>
        <v>31</v>
      </c>
      <c r="B38" s="66">
        <f>+B37+30</f>
        <v>39689</v>
      </c>
      <c r="D38" s="67">
        <v>173863.12</v>
      </c>
      <c r="G38" s="76">
        <f>ROUND((+I37+E38+(D38/2))*0.053/12,2)</f>
        <v>-7494.68</v>
      </c>
      <c r="H38" s="67">
        <f t="shared" si="1"/>
        <v>166368.44</v>
      </c>
      <c r="I38" s="75">
        <f t="shared" si="2"/>
        <v>-1617470.8700000008</v>
      </c>
    </row>
    <row r="39" spans="1:9" hidden="1" outlineLevel="1" x14ac:dyDescent="0.25">
      <c r="A39" s="71">
        <f t="shared" si="0"/>
        <v>32</v>
      </c>
      <c r="B39" s="66">
        <f>+B38+30</f>
        <v>39719</v>
      </c>
      <c r="D39" s="67">
        <v>182358.51</v>
      </c>
      <c r="G39" s="76">
        <f>ROUND((+I38+E39+(D39/2))*0.053/12,2)</f>
        <v>-6741.12</v>
      </c>
      <c r="H39" s="67">
        <f t="shared" si="1"/>
        <v>175617.39</v>
      </c>
      <c r="I39" s="75">
        <f t="shared" si="2"/>
        <v>-1441853.4800000009</v>
      </c>
    </row>
    <row r="40" spans="1:9" hidden="1" outlineLevel="1" x14ac:dyDescent="0.25">
      <c r="A40" s="71">
        <f t="shared" si="0"/>
        <v>33</v>
      </c>
      <c r="B40" s="66">
        <f>+B39+31</f>
        <v>39750</v>
      </c>
      <c r="D40" s="67">
        <f>242723-12</f>
        <v>242711</v>
      </c>
      <c r="E40" s="67"/>
      <c r="F40" s="67"/>
      <c r="G40" s="76">
        <f>ROUND((+I39+E40+(D40/2))*0.05/12,2)</f>
        <v>-5502.07</v>
      </c>
      <c r="H40" s="67">
        <f t="shared" si="1"/>
        <v>237208.93</v>
      </c>
      <c r="I40" s="75">
        <f t="shared" si="2"/>
        <v>-1204644.550000001</v>
      </c>
    </row>
    <row r="41" spans="1:9" hidden="1" outlineLevel="1" x14ac:dyDescent="0.25">
      <c r="A41" s="71">
        <f t="shared" si="0"/>
        <v>34</v>
      </c>
      <c r="B41" s="66">
        <f>+B40+30</f>
        <v>39780</v>
      </c>
      <c r="D41" s="67">
        <v>145406.41</v>
      </c>
      <c r="E41" s="67">
        <f>-'151540 WACOG Deferral'!E40</f>
        <v>2262733</v>
      </c>
      <c r="F41" s="67"/>
      <c r="G41" s="76">
        <f>ROUND((+I40+E41+(D41/2))*0.05/12,2)</f>
        <v>4711.63</v>
      </c>
      <c r="H41" s="67">
        <f t="shared" si="1"/>
        <v>2412851.04</v>
      </c>
      <c r="I41" s="75">
        <f t="shared" si="2"/>
        <v>1208206.4899999991</v>
      </c>
    </row>
    <row r="42" spans="1:9" hidden="1" outlineLevel="1" x14ac:dyDescent="0.25">
      <c r="A42" s="71">
        <f t="shared" si="0"/>
        <v>35</v>
      </c>
      <c r="B42" s="66">
        <f>+B41+31</f>
        <v>39811</v>
      </c>
      <c r="D42" s="67">
        <v>-145297</v>
      </c>
      <c r="G42" s="76">
        <f>ROUND((+I41+E42+(D42/2))*0.05/12,2)</f>
        <v>4731.49</v>
      </c>
      <c r="H42" s="67">
        <f t="shared" si="1"/>
        <v>-140565.51</v>
      </c>
      <c r="I42" s="75">
        <f t="shared" si="2"/>
        <v>1067640.9799999991</v>
      </c>
    </row>
    <row r="43" spans="1:9" hidden="1" outlineLevel="1" x14ac:dyDescent="0.25">
      <c r="A43" s="71">
        <f t="shared" si="0"/>
        <v>36</v>
      </c>
      <c r="B43" s="66">
        <f>+B42+31</f>
        <v>39842</v>
      </c>
      <c r="D43" s="67">
        <v>-205495.43</v>
      </c>
      <c r="G43" s="76">
        <f>ROUND((+I42+E43+(D43/2))*0.0452/12,2)</f>
        <v>3634.43</v>
      </c>
      <c r="H43" s="67">
        <f t="shared" si="1"/>
        <v>-201861</v>
      </c>
      <c r="I43" s="75">
        <f t="shared" si="2"/>
        <v>865779.97999999905</v>
      </c>
    </row>
    <row r="44" spans="1:9" hidden="1" outlineLevel="1" x14ac:dyDescent="0.25">
      <c r="A44" s="71">
        <f t="shared" si="0"/>
        <v>37</v>
      </c>
      <c r="B44" s="66">
        <f>+B43+28</f>
        <v>39870</v>
      </c>
      <c r="D44" s="67">
        <v>-180219.15</v>
      </c>
      <c r="G44" s="76">
        <f>ROUND((+I43+E44+(D44/2))*0.0452/12,2)</f>
        <v>2921.69</v>
      </c>
      <c r="H44" s="67">
        <f t="shared" si="1"/>
        <v>-177297.46</v>
      </c>
      <c r="I44" s="75">
        <f t="shared" si="2"/>
        <v>688482.51999999909</v>
      </c>
    </row>
    <row r="45" spans="1:9" hidden="1" outlineLevel="1" x14ac:dyDescent="0.25">
      <c r="A45" s="71">
        <f t="shared" si="0"/>
        <v>38</v>
      </c>
      <c r="B45" s="66">
        <f>+B44+31</f>
        <v>39901</v>
      </c>
      <c r="D45" s="67">
        <v>-161853.42000000001</v>
      </c>
      <c r="G45" s="76">
        <f>ROUND((+I44+E45+(D45/2))*0.0452/12,2)</f>
        <v>2288.46</v>
      </c>
      <c r="H45" s="67">
        <f t="shared" si="1"/>
        <v>-159564.96000000002</v>
      </c>
      <c r="I45" s="75">
        <f t="shared" si="2"/>
        <v>528917.55999999912</v>
      </c>
    </row>
    <row r="46" spans="1:9" hidden="1" outlineLevel="1" x14ac:dyDescent="0.25">
      <c r="A46" s="71">
        <f t="shared" si="0"/>
        <v>39</v>
      </c>
      <c r="B46" s="66">
        <f>+B45+30</f>
        <v>39931</v>
      </c>
      <c r="D46" s="67">
        <v>-121126.76</v>
      </c>
      <c r="G46" s="76">
        <f>ROUND((+I45+E46+(D46/2))*0.0337/12,2)</f>
        <v>1315.29</v>
      </c>
      <c r="H46" s="67">
        <f t="shared" si="1"/>
        <v>-119811.47</v>
      </c>
      <c r="I46" s="75">
        <f t="shared" si="2"/>
        <v>409106.08999999915</v>
      </c>
    </row>
    <row r="47" spans="1:9" hidden="1" outlineLevel="1" x14ac:dyDescent="0.25">
      <c r="A47" s="71">
        <f t="shared" si="0"/>
        <v>40</v>
      </c>
      <c r="B47" s="66">
        <f>+B46+31</f>
        <v>39962</v>
      </c>
      <c r="D47" s="67">
        <v>-77329.429999999993</v>
      </c>
      <c r="G47" s="76">
        <f>ROUND((+I46+E47+(D47/2))*0.0337/12,2)</f>
        <v>1040.32</v>
      </c>
      <c r="H47" s="67">
        <f t="shared" si="1"/>
        <v>-76289.109999999986</v>
      </c>
      <c r="I47" s="75">
        <f t="shared" si="2"/>
        <v>332816.97999999917</v>
      </c>
    </row>
    <row r="48" spans="1:9" hidden="1" outlineLevel="1" x14ac:dyDescent="0.25">
      <c r="A48" s="71">
        <f t="shared" si="0"/>
        <v>41</v>
      </c>
      <c r="B48" s="66">
        <f>+B47+30</f>
        <v>39992</v>
      </c>
      <c r="D48" s="67">
        <v>4092989.09</v>
      </c>
      <c r="E48" s="67">
        <f>-'151540 WACOG Deferral'!E47</f>
        <v>-4072328.88</v>
      </c>
      <c r="F48" s="67"/>
      <c r="G48" s="76">
        <f>ROUND((+I47+E48+(D48/2))*0.0337/12,2)</f>
        <v>-4754.5600000000004</v>
      </c>
      <c r="H48" s="67">
        <f t="shared" si="1"/>
        <v>15905.649999999961</v>
      </c>
      <c r="I48" s="75">
        <f t="shared" si="2"/>
        <v>348722.62999999913</v>
      </c>
    </row>
    <row r="49" spans="1:12" hidden="1" outlineLevel="1" x14ac:dyDescent="0.25">
      <c r="A49" s="71">
        <f t="shared" si="0"/>
        <v>42</v>
      </c>
      <c r="B49" s="66">
        <f>+B48+31</f>
        <v>40023</v>
      </c>
      <c r="D49" s="67">
        <v>-39805.550000000003</v>
      </c>
      <c r="G49" s="76">
        <f>ROUND((+I48+E49+(D49/2))*0.0325/12,2)</f>
        <v>890.55</v>
      </c>
      <c r="H49" s="67">
        <f t="shared" si="1"/>
        <v>-38915</v>
      </c>
      <c r="I49" s="75">
        <f t="shared" si="2"/>
        <v>309807.62999999913</v>
      </c>
    </row>
    <row r="50" spans="1:12" hidden="1" outlineLevel="1" x14ac:dyDescent="0.25">
      <c r="A50" s="71">
        <f t="shared" si="0"/>
        <v>43</v>
      </c>
      <c r="B50" s="66">
        <f>+B49+30</f>
        <v>40053</v>
      </c>
      <c r="D50" s="67">
        <v>-37281.910000000003</v>
      </c>
      <c r="G50" s="76">
        <f>ROUND((+I49+E50+(D50/2))*0.0325/12,2)</f>
        <v>788.58</v>
      </c>
      <c r="H50" s="67">
        <f t="shared" si="1"/>
        <v>-36493.33</v>
      </c>
      <c r="I50" s="75">
        <f t="shared" si="2"/>
        <v>273314.29999999912</v>
      </c>
    </row>
    <row r="51" spans="1:12" hidden="1" outlineLevel="1" x14ac:dyDescent="0.25">
      <c r="A51" s="71">
        <f t="shared" si="0"/>
        <v>44</v>
      </c>
      <c r="B51" s="66">
        <f>+B50+30</f>
        <v>40083</v>
      </c>
      <c r="D51" s="67">
        <v>-40411.11</v>
      </c>
      <c r="G51" s="76">
        <f>ROUND((+I50+E51+(D51/2))*0.0325/12,2)</f>
        <v>685.5</v>
      </c>
      <c r="H51" s="67">
        <f t="shared" si="1"/>
        <v>-39725.61</v>
      </c>
      <c r="I51" s="75">
        <f t="shared" si="2"/>
        <v>233588.68999999913</v>
      </c>
    </row>
    <row r="52" spans="1:12" hidden="1" outlineLevel="1" x14ac:dyDescent="0.25">
      <c r="A52" s="71">
        <f t="shared" si="0"/>
        <v>45</v>
      </c>
      <c r="B52" s="66">
        <f>+B51+31</f>
        <v>40114</v>
      </c>
      <c r="D52" s="67">
        <v>-56417.1</v>
      </c>
      <c r="G52" s="76">
        <f>ROUND((+I51+E52+(D52/2))*0.0325/12,2)</f>
        <v>556.24</v>
      </c>
      <c r="H52" s="67">
        <f t="shared" si="1"/>
        <v>-55860.86</v>
      </c>
      <c r="I52" s="75">
        <f t="shared" si="2"/>
        <v>177727.82999999914</v>
      </c>
    </row>
    <row r="53" spans="1:12" hidden="1" outlineLevel="1" x14ac:dyDescent="0.25">
      <c r="A53" s="71">
        <f t="shared" si="0"/>
        <v>46</v>
      </c>
      <c r="B53" s="66">
        <f>+B52+30</f>
        <v>40144</v>
      </c>
      <c r="D53" s="67">
        <v>-47340.04</v>
      </c>
      <c r="G53" s="76">
        <f>ROUND((+I52+E53+(D53/2))*0.0325/12,2)</f>
        <v>417.24</v>
      </c>
      <c r="H53" s="67">
        <f t="shared" si="1"/>
        <v>-46922.8</v>
      </c>
      <c r="I53" s="75">
        <f t="shared" si="2"/>
        <v>130805.02999999914</v>
      </c>
    </row>
    <row r="54" spans="1:12" hidden="1" outlineLevel="1" x14ac:dyDescent="0.25">
      <c r="A54" s="71">
        <f t="shared" si="0"/>
        <v>47</v>
      </c>
      <c r="B54" s="66">
        <f>+B53+30</f>
        <v>40174</v>
      </c>
      <c r="D54" s="67"/>
      <c r="G54" s="76"/>
      <c r="H54" s="67"/>
      <c r="I54" s="75"/>
    </row>
    <row r="55" spans="1:12" hidden="1" outlineLevel="1" x14ac:dyDescent="0.25">
      <c r="A55" s="71">
        <f t="shared" si="0"/>
        <v>48</v>
      </c>
      <c r="C55" s="66" t="s">
        <v>354</v>
      </c>
      <c r="D55" s="67">
        <f>164696.55-126</f>
        <v>164570.54999999999</v>
      </c>
      <c r="E55" s="67">
        <f>-'151540 WACOG Deferral'!E52</f>
        <v>-4409571.21</v>
      </c>
      <c r="F55" s="67"/>
      <c r="G55" s="76">
        <f>ROUND((+E55+(D55/2))*0.0325/12,2)</f>
        <v>-11719.73</v>
      </c>
      <c r="H55" s="67">
        <f t="shared" ref="H55:H86" si="3">SUM(D55:G55)</f>
        <v>-4256720.3900000006</v>
      </c>
      <c r="I55" s="75">
        <f>+I53+H55</f>
        <v>-4125915.3600000013</v>
      </c>
      <c r="K55" s="67"/>
      <c r="L55" s="67"/>
    </row>
    <row r="56" spans="1:12" hidden="1" outlineLevel="1" x14ac:dyDescent="0.25">
      <c r="A56" s="71">
        <f t="shared" si="0"/>
        <v>49</v>
      </c>
      <c r="B56" s="66">
        <f>+B53+31</f>
        <v>40175</v>
      </c>
      <c r="D56" s="67">
        <v>538177.81000000006</v>
      </c>
      <c r="G56" s="76">
        <f>ROUND((+I55+E56+(D56/2))*0.0325/12,2)</f>
        <v>-10445.57</v>
      </c>
      <c r="H56" s="67">
        <f t="shared" si="3"/>
        <v>527732.24000000011</v>
      </c>
      <c r="I56" s="75">
        <f t="shared" ref="I56:I119" si="4">+I55+H56</f>
        <v>-3598183.120000001</v>
      </c>
    </row>
    <row r="57" spans="1:12" hidden="1" outlineLevel="1" x14ac:dyDescent="0.25">
      <c r="A57" s="71">
        <f t="shared" si="0"/>
        <v>50</v>
      </c>
      <c r="B57" s="66">
        <f>+B56+31</f>
        <v>40206</v>
      </c>
      <c r="D57" s="67">
        <v>609774.49607460003</v>
      </c>
      <c r="G57" s="76">
        <f>ROUND((+I56+E57+(D57/2))*0.0325/12,2)</f>
        <v>-8919.34</v>
      </c>
      <c r="H57" s="67">
        <f t="shared" si="3"/>
        <v>600855.15607460006</v>
      </c>
      <c r="I57" s="75">
        <f t="shared" si="4"/>
        <v>-2997327.9639254007</v>
      </c>
    </row>
    <row r="58" spans="1:12" hidden="1" outlineLevel="1" x14ac:dyDescent="0.25">
      <c r="A58" s="71">
        <f t="shared" si="0"/>
        <v>51</v>
      </c>
      <c r="B58" s="66">
        <f>+B57+28</f>
        <v>40234</v>
      </c>
      <c r="D58" s="67">
        <v>419977.48348609993</v>
      </c>
      <c r="G58" s="76">
        <v>-7549.04</v>
      </c>
      <c r="H58" s="67">
        <f t="shared" si="3"/>
        <v>412428.44348609995</v>
      </c>
      <c r="I58" s="75">
        <f t="shared" si="4"/>
        <v>-2584899.5204393007</v>
      </c>
    </row>
    <row r="59" spans="1:12" hidden="1" outlineLevel="1" x14ac:dyDescent="0.25">
      <c r="A59" s="71">
        <f t="shared" si="0"/>
        <v>52</v>
      </c>
      <c r="B59" s="66">
        <f>+B58+31</f>
        <v>40265</v>
      </c>
      <c r="D59" s="67">
        <v>359134.14</v>
      </c>
      <c r="G59" s="76">
        <f t="shared" ref="G59:G67" si="5">ROUND((+I58+E59+(D59/2))*0.0325/12,2)</f>
        <v>-6514.44</v>
      </c>
      <c r="H59" s="67">
        <f t="shared" si="3"/>
        <v>352619.7</v>
      </c>
      <c r="I59" s="75">
        <f t="shared" si="4"/>
        <v>-2232279.8204393005</v>
      </c>
    </row>
    <row r="60" spans="1:12" hidden="1" outlineLevel="1" x14ac:dyDescent="0.25">
      <c r="A60" s="71">
        <f t="shared" si="0"/>
        <v>53</v>
      </c>
      <c r="B60" s="66">
        <f>+B59+30</f>
        <v>40295</v>
      </c>
      <c r="D60" s="67">
        <v>338444.62</v>
      </c>
      <c r="G60" s="76">
        <f t="shared" si="5"/>
        <v>-5587.45</v>
      </c>
      <c r="H60" s="67">
        <f t="shared" si="3"/>
        <v>332857.17</v>
      </c>
      <c r="I60" s="75">
        <f t="shared" si="4"/>
        <v>-1899422.6504393006</v>
      </c>
    </row>
    <row r="61" spans="1:12" hidden="1" outlineLevel="1" x14ac:dyDescent="0.25">
      <c r="A61" s="71">
        <f t="shared" si="0"/>
        <v>54</v>
      </c>
      <c r="B61" s="66">
        <f>+B60+31</f>
        <v>40326</v>
      </c>
      <c r="D61" s="67">
        <v>260032.1</v>
      </c>
      <c r="G61" s="76">
        <f t="shared" si="5"/>
        <v>-4792.1400000000003</v>
      </c>
      <c r="H61" s="67">
        <f t="shared" si="3"/>
        <v>255239.96</v>
      </c>
      <c r="I61" s="75">
        <f t="shared" si="4"/>
        <v>-1644182.6904393006</v>
      </c>
    </row>
    <row r="62" spans="1:12" hidden="1" outlineLevel="1" x14ac:dyDescent="0.25">
      <c r="A62" s="71">
        <f t="shared" si="0"/>
        <v>55</v>
      </c>
      <c r="B62" s="66">
        <f>+B61+30</f>
        <v>40356</v>
      </c>
      <c r="D62" s="67">
        <v>208054.98</v>
      </c>
      <c r="E62" s="67"/>
      <c r="F62" s="67"/>
      <c r="G62" s="76">
        <f t="shared" si="5"/>
        <v>-4171.25</v>
      </c>
      <c r="H62" s="67">
        <f t="shared" si="3"/>
        <v>203883.73</v>
      </c>
      <c r="I62" s="75">
        <f t="shared" si="4"/>
        <v>-1440298.9604393006</v>
      </c>
    </row>
    <row r="63" spans="1:12" hidden="1" outlineLevel="1" x14ac:dyDescent="0.25">
      <c r="A63" s="71">
        <f t="shared" si="0"/>
        <v>56</v>
      </c>
      <c r="B63" s="66">
        <f>+B62+31</f>
        <v>40387</v>
      </c>
      <c r="D63" s="67">
        <v>147452.81098089999</v>
      </c>
      <c r="E63" s="67"/>
      <c r="F63" s="67"/>
      <c r="G63" s="76">
        <f t="shared" si="5"/>
        <v>-3701.13</v>
      </c>
      <c r="H63" s="67">
        <f t="shared" si="3"/>
        <v>143751.68098089998</v>
      </c>
      <c r="I63" s="75">
        <f t="shared" si="4"/>
        <v>-1296547.2794584006</v>
      </c>
      <c r="K63" s="67"/>
    </row>
    <row r="64" spans="1:12" hidden="1" outlineLevel="1" x14ac:dyDescent="0.25">
      <c r="A64" s="71">
        <f t="shared" si="0"/>
        <v>57</v>
      </c>
      <c r="B64" s="66">
        <f>+B63+30</f>
        <v>40417</v>
      </c>
      <c r="D64" s="67">
        <v>130079.2587949</v>
      </c>
      <c r="E64" s="67"/>
      <c r="F64" s="67"/>
      <c r="G64" s="76">
        <f t="shared" si="5"/>
        <v>-3335.33</v>
      </c>
      <c r="H64" s="67">
        <f t="shared" si="3"/>
        <v>126743.9287949</v>
      </c>
      <c r="I64" s="75">
        <f t="shared" si="4"/>
        <v>-1169803.3506635006</v>
      </c>
    </row>
    <row r="65" spans="1:9" hidden="1" outlineLevel="1" x14ac:dyDescent="0.25">
      <c r="A65" s="71">
        <f t="shared" si="0"/>
        <v>58</v>
      </c>
      <c r="B65" s="66">
        <f>+B64+30</f>
        <v>40447</v>
      </c>
      <c r="D65" s="67">
        <v>132544.51323279997</v>
      </c>
      <c r="E65" s="67"/>
      <c r="F65" s="67"/>
      <c r="G65" s="76">
        <f t="shared" si="5"/>
        <v>-2988.73</v>
      </c>
      <c r="H65" s="67">
        <f t="shared" si="3"/>
        <v>129555.78323279998</v>
      </c>
      <c r="I65" s="75">
        <f t="shared" si="4"/>
        <v>-1040247.5674307006</v>
      </c>
    </row>
    <row r="66" spans="1:9" hidden="1" outlineLevel="1" x14ac:dyDescent="0.25">
      <c r="A66" s="71">
        <f t="shared" si="0"/>
        <v>59</v>
      </c>
      <c r="B66" s="66">
        <f>+B65+31</f>
        <v>40478</v>
      </c>
      <c r="D66" s="67">
        <v>160991.21</v>
      </c>
      <c r="G66" s="76">
        <f t="shared" si="5"/>
        <v>-2599.33</v>
      </c>
      <c r="H66" s="67">
        <f t="shared" si="3"/>
        <v>158391.88</v>
      </c>
      <c r="I66" s="75">
        <f t="shared" si="4"/>
        <v>-881855.68743070064</v>
      </c>
    </row>
    <row r="67" spans="1:9" hidden="1" outlineLevel="1" x14ac:dyDescent="0.25">
      <c r="A67" s="71">
        <f t="shared" si="0"/>
        <v>60</v>
      </c>
      <c r="B67" s="66">
        <f>+B66+30</f>
        <v>40508</v>
      </c>
      <c r="C67" s="66" t="s">
        <v>355</v>
      </c>
      <c r="D67" s="67">
        <v>134323.07</v>
      </c>
      <c r="E67" s="67"/>
      <c r="F67" s="67"/>
      <c r="G67" s="76">
        <f t="shared" si="5"/>
        <v>-2206.46</v>
      </c>
      <c r="H67" s="67">
        <f t="shared" si="3"/>
        <v>132116.61000000002</v>
      </c>
      <c r="I67" s="75">
        <f t="shared" si="4"/>
        <v>-749739.07743070065</v>
      </c>
    </row>
    <row r="68" spans="1:9" hidden="1" outlineLevel="1" x14ac:dyDescent="0.25">
      <c r="A68" s="71">
        <f t="shared" si="0"/>
        <v>61</v>
      </c>
      <c r="C68" s="66" t="s">
        <v>354</v>
      </c>
      <c r="D68" s="67">
        <v>93545.33</v>
      </c>
      <c r="E68" s="67">
        <f>-'151540 WACOG Deferral'!E65</f>
        <v>-2005890.9999999995</v>
      </c>
      <c r="F68" s="67"/>
      <c r="G68" s="76">
        <f>ROUND((+E68+(D68/2))*0.0325/12,2)</f>
        <v>-5305.95</v>
      </c>
      <c r="H68" s="67">
        <f t="shared" si="3"/>
        <v>-1917651.6199999994</v>
      </c>
      <c r="I68" s="75">
        <f t="shared" si="4"/>
        <v>-2667390.6974307001</v>
      </c>
    </row>
    <row r="69" spans="1:9" hidden="1" outlineLevel="1" x14ac:dyDescent="0.25">
      <c r="A69" s="71">
        <f t="shared" si="0"/>
        <v>62</v>
      </c>
      <c r="B69" s="66">
        <f>+B67+31</f>
        <v>40539</v>
      </c>
      <c r="D69" s="67">
        <v>380591.72</v>
      </c>
      <c r="G69" s="76">
        <f>ROUND((+I68+E69+(D69/2))*0.0325/12,2)</f>
        <v>-6708.8</v>
      </c>
      <c r="H69" s="67">
        <f t="shared" si="3"/>
        <v>373882.92</v>
      </c>
      <c r="I69" s="75">
        <f t="shared" si="4"/>
        <v>-2293507.7774307001</v>
      </c>
    </row>
    <row r="70" spans="1:9" hidden="1" outlineLevel="1" x14ac:dyDescent="0.25">
      <c r="A70" s="71">
        <f t="shared" si="0"/>
        <v>63</v>
      </c>
      <c r="B70" s="66">
        <f>+B69+31</f>
        <v>40570</v>
      </c>
      <c r="D70" s="67">
        <v>446885.18</v>
      </c>
      <c r="F70" s="77">
        <v>3.2500000000000001E-2</v>
      </c>
      <c r="G70" s="76">
        <f t="shared" ref="G70:G80" si="6">ROUND((+I69+E70+(D70/2))*F70/12,0)</f>
        <v>-5606</v>
      </c>
      <c r="H70" s="67">
        <f t="shared" si="3"/>
        <v>441279.21249999997</v>
      </c>
      <c r="I70" s="75">
        <f t="shared" si="4"/>
        <v>-1852228.5649307002</v>
      </c>
    </row>
    <row r="71" spans="1:9" hidden="1" outlineLevel="1" x14ac:dyDescent="0.25">
      <c r="A71" s="71">
        <f t="shared" si="0"/>
        <v>64</v>
      </c>
      <c r="B71" s="66">
        <f>+B70+28</f>
        <v>40598</v>
      </c>
      <c r="D71" s="67">
        <v>357784.16</v>
      </c>
      <c r="F71" s="77">
        <v>3.2500000000000001E-2</v>
      </c>
      <c r="G71" s="76">
        <f t="shared" si="6"/>
        <v>-4532</v>
      </c>
      <c r="H71" s="67">
        <f t="shared" si="3"/>
        <v>353252.19249999995</v>
      </c>
      <c r="I71" s="75">
        <f t="shared" si="4"/>
        <v>-1498976.3724307003</v>
      </c>
    </row>
    <row r="72" spans="1:9" hidden="1" outlineLevel="1" x14ac:dyDescent="0.25">
      <c r="A72" s="71">
        <f t="shared" si="0"/>
        <v>65</v>
      </c>
      <c r="B72" s="66">
        <f>+B71+31</f>
        <v>40629</v>
      </c>
      <c r="D72" s="67">
        <v>378695.88</v>
      </c>
      <c r="F72" s="77">
        <v>3.2500000000000001E-2</v>
      </c>
      <c r="G72" s="76">
        <f t="shared" si="6"/>
        <v>-3547</v>
      </c>
      <c r="H72" s="67">
        <f t="shared" si="3"/>
        <v>375148.91249999998</v>
      </c>
      <c r="I72" s="75">
        <f t="shared" si="4"/>
        <v>-1123827.4599307002</v>
      </c>
    </row>
    <row r="73" spans="1:9" hidden="1" outlineLevel="1" x14ac:dyDescent="0.25">
      <c r="A73" s="71">
        <f t="shared" ref="A73:A136" si="7">+A72+1</f>
        <v>66</v>
      </c>
      <c r="B73" s="66">
        <f>+B72+30</f>
        <v>40659</v>
      </c>
      <c r="D73" s="67">
        <v>288040.3</v>
      </c>
      <c r="F73" s="77">
        <v>3.2500000000000001E-2</v>
      </c>
      <c r="G73" s="76">
        <f t="shared" si="6"/>
        <v>-2654</v>
      </c>
      <c r="H73" s="67">
        <f t="shared" si="3"/>
        <v>285386.33249999996</v>
      </c>
      <c r="I73" s="75">
        <f t="shared" si="4"/>
        <v>-838441.12743070023</v>
      </c>
    </row>
    <row r="74" spans="1:9" hidden="1" outlineLevel="1" x14ac:dyDescent="0.25">
      <c r="A74" s="71">
        <f t="shared" si="7"/>
        <v>67</v>
      </c>
      <c r="B74" s="66">
        <f>+B73+31</f>
        <v>40690</v>
      </c>
      <c r="D74" s="67">
        <v>228495.1</v>
      </c>
      <c r="F74" s="77">
        <v>3.2500000000000001E-2</v>
      </c>
      <c r="G74" s="76">
        <f t="shared" si="6"/>
        <v>-1961</v>
      </c>
      <c r="H74" s="67">
        <f t="shared" si="3"/>
        <v>226534.13250000001</v>
      </c>
      <c r="I74" s="75">
        <f t="shared" si="4"/>
        <v>-611906.99493070017</v>
      </c>
    </row>
    <row r="75" spans="1:9" hidden="1" outlineLevel="1" x14ac:dyDescent="0.25">
      <c r="A75" s="71">
        <f t="shared" si="7"/>
        <v>68</v>
      </c>
      <c r="B75" s="66">
        <f>+B74+30</f>
        <v>40720</v>
      </c>
      <c r="D75" s="67">
        <v>145227.70000000001</v>
      </c>
      <c r="F75" s="77">
        <v>3.2500000000000001E-2</v>
      </c>
      <c r="G75" s="76">
        <f t="shared" si="6"/>
        <v>-1461</v>
      </c>
      <c r="H75" s="67">
        <f t="shared" si="3"/>
        <v>143766.73250000001</v>
      </c>
      <c r="I75" s="75">
        <f t="shared" si="4"/>
        <v>-468140.26243070012</v>
      </c>
    </row>
    <row r="76" spans="1:9" hidden="1" outlineLevel="1" x14ac:dyDescent="0.25">
      <c r="A76" s="71">
        <f t="shared" si="7"/>
        <v>69</v>
      </c>
      <c r="B76" s="66">
        <f>+B75+31</f>
        <v>40751</v>
      </c>
      <c r="D76" s="67">
        <v>97521.15</v>
      </c>
      <c r="F76" s="77">
        <v>3.2500000000000001E-2</v>
      </c>
      <c r="G76" s="76">
        <f t="shared" si="6"/>
        <v>-1136</v>
      </c>
      <c r="H76" s="67">
        <f t="shared" si="3"/>
        <v>96385.182499999995</v>
      </c>
      <c r="I76" s="75">
        <f t="shared" si="4"/>
        <v>-371755.07993070013</v>
      </c>
    </row>
    <row r="77" spans="1:9" hidden="1" outlineLevel="1" x14ac:dyDescent="0.25">
      <c r="A77" s="71">
        <f t="shared" si="7"/>
        <v>70</v>
      </c>
      <c r="B77" s="66">
        <f>+B76+30</f>
        <v>40781</v>
      </c>
      <c r="D77" s="67">
        <v>83149.17</v>
      </c>
      <c r="F77" s="77">
        <v>3.2500000000000001E-2</v>
      </c>
      <c r="G77" s="76">
        <f t="shared" si="6"/>
        <v>-894</v>
      </c>
      <c r="H77" s="67">
        <f t="shared" si="3"/>
        <v>82255.202499999999</v>
      </c>
      <c r="I77" s="75">
        <f t="shared" si="4"/>
        <v>-289499.87743070011</v>
      </c>
    </row>
    <row r="78" spans="1:9" hidden="1" outlineLevel="1" x14ac:dyDescent="0.25">
      <c r="A78" s="71">
        <f t="shared" si="7"/>
        <v>71</v>
      </c>
      <c r="B78" s="66">
        <f>+B77+30</f>
        <v>40811</v>
      </c>
      <c r="D78" s="67">
        <v>84846.81</v>
      </c>
      <c r="F78" s="77">
        <v>3.2500000000000001E-2</v>
      </c>
      <c r="G78" s="76">
        <f t="shared" si="6"/>
        <v>-669</v>
      </c>
      <c r="H78" s="67">
        <f t="shared" si="3"/>
        <v>84177.842499999999</v>
      </c>
      <c r="I78" s="75">
        <f t="shared" si="4"/>
        <v>-205322.03493070012</v>
      </c>
    </row>
    <row r="79" spans="1:9" hidden="1" outlineLevel="1" x14ac:dyDescent="0.25">
      <c r="A79" s="71">
        <f t="shared" si="7"/>
        <v>72</v>
      </c>
      <c r="B79" s="66">
        <f>+B78+31</f>
        <v>40842</v>
      </c>
      <c r="D79" s="67">
        <v>111936.22517760002</v>
      </c>
      <c r="F79" s="77">
        <v>3.2500000000000001E-2</v>
      </c>
      <c r="G79" s="76">
        <f t="shared" si="6"/>
        <v>-405</v>
      </c>
      <c r="H79" s="67">
        <f t="shared" si="3"/>
        <v>111531.25767760002</v>
      </c>
      <c r="I79" s="75">
        <f t="shared" si="4"/>
        <v>-93790.777253100096</v>
      </c>
    </row>
    <row r="80" spans="1:9" hidden="1" outlineLevel="1" x14ac:dyDescent="0.25">
      <c r="A80" s="71">
        <f t="shared" si="7"/>
        <v>73</v>
      </c>
      <c r="B80" s="66">
        <f>+B79+30</f>
        <v>40872</v>
      </c>
      <c r="C80" s="66" t="s">
        <v>352</v>
      </c>
      <c r="D80" s="67">
        <v>113666.17</v>
      </c>
      <c r="E80" s="67"/>
      <c r="F80" s="77">
        <v>3.2500000000000001E-2</v>
      </c>
      <c r="G80" s="76">
        <f t="shared" si="6"/>
        <v>-100</v>
      </c>
      <c r="H80" s="67">
        <f t="shared" si="3"/>
        <v>113566.2025</v>
      </c>
      <c r="I80" s="75">
        <f t="shared" si="4"/>
        <v>19775.425246899904</v>
      </c>
    </row>
    <row r="81" spans="1:9" hidden="1" outlineLevel="1" x14ac:dyDescent="0.25">
      <c r="A81" s="71">
        <f t="shared" si="7"/>
        <v>74</v>
      </c>
      <c r="B81" s="66">
        <f>+B80</f>
        <v>40872</v>
      </c>
      <c r="C81" s="66" t="s">
        <v>353</v>
      </c>
      <c r="D81" s="67">
        <v>76583.360000000001</v>
      </c>
      <c r="E81" s="67">
        <f>-'151540 WACOG Deferral'!E77</f>
        <v>-2015200.6750000003</v>
      </c>
      <c r="F81" s="77">
        <v>3.2500000000000001E-2</v>
      </c>
      <c r="G81" s="113">
        <f>ROUND((+E81+(D81/2))*F81/12,2)</f>
        <v>-5354.13</v>
      </c>
      <c r="H81" s="67">
        <f t="shared" si="3"/>
        <v>-1943971.4125000001</v>
      </c>
      <c r="I81" s="75">
        <f t="shared" si="4"/>
        <v>-1924195.9872531001</v>
      </c>
    </row>
    <row r="82" spans="1:9" hidden="1" outlineLevel="1" x14ac:dyDescent="0.25">
      <c r="A82" s="71">
        <f t="shared" si="7"/>
        <v>75</v>
      </c>
      <c r="B82" s="66">
        <f>+B80+31</f>
        <v>40903</v>
      </c>
      <c r="D82" s="67">
        <v>289729.53848920006</v>
      </c>
      <c r="F82" s="77">
        <v>3.2500000000000001E-2</v>
      </c>
      <c r="G82" s="76">
        <f t="shared" ref="G82:G87" si="8">ROUND((+I81+E82+(D82/2))*F82/12,0)</f>
        <v>-4819</v>
      </c>
      <c r="H82" s="67">
        <f t="shared" si="3"/>
        <v>284910.57098920003</v>
      </c>
      <c r="I82" s="75">
        <f t="shared" si="4"/>
        <v>-1639285.4162639002</v>
      </c>
    </row>
    <row r="83" spans="1:9" hidden="1" outlineLevel="1" x14ac:dyDescent="0.25">
      <c r="A83" s="71">
        <f t="shared" si="7"/>
        <v>76</v>
      </c>
      <c r="B83" s="66">
        <f>+B82+31</f>
        <v>40934</v>
      </c>
      <c r="D83" s="67">
        <v>318854.17</v>
      </c>
      <c r="F83" s="77">
        <v>3.2500000000000001E-2</v>
      </c>
      <c r="G83" s="76">
        <f t="shared" si="8"/>
        <v>-4008</v>
      </c>
      <c r="H83" s="67">
        <f t="shared" si="3"/>
        <v>314846.20249999996</v>
      </c>
      <c r="I83" s="75">
        <f t="shared" si="4"/>
        <v>-1324439.2137639003</v>
      </c>
    </row>
    <row r="84" spans="1:9" hidden="1" outlineLevel="1" x14ac:dyDescent="0.25">
      <c r="A84" s="71">
        <f t="shared" si="7"/>
        <v>77</v>
      </c>
      <c r="B84" s="66">
        <f>+B83+29</f>
        <v>40963</v>
      </c>
      <c r="D84" s="67">
        <v>269133.83699159999</v>
      </c>
      <c r="F84" s="77">
        <v>3.2500000000000001E-2</v>
      </c>
      <c r="G84" s="76">
        <f t="shared" si="8"/>
        <v>-3223</v>
      </c>
      <c r="H84" s="67">
        <f t="shared" si="3"/>
        <v>265910.86949159997</v>
      </c>
      <c r="I84" s="75">
        <f t="shared" si="4"/>
        <v>-1058528.3442723004</v>
      </c>
    </row>
    <row r="85" spans="1:9" hidden="1" outlineLevel="1" x14ac:dyDescent="0.25">
      <c r="A85" s="71">
        <f t="shared" si="7"/>
        <v>78</v>
      </c>
      <c r="B85" s="66">
        <f>+B84+31</f>
        <v>40994</v>
      </c>
      <c r="D85" s="67">
        <v>253747.67912040005</v>
      </c>
      <c r="F85" s="77">
        <v>3.2500000000000001E-2</v>
      </c>
      <c r="G85" s="76">
        <f t="shared" si="8"/>
        <v>-2523</v>
      </c>
      <c r="H85" s="67">
        <f t="shared" si="3"/>
        <v>251224.71162040005</v>
      </c>
      <c r="I85" s="75">
        <f t="shared" si="4"/>
        <v>-807303.63265190029</v>
      </c>
    </row>
    <row r="86" spans="1:9" hidden="1" outlineLevel="1" x14ac:dyDescent="0.25">
      <c r="A86" s="71">
        <f t="shared" si="7"/>
        <v>79</v>
      </c>
      <c r="B86" s="66">
        <f>+B85+30</f>
        <v>41024</v>
      </c>
      <c r="D86" s="67">
        <v>196728.53631840003</v>
      </c>
      <c r="F86" s="77">
        <v>3.2500000000000001E-2</v>
      </c>
      <c r="G86" s="76">
        <f t="shared" si="8"/>
        <v>-1920</v>
      </c>
      <c r="H86" s="67">
        <f t="shared" si="3"/>
        <v>194808.56881840003</v>
      </c>
      <c r="I86" s="75">
        <f t="shared" si="4"/>
        <v>-612495.06383350026</v>
      </c>
    </row>
    <row r="87" spans="1:9" hidden="1" outlineLevel="1" x14ac:dyDescent="0.25">
      <c r="A87" s="71">
        <f t="shared" si="7"/>
        <v>80</v>
      </c>
      <c r="B87" s="66">
        <f>+B86+31</f>
        <v>41055</v>
      </c>
      <c r="D87" s="67">
        <v>122082.80527159999</v>
      </c>
      <c r="F87" s="77">
        <v>3.2500000000000001E-2</v>
      </c>
      <c r="G87" s="76">
        <f t="shared" si="8"/>
        <v>-1494</v>
      </c>
      <c r="H87" s="67">
        <f t="shared" ref="H87:H118" si="9">SUM(D87:G87)</f>
        <v>120588.8377716</v>
      </c>
      <c r="I87" s="75">
        <f t="shared" si="4"/>
        <v>-491906.22606190026</v>
      </c>
    </row>
    <row r="88" spans="1:9" hidden="1" outlineLevel="1" x14ac:dyDescent="0.25">
      <c r="A88" s="71">
        <f t="shared" si="7"/>
        <v>81</v>
      </c>
      <c r="B88" s="66">
        <f>+B87+30</f>
        <v>41085</v>
      </c>
      <c r="C88" s="87">
        <v>2</v>
      </c>
      <c r="D88" s="67">
        <v>3883843.0371594001</v>
      </c>
      <c r="E88" s="67">
        <f>-'151540 WACOG Deferral'!E84</f>
        <v>-4061107</v>
      </c>
      <c r="F88" s="77">
        <v>3.2500000000000001E-2</v>
      </c>
      <c r="G88" s="113">
        <f>ROUND((+I87+(E88/2)+(D88/2))*F88/12,2)</f>
        <v>-1572.29</v>
      </c>
      <c r="H88" s="67">
        <f t="shared" si="9"/>
        <v>-178836.22034059995</v>
      </c>
      <c r="I88" s="75">
        <f t="shared" si="4"/>
        <v>-670742.44640250015</v>
      </c>
    </row>
    <row r="89" spans="1:9" hidden="1" outlineLevel="1" x14ac:dyDescent="0.25">
      <c r="A89" s="71">
        <f t="shared" si="7"/>
        <v>82</v>
      </c>
      <c r="B89" s="66">
        <f>+B88+31</f>
        <v>41116</v>
      </c>
      <c r="D89" s="67">
        <v>286214.77607280004</v>
      </c>
      <c r="F89" s="77">
        <v>3.2500000000000001E-2</v>
      </c>
      <c r="G89" s="76">
        <f>ROUND((+I88+E89+(D89/2))*F89/12,0)</f>
        <v>-1429</v>
      </c>
      <c r="H89" s="67">
        <f t="shared" si="9"/>
        <v>284785.80857280002</v>
      </c>
      <c r="I89" s="75">
        <f t="shared" si="4"/>
        <v>-385956.63782970014</v>
      </c>
    </row>
    <row r="90" spans="1:9" hidden="1" outlineLevel="1" x14ac:dyDescent="0.25">
      <c r="A90" s="71">
        <f t="shared" si="7"/>
        <v>83</v>
      </c>
      <c r="B90" s="66">
        <f>+B89+30</f>
        <v>41146</v>
      </c>
      <c r="D90" s="67">
        <v>59109.280897999997</v>
      </c>
      <c r="F90" s="77">
        <v>3.2500000000000001E-2</v>
      </c>
      <c r="G90" s="76">
        <f>ROUND((+I89+E90+(D90/2))*F90/12,0)</f>
        <v>-965</v>
      </c>
      <c r="H90" s="67">
        <f t="shared" si="9"/>
        <v>58144.313397999998</v>
      </c>
      <c r="I90" s="75">
        <f t="shared" si="4"/>
        <v>-327812.32443170017</v>
      </c>
    </row>
    <row r="91" spans="1:9" hidden="1" outlineLevel="1" x14ac:dyDescent="0.25">
      <c r="A91" s="71">
        <f t="shared" si="7"/>
        <v>84</v>
      </c>
      <c r="B91" s="66">
        <f>+B90+30</f>
        <v>41176</v>
      </c>
      <c r="D91" s="67">
        <v>60100.352925600004</v>
      </c>
      <c r="F91" s="77">
        <v>3.2500000000000001E-2</v>
      </c>
      <c r="G91" s="76">
        <f>ROUND((+I90+E91+(D91/2))*F91/12,0)</f>
        <v>-806</v>
      </c>
      <c r="H91" s="67">
        <f t="shared" si="9"/>
        <v>59294.385425600005</v>
      </c>
      <c r="I91" s="75">
        <f t="shared" si="4"/>
        <v>-268517.93900610018</v>
      </c>
    </row>
    <row r="92" spans="1:9" hidden="1" outlineLevel="1" x14ac:dyDescent="0.25">
      <c r="A92" s="71">
        <f t="shared" si="7"/>
        <v>85</v>
      </c>
      <c r="B92" s="66">
        <f>+B91+31</f>
        <v>41207</v>
      </c>
      <c r="D92" s="67">
        <v>77365.781200399972</v>
      </c>
      <c r="F92" s="77">
        <v>3.2500000000000001E-2</v>
      </c>
      <c r="G92" s="76">
        <f>ROUND((+I91+E92+(D92/2))*F92/12,0)</f>
        <v>-622</v>
      </c>
      <c r="H92" s="67">
        <f t="shared" si="9"/>
        <v>76743.813700399973</v>
      </c>
      <c r="I92" s="75">
        <f t="shared" si="4"/>
        <v>-191774.1253057002</v>
      </c>
    </row>
    <row r="93" spans="1:9" hidden="1" outlineLevel="1" x14ac:dyDescent="0.25">
      <c r="A93" s="71">
        <f t="shared" si="7"/>
        <v>86</v>
      </c>
      <c r="B93" s="66">
        <f>+B92+30</f>
        <v>41237</v>
      </c>
      <c r="C93" s="66" t="s">
        <v>352</v>
      </c>
      <c r="D93" s="67">
        <v>73242.398073200005</v>
      </c>
      <c r="E93" s="67"/>
      <c r="F93" s="77">
        <v>3.2500000000000001E-2</v>
      </c>
      <c r="G93" s="76">
        <f>ROUND((+I92+E93+(D93/2))*F93/12,0)</f>
        <v>-420</v>
      </c>
      <c r="H93" s="67">
        <f t="shared" si="9"/>
        <v>72822.430573200007</v>
      </c>
      <c r="I93" s="75">
        <f t="shared" si="4"/>
        <v>-118951.6947325002</v>
      </c>
    </row>
    <row r="94" spans="1:9" hidden="1" outlineLevel="1" x14ac:dyDescent="0.25">
      <c r="A94" s="71">
        <f t="shared" si="7"/>
        <v>87</v>
      </c>
      <c r="B94" s="66">
        <f>+B93</f>
        <v>41237</v>
      </c>
      <c r="C94" s="66" t="s">
        <v>353</v>
      </c>
      <c r="D94" s="67">
        <v>38960.65</v>
      </c>
      <c r="E94" s="67">
        <v>-1361415.61</v>
      </c>
      <c r="F94" s="77">
        <v>3.2500000000000001E-2</v>
      </c>
      <c r="G94" s="113">
        <f>ROUND((+E94+(D94/2))*F94/12,2)</f>
        <v>-3634.41</v>
      </c>
      <c r="H94" s="67">
        <f t="shared" si="9"/>
        <v>-1326089.3375000001</v>
      </c>
      <c r="I94" s="75">
        <f t="shared" si="4"/>
        <v>-1445041.0322325004</v>
      </c>
    </row>
    <row r="95" spans="1:9" hidden="1" outlineLevel="1" x14ac:dyDescent="0.25">
      <c r="A95" s="71">
        <f t="shared" si="7"/>
        <v>88</v>
      </c>
      <c r="B95" s="66">
        <f>+B94+31</f>
        <v>41268</v>
      </c>
      <c r="C95" s="87">
        <v>3</v>
      </c>
      <c r="D95" s="67">
        <v>150738.80923480002</v>
      </c>
      <c r="E95" s="67">
        <v>-1.05</v>
      </c>
      <c r="F95" s="77">
        <v>3.2500000000000001E-2</v>
      </c>
      <c r="G95" s="76">
        <f t="shared" ref="G95:G106" si="10">ROUND((+I94+E95+(D95/2))*F95/12,0)</f>
        <v>-3710</v>
      </c>
      <c r="H95" s="67">
        <f t="shared" si="9"/>
        <v>147027.79173480003</v>
      </c>
      <c r="I95" s="75">
        <f t="shared" si="4"/>
        <v>-1298013.2404977004</v>
      </c>
    </row>
    <row r="96" spans="1:9" hidden="1" outlineLevel="1" x14ac:dyDescent="0.25">
      <c r="A96" s="71">
        <f t="shared" si="7"/>
        <v>89</v>
      </c>
      <c r="B96" s="66">
        <f>+B95+31</f>
        <v>41299</v>
      </c>
      <c r="D96" s="67">
        <v>224213.43333279999</v>
      </c>
      <c r="F96" s="77">
        <v>3.2500000000000001E-2</v>
      </c>
      <c r="G96" s="76">
        <f t="shared" si="10"/>
        <v>-3212</v>
      </c>
      <c r="H96" s="67">
        <f t="shared" si="9"/>
        <v>221001.46583279999</v>
      </c>
      <c r="I96" s="75">
        <f t="shared" si="4"/>
        <v>-1077011.7746649005</v>
      </c>
    </row>
    <row r="97" spans="1:9" hidden="1" outlineLevel="1" x14ac:dyDescent="0.25">
      <c r="A97" s="71">
        <f t="shared" si="7"/>
        <v>90</v>
      </c>
      <c r="B97" s="66">
        <f>+B96+28</f>
        <v>41327</v>
      </c>
      <c r="D97" s="67">
        <v>181427.04</v>
      </c>
      <c r="F97" s="77">
        <v>3.2500000000000001E-2</v>
      </c>
      <c r="G97" s="76">
        <f t="shared" si="10"/>
        <v>-2671</v>
      </c>
      <c r="H97" s="67">
        <f t="shared" si="9"/>
        <v>178756.07250000001</v>
      </c>
      <c r="I97" s="75">
        <f t="shared" si="4"/>
        <v>-898255.70216490049</v>
      </c>
    </row>
    <row r="98" spans="1:9" hidden="1" outlineLevel="1" x14ac:dyDescent="0.25">
      <c r="A98" s="71">
        <f t="shared" si="7"/>
        <v>91</v>
      </c>
      <c r="B98" s="66">
        <f>+B97+31</f>
        <v>41358</v>
      </c>
      <c r="D98" s="112">
        <v>143072.29122360004</v>
      </c>
      <c r="F98" s="77">
        <v>3.2500000000000001E-2</v>
      </c>
      <c r="G98" s="76">
        <f t="shared" si="10"/>
        <v>-2239</v>
      </c>
      <c r="H98" s="67">
        <f t="shared" si="9"/>
        <v>140833.32372360004</v>
      </c>
      <c r="I98" s="75">
        <f t="shared" si="4"/>
        <v>-757422.37844130048</v>
      </c>
    </row>
    <row r="99" spans="1:9" hidden="1" outlineLevel="1" x14ac:dyDescent="0.25">
      <c r="A99" s="71">
        <f t="shared" si="7"/>
        <v>92</v>
      </c>
      <c r="B99" s="66">
        <f>+B98+30</f>
        <v>41388</v>
      </c>
      <c r="D99" s="112">
        <v>103434.2960568</v>
      </c>
      <c r="F99" s="77">
        <v>3.2500000000000001E-2</v>
      </c>
      <c r="G99" s="76">
        <f t="shared" si="10"/>
        <v>-1911</v>
      </c>
      <c r="H99" s="67">
        <f t="shared" si="9"/>
        <v>101523.3285568</v>
      </c>
      <c r="I99" s="75">
        <f t="shared" si="4"/>
        <v>-655899.04988450045</v>
      </c>
    </row>
    <row r="100" spans="1:9" hidden="1" outlineLevel="1" x14ac:dyDescent="0.25">
      <c r="A100" s="71">
        <f t="shared" si="7"/>
        <v>93</v>
      </c>
      <c r="B100" s="66">
        <f>+B99+31</f>
        <v>41419</v>
      </c>
      <c r="D100" s="112">
        <v>71190.199351200004</v>
      </c>
      <c r="F100" s="77">
        <v>3.2500000000000001E-2</v>
      </c>
      <c r="G100" s="76">
        <f t="shared" si="10"/>
        <v>-1680</v>
      </c>
      <c r="H100" s="67">
        <f t="shared" si="9"/>
        <v>69510.231851200006</v>
      </c>
      <c r="I100" s="75">
        <f t="shared" si="4"/>
        <v>-586388.81803330046</v>
      </c>
    </row>
    <row r="101" spans="1:9" hidden="1" outlineLevel="1" x14ac:dyDescent="0.25">
      <c r="A101" s="71">
        <f t="shared" si="7"/>
        <v>94</v>
      </c>
      <c r="B101" s="66">
        <f>+B100+30</f>
        <v>41449</v>
      </c>
      <c r="D101" s="67">
        <v>56321.96</v>
      </c>
      <c r="F101" s="77">
        <v>3.2500000000000001E-2</v>
      </c>
      <c r="G101" s="76">
        <f t="shared" si="10"/>
        <v>-1512</v>
      </c>
      <c r="H101" s="67">
        <f t="shared" si="9"/>
        <v>54809.9925</v>
      </c>
      <c r="I101" s="75">
        <f t="shared" si="4"/>
        <v>-531578.82553330041</v>
      </c>
    </row>
    <row r="102" spans="1:9" hidden="1" outlineLevel="1" x14ac:dyDescent="0.25">
      <c r="A102" s="71">
        <f t="shared" si="7"/>
        <v>95</v>
      </c>
      <c r="B102" s="66">
        <f>+B101+31</f>
        <v>41480</v>
      </c>
      <c r="D102" s="67">
        <v>42132.092561199999</v>
      </c>
      <c r="F102" s="77">
        <v>3.2500000000000001E-2</v>
      </c>
      <c r="G102" s="76">
        <f t="shared" si="10"/>
        <v>-1383</v>
      </c>
      <c r="H102" s="67">
        <f t="shared" si="9"/>
        <v>40749.1250612</v>
      </c>
      <c r="I102" s="75">
        <f t="shared" si="4"/>
        <v>-490829.70047210041</v>
      </c>
    </row>
    <row r="103" spans="1:9" hidden="1" outlineLevel="1" x14ac:dyDescent="0.25">
      <c r="A103" s="71">
        <f t="shared" si="7"/>
        <v>96</v>
      </c>
      <c r="B103" s="66">
        <f>+B102+31</f>
        <v>41511</v>
      </c>
      <c r="D103" s="67">
        <v>37154.909626400011</v>
      </c>
      <c r="F103" s="77">
        <v>3.2500000000000001E-2</v>
      </c>
      <c r="G103" s="76">
        <f t="shared" si="10"/>
        <v>-1279</v>
      </c>
      <c r="H103" s="67">
        <f t="shared" si="9"/>
        <v>35875.942126400012</v>
      </c>
      <c r="I103" s="75">
        <f t="shared" si="4"/>
        <v>-454953.75834570039</v>
      </c>
    </row>
    <row r="104" spans="1:9" hidden="1" outlineLevel="1" x14ac:dyDescent="0.25">
      <c r="A104" s="71">
        <f t="shared" si="7"/>
        <v>97</v>
      </c>
      <c r="B104" s="66">
        <f>+B103+30</f>
        <v>41541</v>
      </c>
      <c r="D104" s="67">
        <v>37764.730000000003</v>
      </c>
      <c r="F104" s="77">
        <v>3.2500000000000001E-2</v>
      </c>
      <c r="G104" s="76">
        <f t="shared" si="10"/>
        <v>-1181</v>
      </c>
      <c r="H104" s="67">
        <f t="shared" si="9"/>
        <v>36583.762500000004</v>
      </c>
      <c r="I104" s="75">
        <f t="shared" si="4"/>
        <v>-418369.99584570038</v>
      </c>
    </row>
    <row r="105" spans="1:9" hidden="1" outlineLevel="1" x14ac:dyDescent="0.25">
      <c r="A105" s="71">
        <f t="shared" si="7"/>
        <v>98</v>
      </c>
      <c r="B105" s="66">
        <f>+B104+31</f>
        <v>41572</v>
      </c>
      <c r="D105" s="67">
        <v>67073</v>
      </c>
      <c r="F105" s="77">
        <v>3.2500000000000001E-2</v>
      </c>
      <c r="G105" s="76">
        <f t="shared" si="10"/>
        <v>-1042</v>
      </c>
      <c r="H105" s="67">
        <f t="shared" si="9"/>
        <v>66031.032500000001</v>
      </c>
      <c r="I105" s="75">
        <f t="shared" si="4"/>
        <v>-352338.96334570041</v>
      </c>
    </row>
    <row r="106" spans="1:9" hidden="1" outlineLevel="1" x14ac:dyDescent="0.25">
      <c r="A106" s="71">
        <f t="shared" si="7"/>
        <v>99</v>
      </c>
      <c r="B106" s="66">
        <f>+B105+30</f>
        <v>41602</v>
      </c>
      <c r="C106" s="66" t="s">
        <v>352</v>
      </c>
      <c r="D106" s="67">
        <v>52276.08758159999</v>
      </c>
      <c r="F106" s="77">
        <v>3.2500000000000001E-2</v>
      </c>
      <c r="G106" s="76">
        <f t="shared" si="10"/>
        <v>-883</v>
      </c>
      <c r="H106" s="67">
        <f t="shared" si="9"/>
        <v>51393.120081599991</v>
      </c>
      <c r="I106" s="75">
        <f t="shared" si="4"/>
        <v>-300945.84326410043</v>
      </c>
    </row>
    <row r="107" spans="1:9" hidden="1" outlineLevel="1" x14ac:dyDescent="0.25">
      <c r="A107" s="71">
        <f t="shared" si="7"/>
        <v>100</v>
      </c>
      <c r="B107" s="66">
        <f>+B106</f>
        <v>41602</v>
      </c>
      <c r="C107" s="66" t="s">
        <v>353</v>
      </c>
      <c r="D107" s="67">
        <v>26749.61</v>
      </c>
      <c r="E107" s="67">
        <f>-'151540 WACOG Deferral'!E101-0.46</f>
        <v>-436116.46</v>
      </c>
      <c r="F107" s="77">
        <v>3.2500000000000001E-2</v>
      </c>
      <c r="G107" s="76">
        <f>ROUND((+E107+(D107/2))*F107/12,2)</f>
        <v>-1144.93</v>
      </c>
      <c r="H107" s="67">
        <f t="shared" si="9"/>
        <v>-410511.74750000006</v>
      </c>
      <c r="I107" s="75">
        <f t="shared" si="4"/>
        <v>-711457.59076410043</v>
      </c>
    </row>
    <row r="108" spans="1:9" hidden="1" outlineLevel="1" x14ac:dyDescent="0.25">
      <c r="A108" s="71">
        <f t="shared" si="7"/>
        <v>101</v>
      </c>
      <c r="B108" s="111">
        <f>+B107+31</f>
        <v>41633</v>
      </c>
      <c r="D108" s="67">
        <f>129579.8684628-0.03</f>
        <v>129579.83846280001</v>
      </c>
      <c r="E108" s="67"/>
      <c r="F108" s="77">
        <v>3.2500000000000001E-2</v>
      </c>
      <c r="G108" s="76">
        <f t="shared" ref="G108:G118" si="11">ROUND((+I107+E108+(D108/2))*F108/12,2)</f>
        <v>-1751.39</v>
      </c>
      <c r="H108" s="67">
        <f t="shared" si="9"/>
        <v>127828.48096280001</v>
      </c>
      <c r="I108" s="75">
        <f t="shared" si="4"/>
        <v>-583629.10980130045</v>
      </c>
    </row>
    <row r="109" spans="1:9" hidden="1" outlineLevel="1" x14ac:dyDescent="0.25">
      <c r="A109" s="71">
        <f t="shared" si="7"/>
        <v>102</v>
      </c>
      <c r="B109" s="111">
        <f>+B108+31</f>
        <v>41664</v>
      </c>
      <c r="D109" s="67">
        <f>142308.5504216-0.03</f>
        <v>142308.5204216</v>
      </c>
      <c r="E109" s="67"/>
      <c r="F109" s="77">
        <v>3.2500000000000001E-2</v>
      </c>
      <c r="G109" s="76">
        <f t="shared" si="11"/>
        <v>-1387.95</v>
      </c>
      <c r="H109" s="67">
        <f t="shared" si="9"/>
        <v>140920.60292159999</v>
      </c>
      <c r="I109" s="75">
        <f t="shared" si="4"/>
        <v>-442708.50687970046</v>
      </c>
    </row>
    <row r="110" spans="1:9" hidden="1" outlineLevel="1" x14ac:dyDescent="0.25">
      <c r="A110" s="71">
        <f t="shared" si="7"/>
        <v>103</v>
      </c>
      <c r="B110" s="110">
        <f>+B109+28</f>
        <v>41692</v>
      </c>
      <c r="D110" s="67">
        <f>130841.9299972-0.04</f>
        <v>130841.88999720001</v>
      </c>
      <c r="E110" s="67"/>
      <c r="F110" s="77">
        <v>3.2500000000000001E-2</v>
      </c>
      <c r="G110" s="76">
        <f t="shared" si="11"/>
        <v>-1021.82</v>
      </c>
      <c r="H110" s="67">
        <f t="shared" si="9"/>
        <v>129820.1024972</v>
      </c>
      <c r="I110" s="75">
        <f t="shared" si="4"/>
        <v>-312888.40438250045</v>
      </c>
    </row>
    <row r="111" spans="1:9" hidden="1" outlineLevel="1" x14ac:dyDescent="0.25">
      <c r="A111" s="71">
        <f t="shared" si="7"/>
        <v>104</v>
      </c>
      <c r="B111" s="110">
        <f>+B110+31</f>
        <v>41723</v>
      </c>
      <c r="D111" s="67">
        <f>94393.3777056-0.03</f>
        <v>94393.347705599997</v>
      </c>
      <c r="E111" s="67"/>
      <c r="F111" s="77">
        <v>3.2500000000000001E-2</v>
      </c>
      <c r="G111" s="76">
        <f t="shared" si="11"/>
        <v>-719.58</v>
      </c>
      <c r="H111" s="67">
        <f t="shared" si="9"/>
        <v>93673.800205599997</v>
      </c>
      <c r="I111" s="75">
        <f t="shared" si="4"/>
        <v>-219214.60417690047</v>
      </c>
    </row>
    <row r="112" spans="1:9" hidden="1" outlineLevel="1" x14ac:dyDescent="0.25">
      <c r="A112" s="71">
        <f t="shared" si="7"/>
        <v>105</v>
      </c>
      <c r="B112" s="110">
        <f>+B111+30</f>
        <v>41753</v>
      </c>
      <c r="D112" s="67">
        <f>66360.8266572-0.02</f>
        <v>66360.806657199995</v>
      </c>
      <c r="E112" s="67"/>
      <c r="F112" s="77">
        <v>3.2500000000000001E-2</v>
      </c>
      <c r="G112" s="76">
        <f t="shared" si="11"/>
        <v>-503.84</v>
      </c>
      <c r="H112" s="67">
        <f t="shared" si="9"/>
        <v>65856.9991572</v>
      </c>
      <c r="I112" s="75">
        <f t="shared" si="4"/>
        <v>-153357.60501970048</v>
      </c>
    </row>
    <row r="113" spans="1:11" hidden="1" outlineLevel="1" x14ac:dyDescent="0.25">
      <c r="A113" s="71">
        <f t="shared" si="7"/>
        <v>106</v>
      </c>
      <c r="B113" s="66">
        <f>+B112+31</f>
        <v>41784</v>
      </c>
      <c r="D113" s="67">
        <f>44584.85-0.04</f>
        <v>44584.81</v>
      </c>
      <c r="E113" s="67"/>
      <c r="F113" s="77">
        <v>3.2500000000000001E-2</v>
      </c>
      <c r="G113" s="76">
        <f t="shared" si="11"/>
        <v>-354.97</v>
      </c>
      <c r="H113" s="67">
        <f t="shared" si="9"/>
        <v>44229.872499999998</v>
      </c>
      <c r="I113" s="75">
        <f t="shared" si="4"/>
        <v>-109127.73251970048</v>
      </c>
    </row>
    <row r="114" spans="1:11" hidden="1" outlineLevel="1" x14ac:dyDescent="0.25">
      <c r="A114" s="71">
        <f t="shared" si="7"/>
        <v>107</v>
      </c>
      <c r="B114" s="66">
        <f>+B113+30</f>
        <v>41814</v>
      </c>
      <c r="D114" s="67">
        <f>30396.74-0.03</f>
        <v>30396.710000000003</v>
      </c>
      <c r="E114" s="67"/>
      <c r="F114" s="77">
        <v>3.2500000000000001E-2</v>
      </c>
      <c r="G114" s="76">
        <f t="shared" si="11"/>
        <v>-254.39</v>
      </c>
      <c r="H114" s="67">
        <f t="shared" si="9"/>
        <v>30142.352500000005</v>
      </c>
      <c r="I114" s="75">
        <f t="shared" si="4"/>
        <v>-78985.380019700475</v>
      </c>
    </row>
    <row r="115" spans="1:11" hidden="1" outlineLevel="1" x14ac:dyDescent="0.25">
      <c r="A115" s="71">
        <f t="shared" si="7"/>
        <v>108</v>
      </c>
      <c r="B115" s="66">
        <f>+B114+31</f>
        <v>41845</v>
      </c>
      <c r="D115" s="67">
        <v>26658.299420000007</v>
      </c>
      <c r="E115" s="67"/>
      <c r="F115" s="77">
        <v>3.2500000000000001E-2</v>
      </c>
      <c r="G115" s="76">
        <f t="shared" si="11"/>
        <v>-177.82</v>
      </c>
      <c r="H115" s="67">
        <f t="shared" si="9"/>
        <v>26480.511920000008</v>
      </c>
      <c r="I115" s="75">
        <f t="shared" si="4"/>
        <v>-52504.86809970047</v>
      </c>
    </row>
    <row r="116" spans="1:11" hidden="1" outlineLevel="1" x14ac:dyDescent="0.25">
      <c r="A116" s="71">
        <f t="shared" si="7"/>
        <v>109</v>
      </c>
      <c r="B116" s="66">
        <f>+B115+31</f>
        <v>41876</v>
      </c>
      <c r="D116" s="67">
        <v>21843.74</v>
      </c>
      <c r="E116" s="67"/>
      <c r="F116" s="77">
        <v>3.2500000000000001E-2</v>
      </c>
      <c r="G116" s="76">
        <f t="shared" si="11"/>
        <v>-112.62</v>
      </c>
      <c r="H116" s="67">
        <f t="shared" si="9"/>
        <v>21731.152500000004</v>
      </c>
      <c r="I116" s="75">
        <f t="shared" si="4"/>
        <v>-30773.715599700467</v>
      </c>
    </row>
    <row r="117" spans="1:11" hidden="1" outlineLevel="1" x14ac:dyDescent="0.25">
      <c r="A117" s="71">
        <f t="shared" si="7"/>
        <v>110</v>
      </c>
      <c r="B117" s="66">
        <f>+B116+30</f>
        <v>41906</v>
      </c>
      <c r="D117" s="67">
        <v>22867.861646400001</v>
      </c>
      <c r="E117" s="67"/>
      <c r="F117" s="77">
        <v>3.2500000000000001E-2</v>
      </c>
      <c r="G117" s="76">
        <f t="shared" si="11"/>
        <v>-52.38</v>
      </c>
      <c r="H117" s="67">
        <f t="shared" si="9"/>
        <v>22815.514146400001</v>
      </c>
      <c r="I117" s="75">
        <f t="shared" si="4"/>
        <v>-7958.2014533004658</v>
      </c>
    </row>
    <row r="118" spans="1:11" hidden="1" outlineLevel="1" x14ac:dyDescent="0.25">
      <c r="A118" s="71">
        <f t="shared" si="7"/>
        <v>111</v>
      </c>
      <c r="B118" s="66">
        <f>+B117+31</f>
        <v>41937</v>
      </c>
      <c r="D118" s="67">
        <v>26894.12</v>
      </c>
      <c r="E118" s="67"/>
      <c r="F118" s="77">
        <v>3.2500000000000001E-2</v>
      </c>
      <c r="G118" s="76">
        <f t="shared" si="11"/>
        <v>14.87</v>
      </c>
      <c r="H118" s="67">
        <f t="shared" si="9"/>
        <v>26909.022499999999</v>
      </c>
      <c r="I118" s="75">
        <f t="shared" si="4"/>
        <v>18950.821046699533</v>
      </c>
    </row>
    <row r="119" spans="1:11" hidden="1" outlineLevel="1" x14ac:dyDescent="0.25">
      <c r="A119" s="71">
        <f t="shared" si="7"/>
        <v>112</v>
      </c>
      <c r="B119" s="66">
        <f>+B118+30</f>
        <v>41967</v>
      </c>
      <c r="C119" s="66" t="s">
        <v>352</v>
      </c>
      <c r="D119" s="67">
        <v>25353.35</v>
      </c>
      <c r="F119" s="77">
        <v>3.2500000000000001E-2</v>
      </c>
      <c r="G119" s="76">
        <f>ROUND((+I118+E119+(D119/2))*F119/12,0)</f>
        <v>86</v>
      </c>
      <c r="H119" s="67">
        <f t="shared" ref="H119:H142" si="12">SUM(D119:G119)</f>
        <v>25439.3825</v>
      </c>
      <c r="I119" s="75">
        <f t="shared" si="4"/>
        <v>44390.203546699529</v>
      </c>
    </row>
    <row r="120" spans="1:11" hidden="1" outlineLevel="1" x14ac:dyDescent="0.25">
      <c r="A120" s="71">
        <f t="shared" si="7"/>
        <v>113</v>
      </c>
      <c r="B120" s="66">
        <f>+B119</f>
        <v>41967</v>
      </c>
      <c r="C120" s="66" t="s">
        <v>353</v>
      </c>
      <c r="D120" s="67">
        <v>-108913.00000000001</v>
      </c>
      <c r="E120" s="67">
        <f>-'151540 WACOG Deferral'!E113</f>
        <v>2916751</v>
      </c>
      <c r="F120" s="77">
        <v>3.2500000000000001E-2</v>
      </c>
      <c r="G120" s="76">
        <f>ROUND((+E120+(D120/2))*F120/12,2)</f>
        <v>7752.05</v>
      </c>
      <c r="H120" s="67">
        <f t="shared" si="12"/>
        <v>2815590.0825</v>
      </c>
      <c r="I120" s="75">
        <f t="shared" ref="I120:I183" si="13">+I119+H120</f>
        <v>2859980.2860466996</v>
      </c>
    </row>
    <row r="121" spans="1:11" hidden="1" outlineLevel="1" x14ac:dyDescent="0.25">
      <c r="A121" s="71">
        <f t="shared" si="7"/>
        <v>114</v>
      </c>
      <c r="B121" s="66">
        <f>+B120+31</f>
        <v>41998</v>
      </c>
      <c r="D121" s="67">
        <v>-414581.94244360004</v>
      </c>
      <c r="E121" s="67"/>
      <c r="F121" s="77">
        <v>3.2500000000000001E-2</v>
      </c>
      <c r="G121" s="76">
        <f t="shared" ref="G121:G129" si="14">ROUND((+I120+E121+(D121/2))*F121/12,0)</f>
        <v>7184</v>
      </c>
      <c r="H121" s="67">
        <f t="shared" si="12"/>
        <v>-407397.90994360007</v>
      </c>
      <c r="I121" s="75">
        <f t="shared" si="13"/>
        <v>2452582.3761030994</v>
      </c>
    </row>
    <row r="122" spans="1:11" hidden="1" outlineLevel="1" x14ac:dyDescent="0.25">
      <c r="A122" s="71">
        <f t="shared" si="7"/>
        <v>115</v>
      </c>
      <c r="B122" s="66">
        <f>+B121+31</f>
        <v>42029</v>
      </c>
      <c r="D122" s="67">
        <v>-452896.97086599993</v>
      </c>
      <c r="E122" s="67"/>
      <c r="F122" s="77">
        <v>3.2500000000000001E-2</v>
      </c>
      <c r="G122" s="76">
        <f t="shared" si="14"/>
        <v>6029</v>
      </c>
      <c r="H122" s="67">
        <f t="shared" si="12"/>
        <v>-446867.93836599996</v>
      </c>
      <c r="I122" s="75">
        <f t="shared" si="13"/>
        <v>2005714.4377370994</v>
      </c>
    </row>
    <row r="123" spans="1:11" hidden="1" outlineLevel="1" x14ac:dyDescent="0.25">
      <c r="A123" s="71">
        <f t="shared" si="7"/>
        <v>116</v>
      </c>
      <c r="B123" s="66">
        <f>+B122+28</f>
        <v>42057</v>
      </c>
      <c r="D123" s="67">
        <v>-336241.31661720015</v>
      </c>
      <c r="E123" s="67"/>
      <c r="F123" s="77">
        <v>3.2500000000000001E-2</v>
      </c>
      <c r="G123" s="101">
        <f t="shared" si="14"/>
        <v>4977</v>
      </c>
      <c r="H123" s="67">
        <f t="shared" si="12"/>
        <v>-331264.28411720018</v>
      </c>
      <c r="I123" s="109">
        <f t="shared" si="13"/>
        <v>1674450.1536198992</v>
      </c>
    </row>
    <row r="124" spans="1:11" hidden="1" outlineLevel="1" x14ac:dyDescent="0.25">
      <c r="A124" s="71">
        <f t="shared" si="7"/>
        <v>117</v>
      </c>
      <c r="B124" s="66">
        <f>+B123+31</f>
        <v>42088</v>
      </c>
      <c r="D124" s="67">
        <v>-268160.42747080006</v>
      </c>
      <c r="E124" s="67"/>
      <c r="F124" s="77">
        <v>3.2500000000000001E-2</v>
      </c>
      <c r="G124" s="101">
        <f t="shared" si="14"/>
        <v>4172</v>
      </c>
      <c r="H124" s="67">
        <f t="shared" si="12"/>
        <v>-263988.39497080009</v>
      </c>
      <c r="I124" s="109">
        <f t="shared" si="13"/>
        <v>1410461.7586490992</v>
      </c>
    </row>
    <row r="125" spans="1:11" hidden="1" outlineLevel="1" x14ac:dyDescent="0.25">
      <c r="A125" s="71">
        <f t="shared" si="7"/>
        <v>118</v>
      </c>
      <c r="B125" s="66">
        <f>+B124+30</f>
        <v>42118</v>
      </c>
      <c r="D125" s="67">
        <v>-219645.01164960003</v>
      </c>
      <c r="E125" s="67"/>
      <c r="F125" s="77">
        <v>3.2500000000000001E-2</v>
      </c>
      <c r="G125" s="101">
        <f t="shared" si="14"/>
        <v>3523</v>
      </c>
      <c r="H125" s="67">
        <f t="shared" si="12"/>
        <v>-216121.97914960003</v>
      </c>
      <c r="I125" s="109">
        <f t="shared" si="13"/>
        <v>1194339.7794994991</v>
      </c>
    </row>
    <row r="126" spans="1:11" hidden="1" outlineLevel="1" x14ac:dyDescent="0.25">
      <c r="A126" s="71">
        <f t="shared" si="7"/>
        <v>119</v>
      </c>
      <c r="B126" s="66">
        <f>+B125+31</f>
        <v>42149</v>
      </c>
      <c r="D126" s="67">
        <v>-164676.90774120003</v>
      </c>
      <c r="E126" s="67"/>
      <c r="F126" s="77">
        <v>3.2500000000000001E-2</v>
      </c>
      <c r="G126" s="101">
        <f t="shared" si="14"/>
        <v>3012</v>
      </c>
      <c r="H126" s="67">
        <f t="shared" si="12"/>
        <v>-161664.87524120003</v>
      </c>
      <c r="I126" s="109">
        <f t="shared" si="13"/>
        <v>1032674.9042582992</v>
      </c>
    </row>
    <row r="127" spans="1:11" hidden="1" outlineLevel="1" x14ac:dyDescent="0.25">
      <c r="A127" s="71">
        <f t="shared" si="7"/>
        <v>120</v>
      </c>
      <c r="B127" s="66">
        <f>+B126+30</f>
        <v>42179</v>
      </c>
      <c r="D127" s="67">
        <v>-113282.45226959998</v>
      </c>
      <c r="E127" s="67"/>
      <c r="F127" s="77">
        <v>3.2500000000000001E-2</v>
      </c>
      <c r="G127" s="101">
        <f t="shared" si="14"/>
        <v>2643</v>
      </c>
      <c r="H127" s="67">
        <f t="shared" si="12"/>
        <v>-110639.41976959998</v>
      </c>
      <c r="I127" s="109">
        <f t="shared" si="13"/>
        <v>922035.48448869912</v>
      </c>
    </row>
    <row r="128" spans="1:11" hidden="1" outlineLevel="1" x14ac:dyDescent="0.25">
      <c r="A128" s="71">
        <f t="shared" si="7"/>
        <v>121</v>
      </c>
      <c r="B128" s="66">
        <f>+B127+31</f>
        <v>42210</v>
      </c>
      <c r="D128" s="67">
        <v>-85339.087638000012</v>
      </c>
      <c r="E128" s="67"/>
      <c r="F128" s="77">
        <v>3.2500000000000001E-2</v>
      </c>
      <c r="G128" s="101">
        <f t="shared" si="14"/>
        <v>2382</v>
      </c>
      <c r="H128" s="67">
        <f t="shared" si="12"/>
        <v>-82957.055138000011</v>
      </c>
      <c r="I128" s="109">
        <f t="shared" si="13"/>
        <v>839078.42935069907</v>
      </c>
      <c r="K128" s="78"/>
    </row>
    <row r="129" spans="1:9" hidden="1" outlineLevel="1" x14ac:dyDescent="0.25">
      <c r="A129" s="71">
        <f t="shared" si="7"/>
        <v>122</v>
      </c>
      <c r="B129" s="66">
        <f>+B128+31</f>
        <v>42241</v>
      </c>
      <c r="D129" s="67">
        <v>-80926.740000000005</v>
      </c>
      <c r="E129" s="67">
        <v>-1.54</v>
      </c>
      <c r="F129" s="77">
        <v>3.2500000000000001E-2</v>
      </c>
      <c r="G129" s="101">
        <f t="shared" si="14"/>
        <v>2163</v>
      </c>
      <c r="H129" s="67">
        <f t="shared" si="12"/>
        <v>-78765.247499999998</v>
      </c>
      <c r="I129" s="109">
        <f t="shared" si="13"/>
        <v>760313.18185069901</v>
      </c>
    </row>
    <row r="130" spans="1:9" hidden="1" outlineLevel="1" x14ac:dyDescent="0.25">
      <c r="A130" s="71">
        <f t="shared" si="7"/>
        <v>123</v>
      </c>
      <c r="B130" s="66">
        <f>+B129+30</f>
        <v>42271</v>
      </c>
      <c r="C130" s="89"/>
      <c r="D130" s="67">
        <v>-93315.46</v>
      </c>
      <c r="E130" s="67"/>
      <c r="F130" s="77">
        <v>3.2500000000000001E-2</v>
      </c>
      <c r="G130" s="101">
        <f>ROUND((+I129+E130+(D130/2))*F130/12,2)</f>
        <v>1932.82</v>
      </c>
      <c r="H130" s="67">
        <f t="shared" si="12"/>
        <v>-91382.607499999998</v>
      </c>
      <c r="I130" s="109">
        <f t="shared" si="13"/>
        <v>668930.57435069897</v>
      </c>
    </row>
    <row r="131" spans="1:9" hidden="1" outlineLevel="1" x14ac:dyDescent="0.25">
      <c r="A131" s="71">
        <f t="shared" si="7"/>
        <v>124</v>
      </c>
      <c r="B131" s="66">
        <f>+B130+31</f>
        <v>42302</v>
      </c>
      <c r="C131" s="89"/>
      <c r="D131" s="67">
        <v>-110871.54</v>
      </c>
      <c r="E131" s="67"/>
      <c r="F131" s="77">
        <v>3.2500000000000001E-2</v>
      </c>
      <c r="G131" s="101">
        <f>ROUND((+I130+E131+(D131/2))*F131/12,2)</f>
        <v>1661.55</v>
      </c>
      <c r="H131" s="67">
        <f t="shared" si="12"/>
        <v>-109209.95749999999</v>
      </c>
      <c r="I131" s="109">
        <f t="shared" si="13"/>
        <v>559720.61685069895</v>
      </c>
    </row>
    <row r="132" spans="1:9" hidden="1" outlineLevel="1" x14ac:dyDescent="0.25">
      <c r="A132" s="71">
        <f t="shared" si="7"/>
        <v>125</v>
      </c>
      <c r="B132" s="66">
        <f>+B131+30</f>
        <v>42332</v>
      </c>
      <c r="C132" s="66" t="s">
        <v>352</v>
      </c>
      <c r="D132" s="67">
        <v>-92886.01</v>
      </c>
      <c r="E132" s="85"/>
      <c r="F132" s="77">
        <v>3.2500000000000001E-2</v>
      </c>
      <c r="G132" s="76">
        <f>ROUND((+I131+E132+(D132/2))*F132/12,0)</f>
        <v>1390</v>
      </c>
      <c r="H132" s="67">
        <f t="shared" si="12"/>
        <v>-91495.977499999994</v>
      </c>
      <c r="I132" s="75">
        <f t="shared" si="13"/>
        <v>468224.63935069897</v>
      </c>
    </row>
    <row r="133" spans="1:9" hidden="1" outlineLevel="1" x14ac:dyDescent="0.25">
      <c r="A133" s="71">
        <f t="shared" si="7"/>
        <v>126</v>
      </c>
      <c r="B133" s="66">
        <f>+B132</f>
        <v>42332</v>
      </c>
      <c r="C133" s="66" t="s">
        <v>350</v>
      </c>
      <c r="D133" s="67">
        <v>86255.75</v>
      </c>
      <c r="E133" s="85">
        <v>-3087447</v>
      </c>
      <c r="F133" s="77">
        <v>3.2500000000000001E-2</v>
      </c>
      <c r="G133" s="76">
        <f>ROUND((+E133+(D133/2))*F133/12,2)</f>
        <v>-8245.0300000000007</v>
      </c>
      <c r="H133" s="67">
        <f t="shared" si="12"/>
        <v>-3009436.2474999996</v>
      </c>
      <c r="I133" s="75">
        <f t="shared" si="13"/>
        <v>-2541211.6081493008</v>
      </c>
    </row>
    <row r="134" spans="1:9" hidden="1" outlineLevel="1" x14ac:dyDescent="0.25">
      <c r="A134" s="71">
        <f t="shared" si="7"/>
        <v>127</v>
      </c>
      <c r="B134" s="66">
        <f>B132+31</f>
        <v>42363</v>
      </c>
      <c r="C134" s="89"/>
      <c r="D134" s="67">
        <v>395126.01</v>
      </c>
      <c r="E134" s="67"/>
      <c r="F134" s="77">
        <v>3.2500000000000001E-2</v>
      </c>
      <c r="G134" s="76">
        <f>ROUND((+I133+E134+(D134/2))*F134/12,0)</f>
        <v>-6347</v>
      </c>
      <c r="H134" s="67">
        <f t="shared" si="12"/>
        <v>388779.04249999998</v>
      </c>
      <c r="I134" s="75">
        <f t="shared" si="13"/>
        <v>-2152432.5656493008</v>
      </c>
    </row>
    <row r="135" spans="1:9" hidden="1" outlineLevel="1" x14ac:dyDescent="0.25">
      <c r="A135" s="71">
        <f t="shared" si="7"/>
        <v>128</v>
      </c>
      <c r="B135" s="66">
        <f>B134+31</f>
        <v>42394</v>
      </c>
      <c r="C135" s="89"/>
      <c r="D135" s="67">
        <v>473725.83</v>
      </c>
      <c r="E135" s="67"/>
      <c r="F135" s="77">
        <v>3.2500000000000001E-2</v>
      </c>
      <c r="G135" s="101">
        <f t="shared" ref="G135:G145" si="15">ROUND((+I134+E135+(D135/2))*F135/12,2)</f>
        <v>-5188</v>
      </c>
      <c r="H135" s="67">
        <f t="shared" si="12"/>
        <v>468537.86249999999</v>
      </c>
      <c r="I135" s="109">
        <f t="shared" si="13"/>
        <v>-1683894.7031493008</v>
      </c>
    </row>
    <row r="136" spans="1:9" hidden="1" outlineLevel="1" x14ac:dyDescent="0.25">
      <c r="A136" s="71">
        <f t="shared" si="7"/>
        <v>129</v>
      </c>
      <c r="B136" s="66">
        <f>B135+29</f>
        <v>42423</v>
      </c>
      <c r="C136" s="89"/>
      <c r="D136" s="67">
        <v>316534.03000000003</v>
      </c>
      <c r="E136" s="67"/>
      <c r="F136" s="77">
        <v>3.2500000000000001E-2</v>
      </c>
      <c r="G136" s="101">
        <f t="shared" si="15"/>
        <v>-4131.91</v>
      </c>
      <c r="H136" s="67">
        <f t="shared" si="12"/>
        <v>312402.15250000003</v>
      </c>
      <c r="I136" s="109">
        <f t="shared" si="13"/>
        <v>-1371492.5506493007</v>
      </c>
    </row>
    <row r="137" spans="1:9" hidden="1" outlineLevel="1" x14ac:dyDescent="0.25">
      <c r="A137" s="71">
        <f t="shared" ref="A137:A200" si="16">+A136+1</f>
        <v>130</v>
      </c>
      <c r="B137" s="66">
        <f>B136+31</f>
        <v>42454</v>
      </c>
      <c r="C137" s="89"/>
      <c r="D137" s="67">
        <v>270616.67</v>
      </c>
      <c r="E137" s="67"/>
      <c r="F137" s="77">
        <v>3.2500000000000001E-2</v>
      </c>
      <c r="G137" s="101">
        <f t="shared" si="15"/>
        <v>-3348</v>
      </c>
      <c r="H137" s="67">
        <f t="shared" si="12"/>
        <v>267268.70249999996</v>
      </c>
      <c r="I137" s="109">
        <f t="shared" si="13"/>
        <v>-1104223.8481493008</v>
      </c>
    </row>
    <row r="138" spans="1:9" hidden="1" outlineLevel="1" x14ac:dyDescent="0.25">
      <c r="A138" s="71">
        <f t="shared" si="16"/>
        <v>131</v>
      </c>
      <c r="B138" s="66">
        <f>B137+30</f>
        <v>42484</v>
      </c>
      <c r="C138" s="89"/>
      <c r="D138" s="67">
        <v>200192.1</v>
      </c>
      <c r="E138" s="67"/>
      <c r="F138" s="77">
        <v>3.4599999999999999E-2</v>
      </c>
      <c r="G138" s="101">
        <f t="shared" si="15"/>
        <v>-2895.24</v>
      </c>
      <c r="H138" s="67">
        <f t="shared" si="12"/>
        <v>197296.89460000003</v>
      </c>
      <c r="I138" s="109">
        <f t="shared" si="13"/>
        <v>-906926.95354930079</v>
      </c>
    </row>
    <row r="139" spans="1:9" hidden="1" outlineLevel="1" x14ac:dyDescent="0.25">
      <c r="A139" s="71">
        <f t="shared" si="16"/>
        <v>132</v>
      </c>
      <c r="B139" s="66">
        <f>B138+31</f>
        <v>42515</v>
      </c>
      <c r="C139" s="89"/>
      <c r="D139" s="67">
        <v>125112</v>
      </c>
      <c r="E139" s="67">
        <v>-0.3</v>
      </c>
      <c r="F139" s="77">
        <v>3.4599999999999999E-2</v>
      </c>
      <c r="G139" s="101">
        <f t="shared" si="15"/>
        <v>-2434.6</v>
      </c>
      <c r="H139" s="67">
        <f t="shared" si="12"/>
        <v>122677.13459999999</v>
      </c>
      <c r="I139" s="109">
        <f t="shared" si="13"/>
        <v>-784249.8189493008</v>
      </c>
    </row>
    <row r="140" spans="1:9" hidden="1" outlineLevel="1" x14ac:dyDescent="0.25">
      <c r="A140" s="71">
        <f t="shared" si="16"/>
        <v>133</v>
      </c>
      <c r="B140" s="66">
        <f>B139+30</f>
        <v>42545</v>
      </c>
      <c r="C140" s="87">
        <v>2</v>
      </c>
      <c r="D140" s="67">
        <v>2644118.4</v>
      </c>
      <c r="E140" s="67">
        <v>-2611790</v>
      </c>
      <c r="F140" s="77">
        <v>3.4599999999999999E-2</v>
      </c>
      <c r="G140" s="101">
        <f t="shared" si="15"/>
        <v>-5979.98</v>
      </c>
      <c r="H140" s="67">
        <f t="shared" si="12"/>
        <v>26348.454599999906</v>
      </c>
      <c r="I140" s="109">
        <f t="shared" si="13"/>
        <v>-757901.36434930086</v>
      </c>
    </row>
    <row r="141" spans="1:9" hidden="1" outlineLevel="1" x14ac:dyDescent="0.25">
      <c r="A141" s="71">
        <f t="shared" si="16"/>
        <v>134</v>
      </c>
      <c r="B141" s="66">
        <f>B140+31</f>
        <v>42576</v>
      </c>
      <c r="C141" s="89"/>
      <c r="D141" s="67">
        <v>143291.51999999999</v>
      </c>
      <c r="E141" s="67"/>
      <c r="F141" s="77">
        <v>3.5000000000000003E-2</v>
      </c>
      <c r="G141" s="101">
        <f t="shared" si="15"/>
        <v>-2001.58</v>
      </c>
      <c r="H141" s="67">
        <f t="shared" si="12"/>
        <v>141289.97500000001</v>
      </c>
      <c r="I141" s="109">
        <f t="shared" si="13"/>
        <v>-616611.38934930088</v>
      </c>
    </row>
    <row r="142" spans="1:9" hidden="1" outlineLevel="1" x14ac:dyDescent="0.25">
      <c r="A142" s="71">
        <f t="shared" si="16"/>
        <v>135</v>
      </c>
      <c r="B142" s="66">
        <f>B141+31</f>
        <v>42607</v>
      </c>
      <c r="C142" s="89"/>
      <c r="D142" s="67">
        <v>76947.12</v>
      </c>
      <c r="E142" s="67"/>
      <c r="F142" s="77">
        <v>3.5000000000000003E-2</v>
      </c>
      <c r="G142" s="101">
        <f t="shared" si="15"/>
        <v>-1686.24</v>
      </c>
      <c r="H142" s="67">
        <f t="shared" si="12"/>
        <v>75260.914999999994</v>
      </c>
      <c r="I142" s="109">
        <f t="shared" si="13"/>
        <v>-541350.47434930084</v>
      </c>
    </row>
    <row r="143" spans="1:9" hidden="1" outlineLevel="1" x14ac:dyDescent="0.25">
      <c r="A143" s="71">
        <f t="shared" si="16"/>
        <v>136</v>
      </c>
      <c r="B143" s="66">
        <f>B142+30</f>
        <v>42637</v>
      </c>
      <c r="C143" s="89"/>
      <c r="D143" s="106">
        <v>83763.6415232</v>
      </c>
      <c r="E143" s="85"/>
      <c r="F143" s="104">
        <v>3.5000000000000003E-2</v>
      </c>
      <c r="G143" s="103">
        <f t="shared" si="15"/>
        <v>-1456.78</v>
      </c>
      <c r="H143" s="102">
        <f t="shared" ref="H143:H174" si="17">D143+E143+G143</f>
        <v>82306.861523200001</v>
      </c>
      <c r="I143" s="99">
        <f t="shared" si="13"/>
        <v>-459043.61282610084</v>
      </c>
    </row>
    <row r="144" spans="1:9" hidden="1" outlineLevel="1" x14ac:dyDescent="0.25">
      <c r="A144" s="71">
        <f t="shared" si="16"/>
        <v>137</v>
      </c>
      <c r="B144" s="66">
        <f>B143+31</f>
        <v>42668</v>
      </c>
      <c r="C144" s="89"/>
      <c r="D144" s="106">
        <v>119384.2138612</v>
      </c>
      <c r="E144" s="85"/>
      <c r="F144" s="104">
        <v>3.5000000000000003E-2</v>
      </c>
      <c r="G144" s="103">
        <f t="shared" si="15"/>
        <v>-1164.78</v>
      </c>
      <c r="H144" s="102">
        <f t="shared" si="17"/>
        <v>118219.4338612</v>
      </c>
      <c r="I144" s="99">
        <f t="shared" si="13"/>
        <v>-340824.17896490084</v>
      </c>
    </row>
    <row r="145" spans="1:9" hidden="1" outlineLevel="1" x14ac:dyDescent="0.25">
      <c r="A145" s="71">
        <f t="shared" si="16"/>
        <v>138</v>
      </c>
      <c r="B145" s="82">
        <f>B144+30</f>
        <v>42698</v>
      </c>
      <c r="C145" s="108" t="s">
        <v>351</v>
      </c>
      <c r="D145" s="106">
        <v>99870.190000000017</v>
      </c>
      <c r="E145" s="108"/>
      <c r="F145" s="104">
        <v>3.5000000000000003E-2</v>
      </c>
      <c r="G145" s="103">
        <f t="shared" si="15"/>
        <v>-848.43</v>
      </c>
      <c r="H145" s="102">
        <f t="shared" si="17"/>
        <v>99021.760000000024</v>
      </c>
      <c r="I145" s="99">
        <f t="shared" si="13"/>
        <v>-241802.41896490083</v>
      </c>
    </row>
    <row r="146" spans="1:9" hidden="1" outlineLevel="1" x14ac:dyDescent="0.25">
      <c r="A146" s="71">
        <f t="shared" si="16"/>
        <v>139</v>
      </c>
      <c r="B146" s="82">
        <f>B145</f>
        <v>42698</v>
      </c>
      <c r="C146" s="66" t="s">
        <v>350</v>
      </c>
      <c r="D146" s="106">
        <v>42457.31</v>
      </c>
      <c r="E146" s="85">
        <v>-1161213.3799999999</v>
      </c>
      <c r="F146" s="104">
        <v>3.5000000000000003E-2</v>
      </c>
      <c r="G146" s="103">
        <f>ROUND((+E146+(D146/2))*F146/12,2)</f>
        <v>-3324.96</v>
      </c>
      <c r="H146" s="102">
        <f t="shared" si="17"/>
        <v>-1122081.0299999998</v>
      </c>
      <c r="I146" s="99">
        <f t="shared" si="13"/>
        <v>-1363883.4489649006</v>
      </c>
    </row>
    <row r="147" spans="1:9" hidden="1" outlineLevel="1" x14ac:dyDescent="0.25">
      <c r="A147" s="71">
        <f t="shared" si="16"/>
        <v>140</v>
      </c>
      <c r="B147" s="82">
        <f t="shared" ref="B147:B157" si="18">B146+31</f>
        <v>42729</v>
      </c>
      <c r="C147" s="108"/>
      <c r="D147" s="106">
        <v>205724.76</v>
      </c>
      <c r="E147" s="85"/>
      <c r="F147" s="104">
        <v>3.5000000000000003E-2</v>
      </c>
      <c r="G147" s="103">
        <f t="shared" ref="G147:G158" si="19">ROUND((+I146+E147+(D147/2))*F147/12,2)</f>
        <v>-3677.98</v>
      </c>
      <c r="H147" s="102">
        <f t="shared" si="17"/>
        <v>202046.78</v>
      </c>
      <c r="I147" s="99">
        <f t="shared" si="13"/>
        <v>-1161836.6689649005</v>
      </c>
    </row>
    <row r="148" spans="1:9" hidden="1" outlineLevel="1" x14ac:dyDescent="0.25">
      <c r="A148" s="71">
        <f t="shared" si="16"/>
        <v>141</v>
      </c>
      <c r="B148" s="82">
        <f t="shared" si="18"/>
        <v>42760</v>
      </c>
      <c r="C148" s="108"/>
      <c r="D148" s="106">
        <v>353480.54999999987</v>
      </c>
      <c r="E148" s="85"/>
      <c r="F148" s="104">
        <v>3.5000000000000003E-2</v>
      </c>
      <c r="G148" s="103">
        <f t="shared" si="19"/>
        <v>-2873.2</v>
      </c>
      <c r="H148" s="102">
        <f t="shared" si="17"/>
        <v>350607.34999999986</v>
      </c>
      <c r="I148" s="99">
        <f t="shared" si="13"/>
        <v>-811229.31896490068</v>
      </c>
    </row>
    <row r="149" spans="1:9" hidden="1" outlineLevel="1" x14ac:dyDescent="0.25">
      <c r="A149" s="71">
        <f t="shared" si="16"/>
        <v>142</v>
      </c>
      <c r="B149" s="82">
        <f t="shared" si="18"/>
        <v>42791</v>
      </c>
      <c r="C149" s="108"/>
      <c r="D149" s="106">
        <v>265746.88000000006</v>
      </c>
      <c r="E149" s="85"/>
      <c r="F149" s="104">
        <v>3.5000000000000003E-2</v>
      </c>
      <c r="G149" s="103">
        <f t="shared" si="19"/>
        <v>-1978.54</v>
      </c>
      <c r="H149" s="102">
        <f t="shared" si="17"/>
        <v>263768.34000000008</v>
      </c>
      <c r="I149" s="99">
        <f t="shared" si="13"/>
        <v>-547460.9789649006</v>
      </c>
    </row>
    <row r="150" spans="1:9" hidden="1" outlineLevel="1" x14ac:dyDescent="0.25">
      <c r="A150" s="71">
        <f t="shared" si="16"/>
        <v>143</v>
      </c>
      <c r="B150" s="82">
        <f t="shared" si="18"/>
        <v>42822</v>
      </c>
      <c r="C150" s="108"/>
      <c r="D150" s="106">
        <v>207355.01</v>
      </c>
      <c r="E150" s="85"/>
      <c r="F150" s="104">
        <v>3.5000000000000003E-2</v>
      </c>
      <c r="G150" s="103">
        <f t="shared" si="19"/>
        <v>-1294.3699999999999</v>
      </c>
      <c r="H150" s="102">
        <f t="shared" si="17"/>
        <v>206060.64</v>
      </c>
      <c r="I150" s="99">
        <f t="shared" si="13"/>
        <v>-341400.33896490058</v>
      </c>
    </row>
    <row r="151" spans="1:9" hidden="1" outlineLevel="1" x14ac:dyDescent="0.25">
      <c r="A151" s="71">
        <f t="shared" si="16"/>
        <v>144</v>
      </c>
      <c r="B151" s="82">
        <f t="shared" si="18"/>
        <v>42853</v>
      </c>
      <c r="C151" s="108"/>
      <c r="D151" s="106">
        <v>149129.61999999997</v>
      </c>
      <c r="E151" s="85"/>
      <c r="F151" s="104">
        <v>3.7100000000000001E-2</v>
      </c>
      <c r="G151" s="103">
        <f t="shared" si="19"/>
        <v>-824.97</v>
      </c>
      <c r="H151" s="102">
        <f t="shared" si="17"/>
        <v>148304.64999999997</v>
      </c>
      <c r="I151" s="99">
        <f t="shared" si="13"/>
        <v>-193095.68896490062</v>
      </c>
    </row>
    <row r="152" spans="1:9" hidden="1" outlineLevel="1" x14ac:dyDescent="0.25">
      <c r="A152" s="71">
        <f t="shared" si="16"/>
        <v>145</v>
      </c>
      <c r="B152" s="82">
        <f t="shared" si="18"/>
        <v>42884</v>
      </c>
      <c r="C152" s="108"/>
      <c r="D152" s="106">
        <v>107467.04000000001</v>
      </c>
      <c r="E152" s="85"/>
      <c r="F152" s="104">
        <v>3.7100000000000001E-2</v>
      </c>
      <c r="G152" s="103">
        <f t="shared" si="19"/>
        <v>-430.86</v>
      </c>
      <c r="H152" s="102">
        <f t="shared" si="17"/>
        <v>107036.18000000001</v>
      </c>
      <c r="I152" s="99">
        <f t="shared" si="13"/>
        <v>-86059.508964900611</v>
      </c>
    </row>
    <row r="153" spans="1:9" hidden="1" outlineLevel="1" x14ac:dyDescent="0.25">
      <c r="A153" s="71">
        <f t="shared" si="16"/>
        <v>146</v>
      </c>
      <c r="B153" s="82">
        <f t="shared" si="18"/>
        <v>42915</v>
      </c>
      <c r="C153" s="108"/>
      <c r="D153" s="106">
        <v>66793.119999999995</v>
      </c>
      <c r="E153" s="85"/>
      <c r="F153" s="104">
        <v>3.7100000000000001E-2</v>
      </c>
      <c r="G153" s="103">
        <f t="shared" si="19"/>
        <v>-162.82</v>
      </c>
      <c r="H153" s="102">
        <f t="shared" si="17"/>
        <v>66630.299999999988</v>
      </c>
      <c r="I153" s="99">
        <f t="shared" si="13"/>
        <v>-19429.208964900623</v>
      </c>
    </row>
    <row r="154" spans="1:9" hidden="1" outlineLevel="1" x14ac:dyDescent="0.25">
      <c r="A154" s="71">
        <f t="shared" si="16"/>
        <v>147</v>
      </c>
      <c r="B154" s="82">
        <f t="shared" si="18"/>
        <v>42946</v>
      </c>
      <c r="C154" s="108"/>
      <c r="D154" s="106">
        <v>50289.820000000014</v>
      </c>
      <c r="E154" s="85"/>
      <c r="F154" s="104">
        <v>3.9600000000000003E-2</v>
      </c>
      <c r="G154" s="103">
        <f t="shared" si="19"/>
        <v>18.86</v>
      </c>
      <c r="H154" s="102">
        <f t="shared" si="17"/>
        <v>50308.680000000015</v>
      </c>
      <c r="I154" s="99">
        <f t="shared" si="13"/>
        <v>30879.471035099392</v>
      </c>
    </row>
    <row r="155" spans="1:9" hidden="1" outlineLevel="1" x14ac:dyDescent="0.25">
      <c r="A155" s="71">
        <f t="shared" si="16"/>
        <v>148</v>
      </c>
      <c r="B155" s="82">
        <f t="shared" si="18"/>
        <v>42977</v>
      </c>
      <c r="C155" s="108"/>
      <c r="D155" s="106">
        <v>42364.98000000001</v>
      </c>
      <c r="E155" s="85"/>
      <c r="F155" s="104">
        <v>3.9600000000000003E-2</v>
      </c>
      <c r="G155" s="103">
        <f t="shared" si="19"/>
        <v>171.8</v>
      </c>
      <c r="H155" s="102">
        <f t="shared" si="17"/>
        <v>42536.780000000013</v>
      </c>
      <c r="I155" s="99">
        <f t="shared" si="13"/>
        <v>73416.251035099413</v>
      </c>
    </row>
    <row r="156" spans="1:9" hidden="1" outlineLevel="1" x14ac:dyDescent="0.25">
      <c r="A156" s="71">
        <f t="shared" si="16"/>
        <v>149</v>
      </c>
      <c r="B156" s="82">
        <f t="shared" si="18"/>
        <v>43008</v>
      </c>
      <c r="C156" s="108"/>
      <c r="D156" s="106">
        <v>45018.709999999992</v>
      </c>
      <c r="E156" s="85"/>
      <c r="F156" s="104">
        <v>3.9600000000000003E-2</v>
      </c>
      <c r="G156" s="103">
        <f t="shared" si="19"/>
        <v>316.55</v>
      </c>
      <c r="H156" s="102">
        <f t="shared" si="17"/>
        <v>45335.259999999995</v>
      </c>
      <c r="I156" s="99">
        <f t="shared" si="13"/>
        <v>118751.51103509941</v>
      </c>
    </row>
    <row r="157" spans="1:9" hidden="1" outlineLevel="1" x14ac:dyDescent="0.25">
      <c r="A157" s="71">
        <f t="shared" si="16"/>
        <v>150</v>
      </c>
      <c r="B157" s="82">
        <f t="shared" si="18"/>
        <v>43039</v>
      </c>
      <c r="C157" s="108"/>
      <c r="D157" s="106">
        <v>72619.959999999977</v>
      </c>
      <c r="E157" s="85"/>
      <c r="F157" s="104">
        <v>4.2099999999999999E-2</v>
      </c>
      <c r="G157" s="103">
        <f t="shared" si="19"/>
        <v>544.01</v>
      </c>
      <c r="H157" s="102">
        <f t="shared" si="17"/>
        <v>73163.969999999972</v>
      </c>
      <c r="I157" s="99">
        <f t="shared" si="13"/>
        <v>191915.48103509936</v>
      </c>
    </row>
    <row r="158" spans="1:9" hidden="1" outlineLevel="1" x14ac:dyDescent="0.25">
      <c r="A158" s="71">
        <f t="shared" si="16"/>
        <v>151</v>
      </c>
      <c r="B158" s="82">
        <f>B157+30</f>
        <v>43069</v>
      </c>
      <c r="C158" s="108" t="s">
        <v>351</v>
      </c>
      <c r="D158" s="106">
        <v>76080.929999999993</v>
      </c>
      <c r="E158" s="85"/>
      <c r="F158" s="104">
        <v>4.2099999999999999E-2</v>
      </c>
      <c r="G158" s="103">
        <f t="shared" si="19"/>
        <v>806.76</v>
      </c>
      <c r="H158" s="102">
        <f t="shared" si="17"/>
        <v>76887.689999999988</v>
      </c>
      <c r="I158" s="99">
        <f t="shared" si="13"/>
        <v>268803.17103509937</v>
      </c>
    </row>
    <row r="159" spans="1:9" hidden="1" outlineLevel="1" x14ac:dyDescent="0.25">
      <c r="A159" s="71">
        <f t="shared" si="16"/>
        <v>152</v>
      </c>
      <c r="B159" s="82">
        <v>43069</v>
      </c>
      <c r="C159" s="66" t="s">
        <v>350</v>
      </c>
      <c r="D159" s="106">
        <v>10226.259999999998</v>
      </c>
      <c r="E159" s="85">
        <v>-502484.6</v>
      </c>
      <c r="F159" s="104">
        <v>4.2099999999999999E-2</v>
      </c>
      <c r="G159" s="103">
        <f>ROUND((+E159+(D159/2))*F159/12,2)</f>
        <v>-1744.94</v>
      </c>
      <c r="H159" s="102">
        <f t="shared" si="17"/>
        <v>-494003.27999999997</v>
      </c>
      <c r="I159" s="99">
        <f t="shared" si="13"/>
        <v>-225200.1089649006</v>
      </c>
    </row>
    <row r="160" spans="1:9" hidden="1" outlineLevel="1" x14ac:dyDescent="0.25">
      <c r="A160" s="71">
        <f t="shared" si="16"/>
        <v>153</v>
      </c>
      <c r="B160" s="82">
        <f>B158+31</f>
        <v>43100</v>
      </c>
      <c r="C160" s="108"/>
      <c r="D160" s="106">
        <v>39613.340000000004</v>
      </c>
      <c r="E160" s="85"/>
      <c r="F160" s="104">
        <v>4.2099999999999999E-2</v>
      </c>
      <c r="G160" s="103">
        <f t="shared" ref="G160:G171" si="20">ROUND((+I159+E160+(D160/2))*F160/12,2)</f>
        <v>-720.59</v>
      </c>
      <c r="H160" s="102">
        <f t="shared" si="17"/>
        <v>38892.750000000007</v>
      </c>
      <c r="I160" s="99">
        <f t="shared" si="13"/>
        <v>-186307.3589649006</v>
      </c>
    </row>
    <row r="161" spans="1:9" hidden="1" outlineLevel="1" x14ac:dyDescent="0.25">
      <c r="A161" s="71">
        <f t="shared" si="16"/>
        <v>154</v>
      </c>
      <c r="B161" s="82">
        <v>43101</v>
      </c>
      <c r="C161" s="108"/>
      <c r="D161" s="106">
        <v>51299.63</v>
      </c>
      <c r="E161" s="85"/>
      <c r="F161" s="104">
        <v>4.2500000000000003E-2</v>
      </c>
      <c r="G161" s="103">
        <f t="shared" si="20"/>
        <v>-569</v>
      </c>
      <c r="H161" s="102">
        <f t="shared" si="17"/>
        <v>50730.63</v>
      </c>
      <c r="I161" s="99">
        <f t="shared" si="13"/>
        <v>-135576.7289649006</v>
      </c>
    </row>
    <row r="162" spans="1:9" hidden="1" outlineLevel="1" x14ac:dyDescent="0.25">
      <c r="A162" s="71">
        <f t="shared" si="16"/>
        <v>155</v>
      </c>
      <c r="B162" s="82">
        <v>43132</v>
      </c>
      <c r="C162" s="108"/>
      <c r="D162" s="106">
        <v>36894.660000000018</v>
      </c>
      <c r="E162" s="85"/>
      <c r="F162" s="104">
        <v>4.2500000000000003E-2</v>
      </c>
      <c r="G162" s="103">
        <f t="shared" si="20"/>
        <v>-414.83</v>
      </c>
      <c r="H162" s="102">
        <f t="shared" si="17"/>
        <v>36479.830000000016</v>
      </c>
      <c r="I162" s="99">
        <f t="shared" si="13"/>
        <v>-99096.898964900582</v>
      </c>
    </row>
    <row r="163" spans="1:9" hidden="1" outlineLevel="1" x14ac:dyDescent="0.25">
      <c r="A163" s="71">
        <f t="shared" si="16"/>
        <v>156</v>
      </c>
      <c r="B163" s="82">
        <v>43160</v>
      </c>
      <c r="C163" s="108"/>
      <c r="D163" s="106">
        <v>40763.21</v>
      </c>
      <c r="E163" s="85"/>
      <c r="F163" s="104">
        <v>4.2500000000000003E-2</v>
      </c>
      <c r="G163" s="103">
        <f t="shared" si="20"/>
        <v>-278.77999999999997</v>
      </c>
      <c r="H163" s="102">
        <f t="shared" si="17"/>
        <v>40484.43</v>
      </c>
      <c r="I163" s="99">
        <f t="shared" si="13"/>
        <v>-58612.468964900581</v>
      </c>
    </row>
    <row r="164" spans="1:9" hidden="1" outlineLevel="1" x14ac:dyDescent="0.25">
      <c r="A164" s="71">
        <f t="shared" si="16"/>
        <v>157</v>
      </c>
      <c r="B164" s="82">
        <v>43191</v>
      </c>
      <c r="C164" s="108"/>
      <c r="D164" s="106">
        <v>29832.390000000003</v>
      </c>
      <c r="E164" s="85"/>
      <c r="F164" s="104">
        <v>4.4699999999999997E-2</v>
      </c>
      <c r="G164" s="103">
        <f t="shared" si="20"/>
        <v>-162.77000000000001</v>
      </c>
      <c r="H164" s="102">
        <f t="shared" si="17"/>
        <v>29669.620000000003</v>
      </c>
      <c r="I164" s="99">
        <f t="shared" si="13"/>
        <v>-28942.848964900579</v>
      </c>
    </row>
    <row r="165" spans="1:9" hidden="1" outlineLevel="1" x14ac:dyDescent="0.25">
      <c r="A165" s="71">
        <f t="shared" si="16"/>
        <v>158</v>
      </c>
      <c r="B165" s="82">
        <v>43221</v>
      </c>
      <c r="C165" s="108"/>
      <c r="D165" s="106">
        <v>16357.3</v>
      </c>
      <c r="E165" s="85"/>
      <c r="F165" s="104">
        <v>4.4699999999999997E-2</v>
      </c>
      <c r="G165" s="103">
        <f t="shared" si="20"/>
        <v>-77.349999999999994</v>
      </c>
      <c r="H165" s="102">
        <f t="shared" si="17"/>
        <v>16279.949999999999</v>
      </c>
      <c r="I165" s="99">
        <f t="shared" si="13"/>
        <v>-12662.89896490058</v>
      </c>
    </row>
    <row r="166" spans="1:9" hidden="1" outlineLevel="1" x14ac:dyDescent="0.25">
      <c r="A166" s="71">
        <f t="shared" si="16"/>
        <v>159</v>
      </c>
      <c r="B166" s="82">
        <v>43252</v>
      </c>
      <c r="C166" s="108"/>
      <c r="D166" s="106">
        <v>11254.5</v>
      </c>
      <c r="E166" s="85"/>
      <c r="F166" s="104">
        <v>4.4699999999999997E-2</v>
      </c>
      <c r="G166" s="103">
        <f t="shared" si="20"/>
        <v>-26.21</v>
      </c>
      <c r="H166" s="102">
        <f t="shared" si="17"/>
        <v>11228.29</v>
      </c>
      <c r="I166" s="99">
        <f t="shared" si="13"/>
        <v>-1434.6089649005789</v>
      </c>
    </row>
    <row r="167" spans="1:9" hidden="1" outlineLevel="1" x14ac:dyDescent="0.25">
      <c r="A167" s="71">
        <f t="shared" si="16"/>
        <v>160</v>
      </c>
      <c r="B167" s="82">
        <v>43282</v>
      </c>
      <c r="C167" s="87">
        <v>2</v>
      </c>
      <c r="D167" s="106">
        <v>9387.34</v>
      </c>
      <c r="E167" s="85">
        <v>-0.39</v>
      </c>
      <c r="F167" s="104">
        <v>4.6899999999999997E-2</v>
      </c>
      <c r="G167" s="103">
        <f t="shared" si="20"/>
        <v>12.74</v>
      </c>
      <c r="H167" s="102">
        <f t="shared" si="17"/>
        <v>9399.69</v>
      </c>
      <c r="I167" s="99">
        <f t="shared" si="13"/>
        <v>7965.0810350994216</v>
      </c>
    </row>
    <row r="168" spans="1:9" hidden="1" outlineLevel="1" x14ac:dyDescent="0.25">
      <c r="A168" s="71">
        <f t="shared" si="16"/>
        <v>161</v>
      </c>
      <c r="B168" s="82">
        <v>43313</v>
      </c>
      <c r="C168" s="108"/>
      <c r="D168" s="106">
        <v>7935.630000000001</v>
      </c>
      <c r="E168" s="85"/>
      <c r="F168" s="104">
        <v>4.6899999999999997E-2</v>
      </c>
      <c r="G168" s="103">
        <f t="shared" si="20"/>
        <v>46.64</v>
      </c>
      <c r="H168" s="102">
        <f t="shared" si="17"/>
        <v>7982.2700000000013</v>
      </c>
      <c r="I168" s="99">
        <f t="shared" si="13"/>
        <v>15947.351035099422</v>
      </c>
    </row>
    <row r="169" spans="1:9" hidden="1" outlineLevel="1" x14ac:dyDescent="0.25">
      <c r="A169" s="71">
        <f t="shared" si="16"/>
        <v>162</v>
      </c>
      <c r="B169" s="82">
        <v>43344</v>
      </c>
      <c r="C169" s="89"/>
      <c r="D169" s="106">
        <v>8827.7999999999993</v>
      </c>
      <c r="E169" s="85"/>
      <c r="F169" s="104">
        <v>4.6899999999999997E-2</v>
      </c>
      <c r="G169" s="103">
        <f t="shared" si="20"/>
        <v>79.58</v>
      </c>
      <c r="H169" s="102">
        <f t="shared" si="17"/>
        <v>8907.3799999999992</v>
      </c>
      <c r="I169" s="99">
        <f t="shared" si="13"/>
        <v>24854.731035099423</v>
      </c>
    </row>
    <row r="170" spans="1:9" hidden="1" outlineLevel="1" x14ac:dyDescent="0.25">
      <c r="A170" s="71">
        <f t="shared" si="16"/>
        <v>163</v>
      </c>
      <c r="B170" s="82">
        <v>43374</v>
      </c>
      <c r="C170" s="89"/>
      <c r="D170" s="106">
        <v>12531.070000000002</v>
      </c>
      <c r="E170" s="85"/>
      <c r="F170" s="88">
        <v>4.9599999999999998E-2</v>
      </c>
      <c r="G170" s="103">
        <f t="shared" si="20"/>
        <v>128.63</v>
      </c>
      <c r="H170" s="102">
        <f t="shared" si="17"/>
        <v>12659.7</v>
      </c>
      <c r="I170" s="99">
        <f t="shared" si="13"/>
        <v>37514.43103509942</v>
      </c>
    </row>
    <row r="171" spans="1:9" hidden="1" outlineLevel="1" x14ac:dyDescent="0.25">
      <c r="A171" s="71">
        <f t="shared" si="16"/>
        <v>164</v>
      </c>
      <c r="B171" s="82">
        <v>43405</v>
      </c>
      <c r="C171" s="108" t="s">
        <v>351</v>
      </c>
      <c r="D171" s="106">
        <v>12465.109999999999</v>
      </c>
      <c r="E171" s="85"/>
      <c r="F171" s="88">
        <v>4.9599999999999998E-2</v>
      </c>
      <c r="G171" s="103">
        <f t="shared" si="20"/>
        <v>180.82</v>
      </c>
      <c r="H171" s="102">
        <f t="shared" si="17"/>
        <v>12645.929999999998</v>
      </c>
      <c r="I171" s="99">
        <f t="shared" si="13"/>
        <v>50160.36103509942</v>
      </c>
    </row>
    <row r="172" spans="1:9" hidden="1" outlineLevel="1" x14ac:dyDescent="0.25">
      <c r="A172" s="71">
        <f t="shared" si="16"/>
        <v>165</v>
      </c>
      <c r="B172" s="82">
        <v>43405</v>
      </c>
      <c r="C172" s="66" t="s">
        <v>350</v>
      </c>
      <c r="D172" s="106">
        <v>61337.17</v>
      </c>
      <c r="E172" s="85">
        <v>-1991639.6114641016</v>
      </c>
      <c r="F172" s="88">
        <v>4.9599999999999998E-2</v>
      </c>
      <c r="G172" s="103">
        <f>ROUND((+E172+(D172/2))*F172/12,2)</f>
        <v>-8105.35</v>
      </c>
      <c r="H172" s="102">
        <f t="shared" si="17"/>
        <v>-1938407.7914641018</v>
      </c>
      <c r="I172" s="99">
        <f t="shared" si="13"/>
        <v>-1888247.4304290023</v>
      </c>
    </row>
    <row r="173" spans="1:9" hidden="1" outlineLevel="1" x14ac:dyDescent="0.25">
      <c r="A173" s="71">
        <f t="shared" si="16"/>
        <v>166</v>
      </c>
      <c r="B173" s="82">
        <v>43435</v>
      </c>
      <c r="C173" s="89"/>
      <c r="D173" s="106">
        <v>271734.82000000007</v>
      </c>
      <c r="E173" s="85"/>
      <c r="F173" s="88">
        <v>4.9599999999999998E-2</v>
      </c>
      <c r="G173" s="103">
        <f t="shared" ref="G173:G184" si="21">ROUND((+I172+E173+(D173/2))*F173/12,2)</f>
        <v>-7243.17</v>
      </c>
      <c r="H173" s="102">
        <f t="shared" si="17"/>
        <v>264491.65000000008</v>
      </c>
      <c r="I173" s="99">
        <f t="shared" si="13"/>
        <v>-1623755.7804290021</v>
      </c>
    </row>
    <row r="174" spans="1:9" hidden="1" outlineLevel="1" x14ac:dyDescent="0.25">
      <c r="A174" s="71">
        <f t="shared" si="16"/>
        <v>167</v>
      </c>
      <c r="B174" s="82">
        <v>43466</v>
      </c>
      <c r="C174" s="89"/>
      <c r="D174" s="106">
        <v>315752.82</v>
      </c>
      <c r="E174" s="85"/>
      <c r="F174" s="88">
        <v>5.1799999999999999E-2</v>
      </c>
      <c r="G174" s="103">
        <f t="shared" si="21"/>
        <v>-6327.71</v>
      </c>
      <c r="H174" s="102">
        <f t="shared" si="17"/>
        <v>309425.11</v>
      </c>
      <c r="I174" s="99">
        <f t="shared" si="13"/>
        <v>-1314330.670429002</v>
      </c>
    </row>
    <row r="175" spans="1:9" hidden="1" outlineLevel="1" x14ac:dyDescent="0.25">
      <c r="A175" s="71">
        <f t="shared" si="16"/>
        <v>168</v>
      </c>
      <c r="B175" s="82">
        <v>43497</v>
      </c>
      <c r="C175" s="89"/>
      <c r="D175" s="106">
        <v>311561.3899999999</v>
      </c>
      <c r="E175" s="85"/>
      <c r="F175" s="88">
        <v>5.1799999999999999E-2</v>
      </c>
      <c r="G175" s="103">
        <f t="shared" si="21"/>
        <v>-5001.07</v>
      </c>
      <c r="H175" s="102">
        <f t="shared" ref="H175:H206" si="22">D175+E175+G175</f>
        <v>306560.31999999989</v>
      </c>
      <c r="I175" s="99">
        <f t="shared" si="13"/>
        <v>-1007770.3504290022</v>
      </c>
    </row>
    <row r="176" spans="1:9" hidden="1" outlineLevel="1" x14ac:dyDescent="0.25">
      <c r="A176" s="71">
        <f t="shared" si="16"/>
        <v>169</v>
      </c>
      <c r="B176" s="82">
        <v>43525</v>
      </c>
      <c r="C176" s="89"/>
      <c r="D176" s="106">
        <v>337027.89999999997</v>
      </c>
      <c r="E176" s="85"/>
      <c r="F176" s="88">
        <v>5.1799999999999999E-2</v>
      </c>
      <c r="G176" s="103">
        <f t="shared" si="21"/>
        <v>-3622.79</v>
      </c>
      <c r="H176" s="102">
        <f t="shared" si="22"/>
        <v>333405.11</v>
      </c>
      <c r="I176" s="99">
        <f t="shared" si="13"/>
        <v>-674365.24042900221</v>
      </c>
    </row>
    <row r="177" spans="1:9" hidden="1" outlineLevel="1" x14ac:dyDescent="0.25">
      <c r="A177" s="71">
        <f t="shared" si="16"/>
        <v>170</v>
      </c>
      <c r="B177" s="82">
        <v>43556</v>
      </c>
      <c r="C177" s="89"/>
      <c r="D177" s="106">
        <v>165956.04999999999</v>
      </c>
      <c r="E177" s="85"/>
      <c r="F177" s="88">
        <v>5.45E-2</v>
      </c>
      <c r="G177" s="103">
        <f t="shared" si="21"/>
        <v>-2685.88</v>
      </c>
      <c r="H177" s="102">
        <f t="shared" si="22"/>
        <v>163270.16999999998</v>
      </c>
      <c r="I177" s="99">
        <f t="shared" si="13"/>
        <v>-511095.07042900223</v>
      </c>
    </row>
    <row r="178" spans="1:9" hidden="1" outlineLevel="1" x14ac:dyDescent="0.25">
      <c r="A178" s="71">
        <f t="shared" si="16"/>
        <v>171</v>
      </c>
      <c r="B178" s="82">
        <v>43586</v>
      </c>
      <c r="C178" s="89"/>
      <c r="D178" s="106">
        <v>114947.73999999998</v>
      </c>
      <c r="E178" s="85"/>
      <c r="F178" s="88">
        <v>5.45E-2</v>
      </c>
      <c r="G178" s="103">
        <f t="shared" si="21"/>
        <v>-2060.1999999999998</v>
      </c>
      <c r="H178" s="102">
        <f t="shared" si="22"/>
        <v>112887.53999999998</v>
      </c>
      <c r="I178" s="99">
        <f t="shared" si="13"/>
        <v>-398207.53042900225</v>
      </c>
    </row>
    <row r="179" spans="1:9" hidden="1" outlineLevel="1" x14ac:dyDescent="0.25">
      <c r="A179" s="71">
        <f t="shared" si="16"/>
        <v>172</v>
      </c>
      <c r="B179" s="82">
        <v>43617</v>
      </c>
      <c r="C179" s="89"/>
      <c r="D179" s="106">
        <v>77541.459999999963</v>
      </c>
      <c r="E179" s="85"/>
      <c r="F179" s="88">
        <v>5.45E-2</v>
      </c>
      <c r="G179" s="103">
        <f t="shared" si="21"/>
        <v>-1632.44</v>
      </c>
      <c r="H179" s="102">
        <f t="shared" si="22"/>
        <v>75909.01999999996</v>
      </c>
      <c r="I179" s="99">
        <f t="shared" si="13"/>
        <v>-322298.51042900229</v>
      </c>
    </row>
    <row r="180" spans="1:9" hidden="1" outlineLevel="1" x14ac:dyDescent="0.25">
      <c r="A180" s="71">
        <f t="shared" si="16"/>
        <v>173</v>
      </c>
      <c r="B180" s="82">
        <v>43647</v>
      </c>
      <c r="C180" s="89"/>
      <c r="D180" s="106">
        <v>67515.929999999993</v>
      </c>
      <c r="E180" s="85"/>
      <c r="F180" s="88">
        <v>5.5E-2</v>
      </c>
      <c r="G180" s="103">
        <f t="shared" si="21"/>
        <v>-1322.48</v>
      </c>
      <c r="H180" s="102">
        <f t="shared" si="22"/>
        <v>66193.45</v>
      </c>
      <c r="I180" s="99">
        <f t="shared" si="13"/>
        <v>-256105.06042900227</v>
      </c>
    </row>
    <row r="181" spans="1:9" hidden="1" outlineLevel="1" x14ac:dyDescent="0.25">
      <c r="A181" s="71">
        <f t="shared" si="16"/>
        <v>174</v>
      </c>
      <c r="B181" s="82">
        <v>43678</v>
      </c>
      <c r="C181" s="89"/>
      <c r="D181" s="106">
        <v>55940.850000000006</v>
      </c>
      <c r="E181" s="85"/>
      <c r="F181" s="88">
        <v>5.5E-2</v>
      </c>
      <c r="G181" s="103">
        <f t="shared" si="21"/>
        <v>-1045.6199999999999</v>
      </c>
      <c r="H181" s="102">
        <f t="shared" si="22"/>
        <v>54895.23</v>
      </c>
      <c r="I181" s="99">
        <f t="shared" si="13"/>
        <v>-201209.83042900226</v>
      </c>
    </row>
    <row r="182" spans="1:9" hidden="1" outlineLevel="1" x14ac:dyDescent="0.25">
      <c r="A182" s="71">
        <f t="shared" si="16"/>
        <v>175</v>
      </c>
      <c r="B182" s="82">
        <v>43709</v>
      </c>
      <c r="C182" s="89"/>
      <c r="D182" s="106">
        <v>57841.020000000004</v>
      </c>
      <c r="E182" s="85"/>
      <c r="F182" s="88">
        <v>5.5E-2</v>
      </c>
      <c r="G182" s="103">
        <f t="shared" si="21"/>
        <v>-789.66</v>
      </c>
      <c r="H182" s="102">
        <f t="shared" si="22"/>
        <v>57051.360000000001</v>
      </c>
      <c r="I182" s="99">
        <f t="shared" si="13"/>
        <v>-144158.47042900225</v>
      </c>
    </row>
    <row r="183" spans="1:9" hidden="1" outlineLevel="1" x14ac:dyDescent="0.25">
      <c r="A183" s="71">
        <f t="shared" si="16"/>
        <v>176</v>
      </c>
      <c r="B183" s="82">
        <v>43739</v>
      </c>
      <c r="C183" s="89"/>
      <c r="D183" s="106">
        <v>111461.31</v>
      </c>
      <c r="E183" s="85"/>
      <c r="F183" s="79">
        <v>5.4199999999999998E-2</v>
      </c>
      <c r="G183" s="103">
        <f t="shared" si="21"/>
        <v>-399.4</v>
      </c>
      <c r="H183" s="102">
        <f t="shared" si="22"/>
        <v>111061.91</v>
      </c>
      <c r="I183" s="99">
        <f t="shared" si="13"/>
        <v>-33096.560429002246</v>
      </c>
    </row>
    <row r="184" spans="1:9" hidden="1" outlineLevel="1" x14ac:dyDescent="0.25">
      <c r="A184" s="71">
        <f t="shared" si="16"/>
        <v>177</v>
      </c>
      <c r="B184" s="82">
        <v>43770</v>
      </c>
      <c r="C184" s="108" t="s">
        <v>351</v>
      </c>
      <c r="D184" s="106">
        <f>+'[36]Journal Page'!$F$95</f>
        <v>118864.15999999999</v>
      </c>
      <c r="E184" s="85"/>
      <c r="F184" s="79">
        <v>5.4199999999999998E-2</v>
      </c>
      <c r="G184" s="103">
        <f t="shared" si="21"/>
        <v>118.95</v>
      </c>
      <c r="H184" s="102">
        <f t="shared" si="22"/>
        <v>118983.10999999999</v>
      </c>
      <c r="I184" s="99">
        <f t="shared" ref="I184:I247" si="23">+I183+H184</f>
        <v>85886.54957099774</v>
      </c>
    </row>
    <row r="185" spans="1:9" hidden="1" outlineLevel="1" x14ac:dyDescent="0.25">
      <c r="A185" s="71">
        <f t="shared" si="16"/>
        <v>178</v>
      </c>
      <c r="B185" s="82">
        <v>43770</v>
      </c>
      <c r="C185" s="66" t="s">
        <v>350</v>
      </c>
      <c r="D185" s="106">
        <v>-107895.15</v>
      </c>
      <c r="E185" s="85">
        <f>-'151540 WACOG Deferral'!E173</f>
        <v>2729027.78</v>
      </c>
      <c r="F185" s="79">
        <v>5.4199999999999998E-2</v>
      </c>
      <c r="G185" s="103">
        <f>ROUND((+E185+(D185/2))*F185/12,2)</f>
        <v>12082.45</v>
      </c>
      <c r="H185" s="102">
        <f t="shared" si="22"/>
        <v>2633215.08</v>
      </c>
      <c r="I185" s="99">
        <f t="shared" si="23"/>
        <v>2719101.6295709978</v>
      </c>
    </row>
    <row r="186" spans="1:9" hidden="1" outlineLevel="1" x14ac:dyDescent="0.25">
      <c r="A186" s="71">
        <f t="shared" si="16"/>
        <v>179</v>
      </c>
      <c r="B186" s="82">
        <v>43800</v>
      </c>
      <c r="C186" s="89"/>
      <c r="D186" s="106">
        <v>-392147.49</v>
      </c>
      <c r="E186" s="85"/>
      <c r="F186" s="79">
        <v>5.4199999999999998E-2</v>
      </c>
      <c r="G186" s="103">
        <f t="shared" ref="G186:G197" si="24">ROUND((+I185+E186+(D186/2))*F186/12,2)</f>
        <v>11395.68</v>
      </c>
      <c r="H186" s="102">
        <f t="shared" si="22"/>
        <v>-380751.81</v>
      </c>
      <c r="I186" s="99">
        <f t="shared" si="23"/>
        <v>2338349.8195709977</v>
      </c>
    </row>
    <row r="187" spans="1:9" hidden="1" outlineLevel="1" x14ac:dyDescent="0.25">
      <c r="A187" s="71">
        <f t="shared" si="16"/>
        <v>180</v>
      </c>
      <c r="B187" s="82">
        <v>43831</v>
      </c>
      <c r="C187" s="89"/>
      <c r="D187" s="106">
        <v>-436907.76000000007</v>
      </c>
      <c r="E187" s="85"/>
      <c r="F187" s="79">
        <v>4.9599999999999998E-2</v>
      </c>
      <c r="G187" s="103">
        <f t="shared" si="24"/>
        <v>8762.24</v>
      </c>
      <c r="H187" s="102">
        <f t="shared" si="22"/>
        <v>-428145.52000000008</v>
      </c>
      <c r="I187" s="99">
        <f t="shared" si="23"/>
        <v>1910204.2995709977</v>
      </c>
    </row>
    <row r="188" spans="1:9" hidden="1" outlineLevel="1" x14ac:dyDescent="0.25">
      <c r="A188" s="71">
        <f t="shared" si="16"/>
        <v>181</v>
      </c>
      <c r="B188" s="82">
        <v>43862</v>
      </c>
      <c r="C188" s="89"/>
      <c r="D188" s="106">
        <v>-364893.65</v>
      </c>
      <c r="E188" s="85"/>
      <c r="F188" s="79">
        <v>4.9599999999999998E-2</v>
      </c>
      <c r="G188" s="103">
        <f t="shared" si="24"/>
        <v>7141.4</v>
      </c>
      <c r="H188" s="102">
        <f t="shared" si="22"/>
        <v>-357752.25</v>
      </c>
      <c r="I188" s="99">
        <f t="shared" si="23"/>
        <v>1552452.0495709977</v>
      </c>
    </row>
    <row r="189" spans="1:9" hidden="1" outlineLevel="1" x14ac:dyDescent="0.25">
      <c r="A189" s="71">
        <f t="shared" si="16"/>
        <v>182</v>
      </c>
      <c r="B189" s="82">
        <v>43891</v>
      </c>
      <c r="C189" s="89"/>
      <c r="D189" s="106">
        <v>-353570.46000000008</v>
      </c>
      <c r="E189" s="85"/>
      <c r="F189" s="88">
        <v>4.9599999999999998E-2</v>
      </c>
      <c r="G189" s="103">
        <f t="shared" si="24"/>
        <v>5686.09</v>
      </c>
      <c r="H189" s="102">
        <f t="shared" si="22"/>
        <v>-347884.37000000005</v>
      </c>
      <c r="I189" s="99">
        <f t="shared" si="23"/>
        <v>1204567.6795709976</v>
      </c>
    </row>
    <row r="190" spans="1:9" hidden="1" outlineLevel="1" x14ac:dyDescent="0.25">
      <c r="A190" s="71">
        <f t="shared" si="16"/>
        <v>183</v>
      </c>
      <c r="B190" s="82">
        <v>43922</v>
      </c>
      <c r="C190" s="108"/>
      <c r="D190" s="106">
        <v>-268926.65000000002</v>
      </c>
      <c r="E190" s="85"/>
      <c r="F190" s="104">
        <v>4.7500000000000001E-2</v>
      </c>
      <c r="G190" s="103">
        <f t="shared" si="24"/>
        <v>4235.83</v>
      </c>
      <c r="H190" s="102">
        <f t="shared" si="22"/>
        <v>-264690.82</v>
      </c>
      <c r="I190" s="99">
        <f t="shared" si="23"/>
        <v>939876.85957099753</v>
      </c>
    </row>
    <row r="191" spans="1:9" hidden="1" outlineLevel="1" x14ac:dyDescent="0.25">
      <c r="A191" s="71">
        <f t="shared" si="16"/>
        <v>184</v>
      </c>
      <c r="B191" s="82">
        <v>43952</v>
      </c>
      <c r="C191" s="108"/>
      <c r="D191" s="106">
        <v>-146897.96</v>
      </c>
      <c r="E191" s="85"/>
      <c r="F191" s="104">
        <v>4.7500000000000001E-2</v>
      </c>
      <c r="G191" s="103">
        <f t="shared" si="24"/>
        <v>3429.61</v>
      </c>
      <c r="H191" s="102">
        <f t="shared" si="22"/>
        <v>-143468.35</v>
      </c>
      <c r="I191" s="99">
        <f t="shared" si="23"/>
        <v>796408.50957099756</v>
      </c>
    </row>
    <row r="192" spans="1:9" hidden="1" outlineLevel="1" x14ac:dyDescent="0.25">
      <c r="A192" s="71">
        <f t="shared" si="16"/>
        <v>185</v>
      </c>
      <c r="B192" s="82">
        <v>43983</v>
      </c>
      <c r="C192" s="108"/>
      <c r="D192" s="106">
        <v>-114272.25999999998</v>
      </c>
      <c r="E192" s="85"/>
      <c r="F192" s="104">
        <v>4.7500000000000001E-2</v>
      </c>
      <c r="G192" s="103">
        <f t="shared" si="24"/>
        <v>2926.29</v>
      </c>
      <c r="H192" s="102">
        <f t="shared" si="22"/>
        <v>-111345.96999999999</v>
      </c>
      <c r="I192" s="99">
        <f t="shared" si="23"/>
        <v>685062.53957099759</v>
      </c>
    </row>
    <row r="193" spans="1:9" hidden="1" outlineLevel="1" x14ac:dyDescent="0.25">
      <c r="A193" s="71">
        <f t="shared" si="16"/>
        <v>186</v>
      </c>
      <c r="B193" s="82">
        <v>44013</v>
      </c>
      <c r="C193" s="108"/>
      <c r="D193" s="106">
        <v>-90958.150000000009</v>
      </c>
      <c r="E193" s="85"/>
      <c r="F193" s="104">
        <v>3.4299999999999997E-2</v>
      </c>
      <c r="G193" s="103">
        <f t="shared" si="24"/>
        <v>1828.14</v>
      </c>
      <c r="H193" s="102">
        <f t="shared" si="22"/>
        <v>-89130.010000000009</v>
      </c>
      <c r="I193" s="99">
        <f t="shared" si="23"/>
        <v>595932.52957099758</v>
      </c>
    </row>
    <row r="194" spans="1:9" hidden="1" outlineLevel="1" x14ac:dyDescent="0.25">
      <c r="A194" s="71">
        <f t="shared" si="16"/>
        <v>187</v>
      </c>
      <c r="B194" s="82">
        <v>44044</v>
      </c>
      <c r="C194" s="108"/>
      <c r="D194" s="106">
        <v>-73317.62</v>
      </c>
      <c r="E194" s="85"/>
      <c r="F194" s="104">
        <v>3.4299999999999997E-2</v>
      </c>
      <c r="G194" s="103">
        <f t="shared" si="24"/>
        <v>1598.59</v>
      </c>
      <c r="H194" s="102">
        <f t="shared" si="22"/>
        <v>-71719.03</v>
      </c>
      <c r="I194" s="99">
        <f t="shared" si="23"/>
        <v>524213.49957099755</v>
      </c>
    </row>
    <row r="195" spans="1:9" hidden="1" outlineLevel="1" x14ac:dyDescent="0.25">
      <c r="A195" s="71">
        <f t="shared" si="16"/>
        <v>188</v>
      </c>
      <c r="B195" s="82">
        <v>44075</v>
      </c>
      <c r="D195" s="106">
        <v>-76912.44</v>
      </c>
      <c r="E195" s="85"/>
      <c r="F195" s="104">
        <v>3.4299999999999997E-2</v>
      </c>
      <c r="G195" s="103">
        <f t="shared" si="24"/>
        <v>1388.46</v>
      </c>
      <c r="H195" s="102">
        <f t="shared" si="22"/>
        <v>-75523.98</v>
      </c>
      <c r="I195" s="99">
        <f t="shared" si="23"/>
        <v>448689.51957099757</v>
      </c>
    </row>
    <row r="196" spans="1:9" hidden="1" outlineLevel="1" x14ac:dyDescent="0.25">
      <c r="A196" s="71">
        <f t="shared" si="16"/>
        <v>189</v>
      </c>
      <c r="B196" s="82">
        <v>44105</v>
      </c>
      <c r="D196" s="106">
        <v>-99078.199999999983</v>
      </c>
      <c r="E196" s="85"/>
      <c r="F196" s="104">
        <v>3.2500000000000001E-2</v>
      </c>
      <c r="G196" s="103">
        <f t="shared" si="24"/>
        <v>1081.03</v>
      </c>
      <c r="H196" s="102">
        <f t="shared" si="22"/>
        <v>-97997.169999999984</v>
      </c>
      <c r="I196" s="99">
        <f t="shared" si="23"/>
        <v>350692.34957099758</v>
      </c>
    </row>
    <row r="197" spans="1:9" hidden="1" outlineLevel="1" x14ac:dyDescent="0.25">
      <c r="A197" s="71">
        <f t="shared" si="16"/>
        <v>190</v>
      </c>
      <c r="B197" s="82">
        <v>44136</v>
      </c>
      <c r="C197" s="108" t="s">
        <v>351</v>
      </c>
      <c r="D197" s="106">
        <v>-139040.84000000003</v>
      </c>
      <c r="E197" s="85"/>
      <c r="F197" s="104">
        <v>3.2500000000000001E-2</v>
      </c>
      <c r="G197" s="103">
        <f t="shared" si="24"/>
        <v>761.51</v>
      </c>
      <c r="H197" s="102">
        <f t="shared" si="22"/>
        <v>-138279.33000000002</v>
      </c>
      <c r="I197" s="99">
        <f t="shared" si="23"/>
        <v>212413.01957099757</v>
      </c>
    </row>
    <row r="198" spans="1:9" hidden="1" outlineLevel="1" collapsed="1" x14ac:dyDescent="0.25">
      <c r="A198" s="71">
        <f t="shared" si="16"/>
        <v>191</v>
      </c>
      <c r="B198" s="82">
        <v>44136</v>
      </c>
      <c r="C198" s="66" t="s">
        <v>350</v>
      </c>
      <c r="D198" s="106">
        <v>-20535.809999999994</v>
      </c>
      <c r="E198" s="85">
        <v>271881.18</v>
      </c>
      <c r="F198" s="104">
        <v>3.2500000000000001E-2</v>
      </c>
      <c r="G198" s="103">
        <f>ROUND((+E198+(D198/2))*F198/12,2)</f>
        <v>708.54</v>
      </c>
      <c r="H198" s="102">
        <f t="shared" si="22"/>
        <v>252053.91</v>
      </c>
      <c r="I198" s="99">
        <f t="shared" si="23"/>
        <v>464466.9295709976</v>
      </c>
    </row>
    <row r="199" spans="1:9" hidden="1" outlineLevel="1" x14ac:dyDescent="0.25">
      <c r="A199" s="71">
        <f t="shared" si="16"/>
        <v>192</v>
      </c>
      <c r="B199" s="82">
        <v>44166</v>
      </c>
      <c r="C199" s="89"/>
      <c r="D199" s="106">
        <v>-78261.58</v>
      </c>
      <c r="E199" s="85"/>
      <c r="F199" s="104">
        <v>3.2500000000000001E-2</v>
      </c>
      <c r="G199" s="103">
        <f t="shared" ref="G199:G210" si="25">ROUND((+I198+E199+(D199/2))*F199/12,2)</f>
        <v>1151.95</v>
      </c>
      <c r="H199" s="102">
        <f t="shared" si="22"/>
        <v>-77109.63</v>
      </c>
      <c r="I199" s="99">
        <f t="shared" si="23"/>
        <v>387357.29957099759</v>
      </c>
    </row>
    <row r="200" spans="1:9" hidden="1" outlineLevel="1" x14ac:dyDescent="0.25">
      <c r="A200" s="71">
        <f t="shared" si="16"/>
        <v>193</v>
      </c>
      <c r="B200" s="82">
        <v>44197</v>
      </c>
      <c r="C200" s="89"/>
      <c r="D200" s="106">
        <v>-79009.59</v>
      </c>
      <c r="E200" s="85"/>
      <c r="F200" s="104">
        <v>3.2500000000000001E-2</v>
      </c>
      <c r="G200" s="103">
        <f t="shared" si="25"/>
        <v>942.1</v>
      </c>
      <c r="H200" s="102">
        <f t="shared" si="22"/>
        <v>-78067.489999999991</v>
      </c>
      <c r="I200" s="99">
        <f t="shared" si="23"/>
        <v>309289.8095709976</v>
      </c>
    </row>
    <row r="201" spans="1:9" hidden="1" outlineLevel="1" x14ac:dyDescent="0.25">
      <c r="A201" s="71">
        <f t="shared" ref="A201:A261" si="26">+A200+1</f>
        <v>194</v>
      </c>
      <c r="B201" s="82">
        <v>44228</v>
      </c>
      <c r="C201" s="89"/>
      <c r="D201" s="106">
        <v>-81582.689999999973</v>
      </c>
      <c r="E201" s="85"/>
      <c r="F201" s="104">
        <v>3.2500000000000001E-2</v>
      </c>
      <c r="G201" s="103">
        <f t="shared" si="25"/>
        <v>727.18</v>
      </c>
      <c r="H201" s="102">
        <f t="shared" si="22"/>
        <v>-80855.50999999998</v>
      </c>
      <c r="I201" s="99">
        <f t="shared" si="23"/>
        <v>228434.29957099762</v>
      </c>
    </row>
    <row r="202" spans="1:9" hidden="1" outlineLevel="1" x14ac:dyDescent="0.25">
      <c r="A202" s="71">
        <f t="shared" si="26"/>
        <v>195</v>
      </c>
      <c r="B202" s="82">
        <v>44256</v>
      </c>
      <c r="C202" s="89"/>
      <c r="D202" s="106">
        <v>-73134.13</v>
      </c>
      <c r="E202" s="85"/>
      <c r="F202" s="104">
        <v>3.2500000000000001E-2</v>
      </c>
      <c r="G202" s="103">
        <f t="shared" si="25"/>
        <v>519.64</v>
      </c>
      <c r="H202" s="102">
        <f t="shared" si="22"/>
        <v>-72614.490000000005</v>
      </c>
      <c r="I202" s="99">
        <f t="shared" si="23"/>
        <v>155819.8095709976</v>
      </c>
    </row>
    <row r="203" spans="1:9" hidden="1" outlineLevel="1" x14ac:dyDescent="0.25">
      <c r="A203" s="71">
        <f t="shared" si="26"/>
        <v>196</v>
      </c>
      <c r="B203" s="82">
        <v>44287</v>
      </c>
      <c r="C203" s="89"/>
      <c r="D203" s="106">
        <v>-53204.790000000015</v>
      </c>
      <c r="E203" s="85"/>
      <c r="F203" s="104">
        <v>3.2500000000000001E-2</v>
      </c>
      <c r="G203" s="103">
        <f t="shared" si="25"/>
        <v>349.96</v>
      </c>
      <c r="H203" s="102">
        <f t="shared" si="22"/>
        <v>-52854.830000000016</v>
      </c>
      <c r="I203" s="99">
        <f t="shared" si="23"/>
        <v>102964.97957099759</v>
      </c>
    </row>
    <row r="204" spans="1:9" hidden="1" outlineLevel="1" x14ac:dyDescent="0.25">
      <c r="A204" s="71">
        <f t="shared" si="26"/>
        <v>197</v>
      </c>
      <c r="B204" s="82">
        <v>44317</v>
      </c>
      <c r="C204" s="89"/>
      <c r="D204" s="106">
        <v>-28852.68</v>
      </c>
      <c r="E204" s="85"/>
      <c r="F204" s="104">
        <v>3.2500000000000001E-2</v>
      </c>
      <c r="G204" s="103">
        <f t="shared" si="25"/>
        <v>239.79</v>
      </c>
      <c r="H204" s="102">
        <f t="shared" si="22"/>
        <v>-28612.89</v>
      </c>
      <c r="I204" s="99">
        <f t="shared" si="23"/>
        <v>74352.089570997588</v>
      </c>
    </row>
    <row r="205" spans="1:9" hidden="1" outlineLevel="1" x14ac:dyDescent="0.25">
      <c r="A205" s="71">
        <f t="shared" si="26"/>
        <v>198</v>
      </c>
      <c r="B205" s="82">
        <v>44348</v>
      </c>
      <c r="C205" s="89"/>
      <c r="D205" s="106">
        <v>-22919.669999999995</v>
      </c>
      <c r="E205" s="85"/>
      <c r="F205" s="104">
        <v>3.2500000000000001E-2</v>
      </c>
      <c r="G205" s="103">
        <f t="shared" si="25"/>
        <v>170.33</v>
      </c>
      <c r="H205" s="102">
        <f t="shared" si="22"/>
        <v>-22749.339999999993</v>
      </c>
      <c r="I205" s="99">
        <f t="shared" si="23"/>
        <v>51602.749570997592</v>
      </c>
    </row>
    <row r="206" spans="1:9" hidden="1" outlineLevel="1" x14ac:dyDescent="0.25">
      <c r="A206" s="71">
        <f t="shared" si="26"/>
        <v>199</v>
      </c>
      <c r="B206" s="82">
        <v>44378</v>
      </c>
      <c r="C206" s="89"/>
      <c r="D206" s="106">
        <v>-15322.35</v>
      </c>
      <c r="E206" s="85"/>
      <c r="F206" s="104">
        <v>3.2500000000000001E-2</v>
      </c>
      <c r="G206" s="103">
        <f t="shared" si="25"/>
        <v>119.01</v>
      </c>
      <c r="H206" s="102">
        <f t="shared" si="22"/>
        <v>-15203.34</v>
      </c>
      <c r="I206" s="99">
        <f t="shared" si="23"/>
        <v>36399.409570997595</v>
      </c>
    </row>
    <row r="207" spans="1:9" hidden="1" outlineLevel="1" x14ac:dyDescent="0.25">
      <c r="A207" s="71">
        <f t="shared" si="26"/>
        <v>200</v>
      </c>
      <c r="B207" s="82">
        <v>44409</v>
      </c>
      <c r="C207" s="89"/>
      <c r="D207" s="106">
        <v>-14211.07</v>
      </c>
      <c r="E207" s="85"/>
      <c r="F207" s="104">
        <v>3.2500000000000001E-2</v>
      </c>
      <c r="G207" s="103">
        <f t="shared" si="25"/>
        <v>79.34</v>
      </c>
      <c r="H207" s="102">
        <f t="shared" ref="H207:H238" si="27">D207+E207+G207</f>
        <v>-14131.73</v>
      </c>
      <c r="I207" s="99">
        <f t="shared" si="23"/>
        <v>22267.679570997596</v>
      </c>
    </row>
    <row r="208" spans="1:9" hidden="1" outlineLevel="1" x14ac:dyDescent="0.25">
      <c r="A208" s="71">
        <f t="shared" si="26"/>
        <v>201</v>
      </c>
      <c r="B208" s="82">
        <v>44440</v>
      </c>
      <c r="C208" s="89"/>
      <c r="D208" s="106">
        <v>-16198.969999999998</v>
      </c>
      <c r="E208" s="85"/>
      <c r="F208" s="104">
        <v>3.2500000000000001E-2</v>
      </c>
      <c r="G208" s="103">
        <f t="shared" si="25"/>
        <v>38.369999999999997</v>
      </c>
      <c r="H208" s="102">
        <f t="shared" si="27"/>
        <v>-16160.599999999997</v>
      </c>
      <c r="I208" s="99">
        <f t="shared" si="23"/>
        <v>6107.0795709975991</v>
      </c>
    </row>
    <row r="209" spans="1:9" hidden="1" outlineLevel="1" x14ac:dyDescent="0.25">
      <c r="A209" s="71">
        <f t="shared" si="26"/>
        <v>202</v>
      </c>
      <c r="B209" s="82">
        <v>44470</v>
      </c>
      <c r="C209" s="89"/>
      <c r="D209" s="106">
        <v>-25604.37</v>
      </c>
      <c r="E209" s="85"/>
      <c r="F209" s="104">
        <v>3.2500000000000001E-2</v>
      </c>
      <c r="G209" s="103">
        <f t="shared" si="25"/>
        <v>-18.13</v>
      </c>
      <c r="H209" s="102">
        <f t="shared" si="27"/>
        <v>-25622.5</v>
      </c>
      <c r="I209" s="99">
        <f t="shared" si="23"/>
        <v>-19515.420429002399</v>
      </c>
    </row>
    <row r="210" spans="1:9" hidden="1" outlineLevel="1" x14ac:dyDescent="0.25">
      <c r="A210" s="71">
        <f t="shared" si="26"/>
        <v>203</v>
      </c>
      <c r="B210" s="82">
        <v>44501</v>
      </c>
      <c r="C210" s="108" t="s">
        <v>351</v>
      </c>
      <c r="D210" s="106">
        <v>-26914.94</v>
      </c>
      <c r="E210" s="85"/>
      <c r="F210" s="104">
        <v>3.2500000000000001E-2</v>
      </c>
      <c r="G210" s="103">
        <f t="shared" si="25"/>
        <v>-89.3</v>
      </c>
      <c r="H210" s="102">
        <f t="shared" si="27"/>
        <v>-27004.239999999998</v>
      </c>
      <c r="I210" s="99">
        <f t="shared" si="23"/>
        <v>-46519.660429002397</v>
      </c>
    </row>
    <row r="211" spans="1:9" hidden="1" outlineLevel="1" collapsed="1" x14ac:dyDescent="0.25">
      <c r="A211" s="71">
        <f t="shared" si="26"/>
        <v>204</v>
      </c>
      <c r="B211" s="82">
        <v>44501</v>
      </c>
      <c r="C211" s="66" t="s">
        <v>350</v>
      </c>
      <c r="D211" s="106">
        <v>-146582.63</v>
      </c>
      <c r="E211" s="85">
        <f>-'151540 WACOG Deferral'!E197</f>
        <v>4163525.5056184125</v>
      </c>
      <c r="F211" s="104">
        <v>3.2500000000000001E-2</v>
      </c>
      <c r="G211" s="103">
        <f>ROUND((+E211+(D211/2))*F211/12,2)</f>
        <v>11077.72</v>
      </c>
      <c r="H211" s="102">
        <f t="shared" si="27"/>
        <v>4028020.5956184128</v>
      </c>
      <c r="I211" s="99">
        <f t="shared" si="23"/>
        <v>3981500.9351894106</v>
      </c>
    </row>
    <row r="212" spans="1:9" hidden="1" outlineLevel="1" x14ac:dyDescent="0.25">
      <c r="A212" s="71">
        <f t="shared" si="26"/>
        <v>205</v>
      </c>
      <c r="B212" s="82">
        <v>44531</v>
      </c>
      <c r="C212" s="89"/>
      <c r="D212" s="106">
        <v>-592612.25</v>
      </c>
      <c r="E212" s="85"/>
      <c r="F212" s="104">
        <v>3.2500000000000001E-2</v>
      </c>
      <c r="G212" s="103">
        <f t="shared" ref="G212:G223" si="28">ROUND((+I211+E212+(D212/2))*F212/12,2)</f>
        <v>9980.74</v>
      </c>
      <c r="H212" s="102">
        <f t="shared" si="27"/>
        <v>-582631.51</v>
      </c>
      <c r="I212" s="99">
        <f t="shared" si="23"/>
        <v>3398869.4251894103</v>
      </c>
    </row>
    <row r="213" spans="1:9" hidden="1" outlineLevel="1" x14ac:dyDescent="0.25">
      <c r="A213" s="71">
        <f t="shared" si="26"/>
        <v>206</v>
      </c>
      <c r="B213" s="82">
        <v>44562</v>
      </c>
      <c r="C213" s="89"/>
      <c r="D213" s="106">
        <v>-869864.25000000023</v>
      </c>
      <c r="E213" s="85"/>
      <c r="F213" s="104">
        <v>3.2500000000000001E-2</v>
      </c>
      <c r="G213" s="103">
        <f t="shared" si="28"/>
        <v>8027.33</v>
      </c>
      <c r="H213" s="102">
        <f t="shared" si="27"/>
        <v>-861836.92000000027</v>
      </c>
      <c r="I213" s="99">
        <f t="shared" si="23"/>
        <v>2537032.5051894099</v>
      </c>
    </row>
    <row r="214" spans="1:9" hidden="1" outlineLevel="1" x14ac:dyDescent="0.25">
      <c r="A214" s="71">
        <f t="shared" si="26"/>
        <v>207</v>
      </c>
      <c r="B214" s="82">
        <v>44593</v>
      </c>
      <c r="C214" s="89"/>
      <c r="D214" s="106">
        <v>-699081.06000000017</v>
      </c>
      <c r="E214" s="85"/>
      <c r="F214" s="104">
        <v>3.2500000000000001E-2</v>
      </c>
      <c r="G214" s="103">
        <f t="shared" si="28"/>
        <v>5924.46</v>
      </c>
      <c r="H214" s="102">
        <f t="shared" si="27"/>
        <v>-693156.60000000021</v>
      </c>
      <c r="I214" s="99">
        <f t="shared" si="23"/>
        <v>1843875.9051894099</v>
      </c>
    </row>
    <row r="215" spans="1:9" hidden="1" outlineLevel="1" x14ac:dyDescent="0.25">
      <c r="A215" s="71">
        <f t="shared" si="26"/>
        <v>208</v>
      </c>
      <c r="B215" s="82">
        <v>44621</v>
      </c>
      <c r="C215" s="89"/>
      <c r="D215" s="106">
        <v>-594672.43999999983</v>
      </c>
      <c r="E215" s="85"/>
      <c r="F215" s="104">
        <v>3.2500000000000001E-2</v>
      </c>
      <c r="G215" s="103">
        <f t="shared" si="28"/>
        <v>4188.54</v>
      </c>
      <c r="H215" s="102">
        <f t="shared" si="27"/>
        <v>-590483.89999999979</v>
      </c>
      <c r="I215" s="99">
        <f t="shared" si="23"/>
        <v>1253392.0051894099</v>
      </c>
    </row>
    <row r="216" spans="1:9" hidden="1" outlineLevel="1" x14ac:dyDescent="0.25">
      <c r="A216" s="71">
        <f t="shared" si="26"/>
        <v>209</v>
      </c>
      <c r="B216" s="82">
        <v>44652</v>
      </c>
      <c r="C216" s="89"/>
      <c r="D216" s="106">
        <v>-443478.61999999994</v>
      </c>
      <c r="E216" s="85"/>
      <c r="F216" s="104">
        <v>3.2500000000000001E-2</v>
      </c>
      <c r="G216" s="103">
        <f t="shared" si="28"/>
        <v>2794.06</v>
      </c>
      <c r="H216" s="102">
        <f t="shared" si="27"/>
        <v>-440684.55999999994</v>
      </c>
      <c r="I216" s="99">
        <f t="shared" si="23"/>
        <v>812707.44518941001</v>
      </c>
    </row>
    <row r="217" spans="1:9" hidden="1" outlineLevel="1" x14ac:dyDescent="0.25">
      <c r="A217" s="71">
        <f t="shared" si="26"/>
        <v>210</v>
      </c>
      <c r="B217" s="82">
        <v>44682</v>
      </c>
      <c r="C217" s="89"/>
      <c r="D217" s="106">
        <v>-385978.38</v>
      </c>
      <c r="E217" s="85"/>
      <c r="F217" s="104">
        <v>3.2500000000000001E-2</v>
      </c>
      <c r="G217" s="103">
        <f t="shared" si="28"/>
        <v>1678.4</v>
      </c>
      <c r="H217" s="102">
        <f t="shared" si="27"/>
        <v>-384299.98</v>
      </c>
      <c r="I217" s="99">
        <f t="shared" si="23"/>
        <v>428407.46518941002</v>
      </c>
    </row>
    <row r="218" spans="1:9" hidden="1" outlineLevel="1" x14ac:dyDescent="0.25">
      <c r="A218" s="71">
        <f t="shared" si="26"/>
        <v>211</v>
      </c>
      <c r="B218" s="82">
        <v>44713</v>
      </c>
      <c r="C218" s="89"/>
      <c r="D218" s="106">
        <v>-234117.16999999995</v>
      </c>
      <c r="E218" s="85"/>
      <c r="F218" s="104">
        <v>3.2500000000000001E-2</v>
      </c>
      <c r="G218" s="103">
        <f t="shared" si="28"/>
        <v>843.24</v>
      </c>
      <c r="H218" s="102">
        <f t="shared" si="27"/>
        <v>-233273.92999999996</v>
      </c>
      <c r="I218" s="99">
        <f t="shared" si="23"/>
        <v>195133.53518941006</v>
      </c>
    </row>
    <row r="219" spans="1:9" hidden="1" outlineLevel="1" x14ac:dyDescent="0.25">
      <c r="A219" s="71">
        <f t="shared" si="26"/>
        <v>212</v>
      </c>
      <c r="B219" s="82">
        <v>44743</v>
      </c>
      <c r="C219" s="89"/>
      <c r="D219" s="106">
        <v>-153033.24999999994</v>
      </c>
      <c r="E219" s="85"/>
      <c r="F219" s="104">
        <v>3.5999999999999997E-2</v>
      </c>
      <c r="G219" s="103">
        <f t="shared" si="28"/>
        <v>355.85</v>
      </c>
      <c r="H219" s="102">
        <f t="shared" si="27"/>
        <v>-152677.39999999994</v>
      </c>
      <c r="I219" s="99">
        <f t="shared" si="23"/>
        <v>42456.135189410124</v>
      </c>
    </row>
    <row r="220" spans="1:9" hidden="1" outlineLevel="1" x14ac:dyDescent="0.25">
      <c r="A220" s="71">
        <f t="shared" si="26"/>
        <v>213</v>
      </c>
      <c r="B220" s="82">
        <v>44774</v>
      </c>
      <c r="C220" s="89"/>
      <c r="D220" s="106">
        <v>-115237.39000000003</v>
      </c>
      <c r="E220" s="85"/>
      <c r="F220" s="104">
        <v>3.5999999999999997E-2</v>
      </c>
      <c r="G220" s="103">
        <f t="shared" si="28"/>
        <v>-45.49</v>
      </c>
      <c r="H220" s="102">
        <f t="shared" si="27"/>
        <v>-115282.88000000003</v>
      </c>
      <c r="I220" s="99">
        <f t="shared" si="23"/>
        <v>-72826.744810589909</v>
      </c>
    </row>
    <row r="221" spans="1:9" hidden="1" outlineLevel="1" x14ac:dyDescent="0.25">
      <c r="A221" s="71">
        <f t="shared" si="26"/>
        <v>214</v>
      </c>
      <c r="B221" s="82">
        <v>44805</v>
      </c>
      <c r="C221" s="108"/>
      <c r="D221" s="106">
        <v>-125639.49999999999</v>
      </c>
      <c r="E221" s="85"/>
      <c r="F221" s="104">
        <v>3.5999999999999997E-2</v>
      </c>
      <c r="G221" s="103">
        <f t="shared" si="28"/>
        <v>-406.94</v>
      </c>
      <c r="H221" s="102">
        <f t="shared" si="27"/>
        <v>-126046.43999999999</v>
      </c>
      <c r="I221" s="99">
        <f t="shared" si="23"/>
        <v>-198873.18481058988</v>
      </c>
    </row>
    <row r="222" spans="1:9" hidden="1" outlineLevel="1" x14ac:dyDescent="0.25">
      <c r="A222" s="71">
        <f t="shared" si="26"/>
        <v>215</v>
      </c>
      <c r="B222" s="82">
        <v>44835</v>
      </c>
      <c r="C222" s="108"/>
      <c r="D222" s="106">
        <v>-142306.81999999998</v>
      </c>
      <c r="E222" s="85"/>
      <c r="F222" s="104">
        <v>4.9099999999999998E-2</v>
      </c>
      <c r="G222" s="103">
        <f t="shared" si="28"/>
        <v>-1104.8599999999999</v>
      </c>
      <c r="H222" s="102">
        <f t="shared" si="27"/>
        <v>-143411.67999999996</v>
      </c>
      <c r="I222" s="99">
        <f t="shared" si="23"/>
        <v>-342284.86481058982</v>
      </c>
    </row>
    <row r="223" spans="1:9" hidden="1" outlineLevel="1" x14ac:dyDescent="0.25">
      <c r="A223" s="71">
        <f t="shared" si="26"/>
        <v>216</v>
      </c>
      <c r="B223" s="82">
        <v>44866</v>
      </c>
      <c r="C223" s="108" t="s">
        <v>348</v>
      </c>
      <c r="D223" s="106">
        <v>-186018.56999999998</v>
      </c>
      <c r="E223" s="85"/>
      <c r="F223" s="104">
        <v>4.9099999999999998E-2</v>
      </c>
      <c r="G223" s="103">
        <f t="shared" si="28"/>
        <v>-1781.08</v>
      </c>
      <c r="H223" s="102">
        <f t="shared" si="27"/>
        <v>-187799.64999999997</v>
      </c>
      <c r="I223" s="99">
        <f t="shared" si="23"/>
        <v>-530084.51481058984</v>
      </c>
    </row>
    <row r="224" spans="1:9" hidden="1" outlineLevel="1" collapsed="1" x14ac:dyDescent="0.25">
      <c r="A224" s="71">
        <f t="shared" si="26"/>
        <v>217</v>
      </c>
      <c r="B224" s="82">
        <v>44866</v>
      </c>
      <c r="C224" s="108" t="s">
        <v>349</v>
      </c>
      <c r="D224" s="106">
        <v>-479527.20000000007</v>
      </c>
      <c r="E224" s="85">
        <v>10877470.65</v>
      </c>
      <c r="F224" s="104">
        <v>4.9099999999999998E-2</v>
      </c>
      <c r="G224" s="103">
        <f>ROUND((+E224+(D224/2))*F224/12,2)</f>
        <v>43525.95</v>
      </c>
      <c r="H224" s="102">
        <f t="shared" si="27"/>
        <v>10441469.4</v>
      </c>
      <c r="I224" s="99">
        <f t="shared" si="23"/>
        <v>9911384.8851894103</v>
      </c>
    </row>
    <row r="225" spans="1:9" hidden="1" outlineLevel="1" x14ac:dyDescent="0.25">
      <c r="A225" s="71">
        <f t="shared" si="26"/>
        <v>218</v>
      </c>
      <c r="B225" s="82">
        <v>44896</v>
      </c>
      <c r="C225" s="108"/>
      <c r="D225" s="106">
        <v>-1752529</v>
      </c>
      <c r="E225" s="85"/>
      <c r="F225" s="104">
        <v>4.9099999999999998E-2</v>
      </c>
      <c r="G225" s="103">
        <f t="shared" ref="G225:G236" si="29">ROUND((+I224+E225+(D225/2))*F225/12,2)</f>
        <v>36968.699999999997</v>
      </c>
      <c r="H225" s="102">
        <f t="shared" si="27"/>
        <v>-1715560.3</v>
      </c>
      <c r="I225" s="99">
        <f t="shared" si="23"/>
        <v>8195824.5851894105</v>
      </c>
    </row>
    <row r="226" spans="1:9" hidden="1" outlineLevel="1" x14ac:dyDescent="0.25">
      <c r="A226" s="71">
        <f t="shared" si="26"/>
        <v>219</v>
      </c>
      <c r="B226" s="82">
        <v>44927</v>
      </c>
      <c r="C226" s="108"/>
      <c r="D226" s="106">
        <v>-1784679.2099999997</v>
      </c>
      <c r="E226" s="85"/>
      <c r="F226" s="104">
        <v>6.3100000000000003E-2</v>
      </c>
      <c r="G226" s="103">
        <f t="shared" si="29"/>
        <v>38404.160000000003</v>
      </c>
      <c r="H226" s="102">
        <f t="shared" si="27"/>
        <v>-1746275.0499999998</v>
      </c>
      <c r="I226" s="99">
        <f t="shared" si="23"/>
        <v>6449549.5351894107</v>
      </c>
    </row>
    <row r="227" spans="1:9" hidden="1" outlineLevel="1" x14ac:dyDescent="0.25">
      <c r="A227" s="71">
        <f t="shared" si="26"/>
        <v>220</v>
      </c>
      <c r="B227" s="82">
        <v>44958</v>
      </c>
      <c r="C227" s="108"/>
      <c r="D227" s="106">
        <v>-1561125.17</v>
      </c>
      <c r="E227" s="85"/>
      <c r="F227" s="104">
        <v>6.3100000000000003E-2</v>
      </c>
      <c r="G227" s="103">
        <f t="shared" si="29"/>
        <v>29809.42</v>
      </c>
      <c r="H227" s="102">
        <f t="shared" si="27"/>
        <v>-1531315.75</v>
      </c>
      <c r="I227" s="99">
        <f t="shared" si="23"/>
        <v>4918233.7851894107</v>
      </c>
    </row>
    <row r="228" spans="1:9" hidden="1" outlineLevel="1" x14ac:dyDescent="0.25">
      <c r="A228" s="71">
        <f t="shared" si="26"/>
        <v>221</v>
      </c>
      <c r="B228" s="82">
        <v>44986</v>
      </c>
      <c r="C228" s="108"/>
      <c r="D228" s="106">
        <v>-1564839.54</v>
      </c>
      <c r="E228" s="85"/>
      <c r="F228" s="104">
        <v>6.3100000000000003E-2</v>
      </c>
      <c r="G228" s="103">
        <f t="shared" si="29"/>
        <v>21747.49</v>
      </c>
      <c r="H228" s="102">
        <f t="shared" si="27"/>
        <v>-1543092.05</v>
      </c>
      <c r="I228" s="99">
        <f t="shared" si="23"/>
        <v>3375141.7351894109</v>
      </c>
    </row>
    <row r="229" spans="1:9" hidden="1" outlineLevel="1" x14ac:dyDescent="0.25">
      <c r="A229" s="71">
        <f t="shared" si="26"/>
        <v>222</v>
      </c>
      <c r="B229" s="82">
        <v>45017</v>
      </c>
      <c r="C229" s="108"/>
      <c r="D229" s="106">
        <v>-1148662.6199999999</v>
      </c>
      <c r="E229" s="85"/>
      <c r="F229" s="104">
        <v>7.4999999999999997E-2</v>
      </c>
      <c r="G229" s="103">
        <f t="shared" si="29"/>
        <v>17505.07</v>
      </c>
      <c r="H229" s="102">
        <f t="shared" si="27"/>
        <v>-1131157.5499999998</v>
      </c>
      <c r="I229" s="99">
        <f t="shared" si="23"/>
        <v>2243984.185189411</v>
      </c>
    </row>
    <row r="230" spans="1:9" hidden="1" outlineLevel="1" x14ac:dyDescent="0.25">
      <c r="A230" s="71">
        <f t="shared" si="26"/>
        <v>223</v>
      </c>
      <c r="B230" s="82">
        <v>45047</v>
      </c>
      <c r="C230" s="108"/>
      <c r="D230" s="106">
        <v>-653569.74</v>
      </c>
      <c r="E230" s="85"/>
      <c r="F230" s="104">
        <v>7.4999999999999997E-2</v>
      </c>
      <c r="G230" s="103">
        <f t="shared" si="29"/>
        <v>11982.5</v>
      </c>
      <c r="H230" s="102">
        <f t="shared" si="27"/>
        <v>-641587.24</v>
      </c>
      <c r="I230" s="99">
        <f t="shared" si="23"/>
        <v>1602396.9451894111</v>
      </c>
    </row>
    <row r="231" spans="1:9" hidden="1" outlineLevel="1" x14ac:dyDescent="0.25">
      <c r="A231" s="71">
        <f t="shared" si="26"/>
        <v>224</v>
      </c>
      <c r="B231" s="82">
        <v>45078</v>
      </c>
      <c r="C231" s="108"/>
      <c r="D231" s="106">
        <v>-375984.87000000017</v>
      </c>
      <c r="E231" s="85"/>
      <c r="F231" s="104">
        <v>7.4999999999999997E-2</v>
      </c>
      <c r="G231" s="103">
        <f t="shared" si="29"/>
        <v>8840.0300000000007</v>
      </c>
      <c r="H231" s="102">
        <f t="shared" si="27"/>
        <v>-367144.84000000014</v>
      </c>
      <c r="I231" s="99">
        <f t="shared" si="23"/>
        <v>1235252.105189411</v>
      </c>
    </row>
    <row r="232" spans="1:9" hidden="1" outlineLevel="1" x14ac:dyDescent="0.25">
      <c r="A232" s="71">
        <f t="shared" si="26"/>
        <v>225</v>
      </c>
      <c r="B232" s="82">
        <v>45108</v>
      </c>
      <c r="C232" s="108"/>
      <c r="D232" s="106">
        <v>-305543.11000000004</v>
      </c>
      <c r="E232" s="85"/>
      <c r="F232" s="104">
        <v>8.0199999999999994E-2</v>
      </c>
      <c r="G232" s="103">
        <f t="shared" si="29"/>
        <v>7234.58</v>
      </c>
      <c r="H232" s="102">
        <f t="shared" si="27"/>
        <v>-298308.53000000003</v>
      </c>
      <c r="I232" s="99">
        <f t="shared" si="23"/>
        <v>936943.57518941094</v>
      </c>
    </row>
    <row r="233" spans="1:9" hidden="1" outlineLevel="1" x14ac:dyDescent="0.25">
      <c r="A233" s="71">
        <f t="shared" si="26"/>
        <v>226</v>
      </c>
      <c r="B233" s="82">
        <v>45139</v>
      </c>
      <c r="C233" s="89"/>
      <c r="D233" s="106">
        <v>-261480.33999999994</v>
      </c>
      <c r="E233" s="85"/>
      <c r="F233" s="104">
        <v>8.0199999999999994E-2</v>
      </c>
      <c r="G233" s="103">
        <f t="shared" si="29"/>
        <v>5388.13</v>
      </c>
      <c r="H233" s="102">
        <f t="shared" si="27"/>
        <v>-256092.20999999993</v>
      </c>
      <c r="I233" s="99">
        <f t="shared" si="23"/>
        <v>680851.36518941098</v>
      </c>
    </row>
    <row r="234" spans="1:9" hidden="1" outlineLevel="1" x14ac:dyDescent="0.25">
      <c r="A234" s="71">
        <f t="shared" si="26"/>
        <v>227</v>
      </c>
      <c r="B234" s="82">
        <v>45170</v>
      </c>
      <c r="C234" s="89"/>
      <c r="D234" s="106">
        <v>-278365.40000000008</v>
      </c>
      <c r="E234" s="85"/>
      <c r="F234" s="104">
        <v>8.0199999999999994E-2</v>
      </c>
      <c r="G234" s="103">
        <f t="shared" si="29"/>
        <v>3620.15</v>
      </c>
      <c r="H234" s="102">
        <f t="shared" si="27"/>
        <v>-274745.25000000006</v>
      </c>
      <c r="I234" s="99">
        <f t="shared" si="23"/>
        <v>406106.11518941092</v>
      </c>
    </row>
    <row r="235" spans="1:9" hidden="1" outlineLevel="1" x14ac:dyDescent="0.25">
      <c r="A235" s="71">
        <f t="shared" si="26"/>
        <v>228</v>
      </c>
      <c r="B235" s="82">
        <v>45200</v>
      </c>
      <c r="C235" s="89"/>
      <c r="D235" s="106">
        <v>-366005.8</v>
      </c>
      <c r="E235" s="85"/>
      <c r="F235" s="104">
        <v>8.3500000000000005E-2</v>
      </c>
      <c r="G235" s="103">
        <f t="shared" si="29"/>
        <v>1552.43</v>
      </c>
      <c r="H235" s="102">
        <f t="shared" si="27"/>
        <v>-364453.37</v>
      </c>
      <c r="I235" s="99">
        <f t="shared" si="23"/>
        <v>41652.745189410925</v>
      </c>
    </row>
    <row r="236" spans="1:9" hidden="1" outlineLevel="1" x14ac:dyDescent="0.25">
      <c r="A236" s="71">
        <f t="shared" si="26"/>
        <v>229</v>
      </c>
      <c r="B236" s="82">
        <v>45231</v>
      </c>
      <c r="C236" s="108" t="s">
        <v>348</v>
      </c>
      <c r="D236" s="106">
        <v>-477838.86999999982</v>
      </c>
      <c r="E236" s="85"/>
      <c r="F236" s="104">
        <v>8.3500000000000005E-2</v>
      </c>
      <c r="G236" s="103">
        <f t="shared" si="29"/>
        <v>-1372.65</v>
      </c>
      <c r="H236" s="102">
        <f t="shared" si="27"/>
        <v>-479211.51999999984</v>
      </c>
      <c r="I236" s="99">
        <f t="shared" si="23"/>
        <v>-437558.77481058892</v>
      </c>
    </row>
    <row r="237" spans="1:9" hidden="1" outlineLevel="1" collapsed="1" x14ac:dyDescent="0.25">
      <c r="A237" s="71">
        <f t="shared" si="26"/>
        <v>230</v>
      </c>
      <c r="B237" s="82">
        <v>45231</v>
      </c>
      <c r="C237" s="108" t="s">
        <v>349</v>
      </c>
      <c r="D237" s="106">
        <v>-15112.369999999999</v>
      </c>
      <c r="E237" s="85">
        <v>798844.89283155033</v>
      </c>
      <c r="F237" s="104">
        <v>8.3500000000000005E-2</v>
      </c>
      <c r="G237" s="103">
        <f>ROUND((+E237+(D237/2))*F237/12,2)</f>
        <v>5506.05</v>
      </c>
      <c r="H237" s="102">
        <f t="shared" si="27"/>
        <v>789238.57283155038</v>
      </c>
      <c r="I237" s="99">
        <f t="shared" si="23"/>
        <v>351679.79802096146</v>
      </c>
    </row>
    <row r="238" spans="1:9" hidden="1" outlineLevel="1" x14ac:dyDescent="0.25">
      <c r="A238" s="71">
        <f t="shared" si="26"/>
        <v>231</v>
      </c>
      <c r="B238" s="82">
        <v>45261</v>
      </c>
      <c r="C238" s="89"/>
      <c r="D238" s="106">
        <v>-64265.109999999993</v>
      </c>
      <c r="E238" s="85"/>
      <c r="F238" s="104">
        <v>8.3500000000000005E-2</v>
      </c>
      <c r="G238" s="103">
        <f t="shared" ref="G238:G249" si="30">ROUND((+I237+E238+(D238/2))*F238/12,2)</f>
        <v>2223.52</v>
      </c>
      <c r="H238" s="102">
        <f t="shared" si="27"/>
        <v>-62041.59</v>
      </c>
      <c r="I238" s="99">
        <f t="shared" si="23"/>
        <v>289638.20802096149</v>
      </c>
    </row>
    <row r="239" spans="1:9" hidden="1" outlineLevel="1" x14ac:dyDescent="0.25">
      <c r="A239" s="71">
        <f t="shared" si="26"/>
        <v>232</v>
      </c>
      <c r="B239" s="82">
        <v>45292</v>
      </c>
      <c r="C239" s="89"/>
      <c r="D239" s="106">
        <v>-79457.53</v>
      </c>
      <c r="E239" s="85"/>
      <c r="F239" s="104">
        <v>8.5000000000000006E-2</v>
      </c>
      <c r="G239" s="103">
        <f t="shared" si="30"/>
        <v>1770.19</v>
      </c>
      <c r="H239" s="102">
        <f t="shared" ref="H239:H261" si="31">D239+E239+G239</f>
        <v>-77687.34</v>
      </c>
      <c r="I239" s="99">
        <f t="shared" si="23"/>
        <v>211950.8680209615</v>
      </c>
    </row>
    <row r="240" spans="1:9" hidden="1" outlineLevel="1" x14ac:dyDescent="0.25">
      <c r="A240" s="71">
        <f t="shared" si="26"/>
        <v>233</v>
      </c>
      <c r="B240" s="82">
        <v>45323</v>
      </c>
      <c r="C240" s="89"/>
      <c r="D240" s="106">
        <v>-70097.260000000024</v>
      </c>
      <c r="E240" s="85"/>
      <c r="F240" s="104">
        <v>8.5000000000000006E-2</v>
      </c>
      <c r="G240" s="103">
        <f t="shared" si="30"/>
        <v>1253.06</v>
      </c>
      <c r="H240" s="102">
        <f t="shared" si="31"/>
        <v>-68844.200000000026</v>
      </c>
      <c r="I240" s="99">
        <f t="shared" si="23"/>
        <v>143106.66802096146</v>
      </c>
    </row>
    <row r="241" spans="1:9" hidden="1" outlineLevel="1" x14ac:dyDescent="0.25">
      <c r="A241" s="71">
        <f t="shared" si="26"/>
        <v>234</v>
      </c>
      <c r="B241" s="82">
        <v>45352</v>
      </c>
      <c r="C241" s="89"/>
      <c r="D241" s="106">
        <v>-59878.330000000009</v>
      </c>
      <c r="E241" s="85"/>
      <c r="F241" s="104">
        <v>8.5000000000000006E-2</v>
      </c>
      <c r="G241" s="103">
        <f t="shared" si="30"/>
        <v>801.6</v>
      </c>
      <c r="H241" s="102">
        <f t="shared" si="31"/>
        <v>-59076.73000000001</v>
      </c>
      <c r="I241" s="99">
        <f t="shared" si="23"/>
        <v>84029.938020961446</v>
      </c>
    </row>
    <row r="242" spans="1:9" hidden="1" outlineLevel="1" x14ac:dyDescent="0.25">
      <c r="A242" s="71">
        <f t="shared" si="26"/>
        <v>235</v>
      </c>
      <c r="B242" s="82">
        <v>45383</v>
      </c>
      <c r="C242" s="89"/>
      <c r="D242" s="106">
        <v>-39823.359999999993</v>
      </c>
      <c r="E242" s="85"/>
      <c r="F242" s="104">
        <v>8.5000000000000006E-2</v>
      </c>
      <c r="G242" s="103">
        <f t="shared" si="30"/>
        <v>454.17</v>
      </c>
      <c r="H242" s="102">
        <f t="shared" si="31"/>
        <v>-39369.189999999995</v>
      </c>
      <c r="I242" s="99">
        <f t="shared" si="23"/>
        <v>44660.748020961451</v>
      </c>
    </row>
    <row r="243" spans="1:9" hidden="1" outlineLevel="1" x14ac:dyDescent="0.25">
      <c r="A243" s="71">
        <f t="shared" si="26"/>
        <v>236</v>
      </c>
      <c r="B243" s="82">
        <v>45413</v>
      </c>
      <c r="C243" s="89"/>
      <c r="D243" s="106">
        <v>-30867.22</v>
      </c>
      <c r="E243" s="85"/>
      <c r="F243" s="104">
        <v>8.5000000000000006E-2</v>
      </c>
      <c r="G243" s="103">
        <f t="shared" si="30"/>
        <v>207.03</v>
      </c>
      <c r="H243" s="102">
        <f t="shared" si="31"/>
        <v>-30660.190000000002</v>
      </c>
      <c r="I243" s="99">
        <f t="shared" si="23"/>
        <v>14000.558020961449</v>
      </c>
    </row>
    <row r="244" spans="1:9" hidden="1" outlineLevel="1" x14ac:dyDescent="0.25">
      <c r="A244" s="71">
        <f t="shared" si="26"/>
        <v>237</v>
      </c>
      <c r="B244" s="82">
        <v>45444</v>
      </c>
      <c r="C244" s="89"/>
      <c r="D244" s="106">
        <v>-21281.739999999998</v>
      </c>
      <c r="E244" s="85"/>
      <c r="F244" s="104">
        <v>8.5000000000000006E-2</v>
      </c>
      <c r="G244" s="103">
        <f t="shared" si="30"/>
        <v>23.8</v>
      </c>
      <c r="H244" s="102">
        <f t="shared" si="31"/>
        <v>-21257.94</v>
      </c>
      <c r="I244" s="99">
        <f t="shared" si="23"/>
        <v>-7257.3819790385496</v>
      </c>
    </row>
    <row r="245" spans="1:9" hidden="1" outlineLevel="1" x14ac:dyDescent="0.25">
      <c r="A245" s="71">
        <f t="shared" si="26"/>
        <v>238</v>
      </c>
      <c r="B245" s="82">
        <v>45474</v>
      </c>
      <c r="C245" s="89"/>
      <c r="D245" s="106">
        <v>-14352.369999999999</v>
      </c>
      <c r="E245" s="85"/>
      <c r="F245" s="104">
        <v>8.5000000000000006E-2</v>
      </c>
      <c r="G245" s="103">
        <f t="shared" si="30"/>
        <v>-102.24</v>
      </c>
      <c r="H245" s="102">
        <f t="shared" si="31"/>
        <v>-14454.609999999999</v>
      </c>
      <c r="I245" s="99">
        <f t="shared" si="23"/>
        <v>-21711.991979038547</v>
      </c>
    </row>
    <row r="246" spans="1:9" hidden="1" outlineLevel="1" x14ac:dyDescent="0.25">
      <c r="A246" s="71">
        <f t="shared" si="26"/>
        <v>239</v>
      </c>
      <c r="B246" s="82">
        <v>45505</v>
      </c>
      <c r="C246" s="89"/>
      <c r="D246" s="106">
        <v>-12372.8</v>
      </c>
      <c r="E246" s="85"/>
      <c r="F246" s="104">
        <v>8.5000000000000006E-2</v>
      </c>
      <c r="G246" s="103">
        <f t="shared" si="30"/>
        <v>-197.61</v>
      </c>
      <c r="H246" s="102">
        <f t="shared" si="31"/>
        <v>-12570.41</v>
      </c>
      <c r="I246" s="99">
        <f t="shared" si="23"/>
        <v>-34282.40197903855</v>
      </c>
    </row>
    <row r="247" spans="1:9" hidden="1" outlineLevel="1" x14ac:dyDescent="0.25">
      <c r="A247" s="71">
        <f t="shared" si="26"/>
        <v>240</v>
      </c>
      <c r="B247" s="82">
        <v>45536</v>
      </c>
      <c r="C247" s="108"/>
      <c r="D247" s="106">
        <v>-13501.470000000001</v>
      </c>
      <c r="E247" s="85"/>
      <c r="F247" s="104">
        <v>8.5000000000000006E-2</v>
      </c>
      <c r="G247" s="103">
        <f t="shared" si="30"/>
        <v>-290.64999999999998</v>
      </c>
      <c r="H247" s="102">
        <f t="shared" si="31"/>
        <v>-13792.12</v>
      </c>
      <c r="I247" s="99">
        <f t="shared" si="23"/>
        <v>-48074.521979038553</v>
      </c>
    </row>
    <row r="248" spans="1:9" hidden="1" outlineLevel="1" x14ac:dyDescent="0.25">
      <c r="A248" s="71">
        <f t="shared" si="26"/>
        <v>241</v>
      </c>
      <c r="B248" s="82">
        <v>45566</v>
      </c>
      <c r="C248" s="108"/>
      <c r="D248" s="106">
        <v>-17430.799999999992</v>
      </c>
      <c r="E248" s="85"/>
      <c r="F248" s="104">
        <v>8.5000000000000006E-2</v>
      </c>
      <c r="G248" s="103">
        <f t="shared" si="30"/>
        <v>-402.26</v>
      </c>
      <c r="H248" s="102">
        <f t="shared" si="31"/>
        <v>-17833.05999999999</v>
      </c>
      <c r="I248" s="99">
        <f t="shared" ref="I248:I261" si="32">+I247+H248</f>
        <v>-65907.581979038543</v>
      </c>
    </row>
    <row r="249" spans="1:9" hidden="1" outlineLevel="1" x14ac:dyDescent="0.25">
      <c r="A249" s="71">
        <f t="shared" si="26"/>
        <v>242</v>
      </c>
      <c r="B249" s="82">
        <v>45597</v>
      </c>
      <c r="C249" s="108" t="s">
        <v>348</v>
      </c>
      <c r="D249" s="106">
        <v>-21396.760000000002</v>
      </c>
      <c r="E249" s="85"/>
      <c r="F249" s="104">
        <v>8.5000000000000006E-2</v>
      </c>
      <c r="G249" s="103">
        <f t="shared" si="30"/>
        <v>-542.63</v>
      </c>
      <c r="H249" s="102">
        <f t="shared" si="31"/>
        <v>-21939.390000000003</v>
      </c>
      <c r="I249" s="99">
        <f t="shared" si="32"/>
        <v>-87846.971979038542</v>
      </c>
    </row>
    <row r="250" spans="1:9" collapsed="1" x14ac:dyDescent="0.25">
      <c r="A250" s="71">
        <f t="shared" si="26"/>
        <v>243</v>
      </c>
      <c r="B250" s="82">
        <v>45597</v>
      </c>
      <c r="C250" s="108" t="s">
        <v>115</v>
      </c>
      <c r="D250" s="106">
        <v>268950.99</v>
      </c>
      <c r="E250" s="85">
        <v>-9033949.7895945609</v>
      </c>
      <c r="F250" s="104">
        <v>8.5000000000000006E-2</v>
      </c>
      <c r="G250" s="103">
        <f>ROUND((+E250+(D250/2))*F250/12,2)</f>
        <v>-63037.94</v>
      </c>
      <c r="H250" s="102">
        <f t="shared" si="31"/>
        <v>-8828036.7395945601</v>
      </c>
      <c r="I250" s="99">
        <f t="shared" si="32"/>
        <v>-8915883.7115735989</v>
      </c>
    </row>
    <row r="251" spans="1:9" x14ac:dyDescent="0.25">
      <c r="A251" s="71">
        <f t="shared" si="26"/>
        <v>244</v>
      </c>
      <c r="B251" s="82">
        <v>45627</v>
      </c>
      <c r="C251" s="108"/>
      <c r="D251" s="106">
        <v>1291604.1799999995</v>
      </c>
      <c r="E251" s="85"/>
      <c r="F251" s="104">
        <v>8.5000000000000006E-2</v>
      </c>
      <c r="G251" s="103">
        <f t="shared" ref="G251:G261" si="33">ROUND((+I250+E251+(D251/2))*F251/12,2)</f>
        <v>-58579.74</v>
      </c>
      <c r="H251" s="102">
        <f t="shared" si="31"/>
        <v>1233024.4399999995</v>
      </c>
      <c r="I251" s="99">
        <f t="shared" si="32"/>
        <v>-7682859.2715735994</v>
      </c>
    </row>
    <row r="252" spans="1:9" x14ac:dyDescent="0.25">
      <c r="A252" s="71">
        <f t="shared" si="26"/>
        <v>245</v>
      </c>
      <c r="B252" s="82">
        <v>45658</v>
      </c>
      <c r="C252" s="108"/>
      <c r="D252" s="106">
        <v>1394483.05</v>
      </c>
      <c r="E252" s="85"/>
      <c r="F252" s="104">
        <v>8.0399999999999999E-2</v>
      </c>
      <c r="G252" s="103">
        <f t="shared" si="33"/>
        <v>-46803.64</v>
      </c>
      <c r="H252" s="102">
        <f t="shared" si="31"/>
        <v>1347679.4100000001</v>
      </c>
      <c r="I252" s="99">
        <f t="shared" si="32"/>
        <v>-6335179.8615735993</v>
      </c>
    </row>
    <row r="253" spans="1:9" x14ac:dyDescent="0.25">
      <c r="A253" s="71">
        <f t="shared" si="26"/>
        <v>246</v>
      </c>
      <c r="B253" s="82">
        <v>45689</v>
      </c>
      <c r="C253" s="108"/>
      <c r="D253" s="106">
        <v>1539363.8699999999</v>
      </c>
      <c r="E253" s="85"/>
      <c r="F253" s="104">
        <v>8.0399999999999999E-2</v>
      </c>
      <c r="G253" s="103">
        <f t="shared" si="33"/>
        <v>-37288.839999999997</v>
      </c>
      <c r="H253" s="102">
        <f t="shared" si="31"/>
        <v>1502075.0299999998</v>
      </c>
      <c r="I253" s="99">
        <f t="shared" si="32"/>
        <v>-4833104.8315735999</v>
      </c>
    </row>
    <row r="254" spans="1:9" x14ac:dyDescent="0.25">
      <c r="A254" s="71">
        <f t="shared" si="26"/>
        <v>247</v>
      </c>
      <c r="B254" s="82">
        <v>45717</v>
      </c>
      <c r="C254" s="108"/>
      <c r="D254" s="106">
        <v>1059212.47</v>
      </c>
      <c r="E254" s="85"/>
      <c r="F254" s="104">
        <v>8.0399999999999999E-2</v>
      </c>
      <c r="G254" s="103">
        <f t="shared" si="33"/>
        <v>-28833.439999999999</v>
      </c>
      <c r="H254" s="102">
        <f t="shared" si="31"/>
        <v>1030379.03</v>
      </c>
      <c r="I254" s="99">
        <f t="shared" si="32"/>
        <v>-3802725.8015735997</v>
      </c>
    </row>
    <row r="255" spans="1:9" x14ac:dyDescent="0.25">
      <c r="A255" s="71">
        <f t="shared" si="26"/>
        <v>248</v>
      </c>
      <c r="B255" s="82">
        <v>45748</v>
      </c>
      <c r="C255" s="108"/>
      <c r="D255" s="106">
        <v>732640.32999999984</v>
      </c>
      <c r="E255" s="85"/>
      <c r="F255" s="104">
        <v>7.5499999999999998E-2</v>
      </c>
      <c r="G255" s="103">
        <f t="shared" si="33"/>
        <v>-21620.720000000001</v>
      </c>
      <c r="H255" s="102">
        <f t="shared" si="31"/>
        <v>711019.60999999987</v>
      </c>
      <c r="I255" s="99">
        <f t="shared" si="32"/>
        <v>-3091706.1915735998</v>
      </c>
    </row>
    <row r="256" spans="1:9" x14ac:dyDescent="0.25">
      <c r="A256" s="71">
        <f t="shared" si="26"/>
        <v>249</v>
      </c>
      <c r="B256" s="82">
        <v>45778</v>
      </c>
      <c r="C256" s="89"/>
      <c r="D256" s="106">
        <v>454332.21</v>
      </c>
      <c r="E256" s="85"/>
      <c r="F256" s="104">
        <v>7.5499999999999998E-2</v>
      </c>
      <c r="G256" s="103">
        <f t="shared" si="33"/>
        <v>-18022.73</v>
      </c>
      <c r="H256" s="102">
        <f t="shared" si="31"/>
        <v>436309.48000000004</v>
      </c>
      <c r="I256" s="99">
        <f t="shared" si="32"/>
        <v>-2655396.7115735998</v>
      </c>
    </row>
    <row r="257" spans="1:9" x14ac:dyDescent="0.25">
      <c r="A257" s="71">
        <f t="shared" si="26"/>
        <v>250</v>
      </c>
      <c r="B257" s="82">
        <v>45809</v>
      </c>
      <c r="C257" s="89"/>
      <c r="D257" s="106">
        <v>344093.43000000011</v>
      </c>
      <c r="E257" s="85"/>
      <c r="F257" s="104">
        <v>7.5499999999999998E-2</v>
      </c>
      <c r="G257" s="103">
        <f t="shared" si="33"/>
        <v>-15624.41</v>
      </c>
      <c r="H257" s="102">
        <f t="shared" si="31"/>
        <v>328469.02000000014</v>
      </c>
      <c r="I257" s="99">
        <f t="shared" si="32"/>
        <v>-2326927.6915735998</v>
      </c>
    </row>
    <row r="258" spans="1:9" x14ac:dyDescent="0.25">
      <c r="A258" s="71">
        <f t="shared" si="26"/>
        <v>251</v>
      </c>
      <c r="B258" s="82">
        <v>45839</v>
      </c>
      <c r="C258" s="89"/>
      <c r="D258" s="106">
        <v>270891.57000000007</v>
      </c>
      <c r="E258" s="85"/>
      <c r="F258" s="107">
        <v>7.4999999999999997E-2</v>
      </c>
      <c r="G258" s="103">
        <f t="shared" si="33"/>
        <v>-13696.76</v>
      </c>
      <c r="H258" s="102">
        <f t="shared" si="31"/>
        <v>257194.81000000006</v>
      </c>
      <c r="I258" s="99">
        <f t="shared" si="32"/>
        <v>-2069732.8815735998</v>
      </c>
    </row>
    <row r="259" spans="1:9" x14ac:dyDescent="0.25">
      <c r="A259" s="71">
        <f t="shared" si="26"/>
        <v>252</v>
      </c>
      <c r="B259" s="82">
        <v>45870</v>
      </c>
      <c r="C259" s="89"/>
      <c r="D259" s="106">
        <v>227463.93000000005</v>
      </c>
      <c r="E259" s="85"/>
      <c r="F259" s="104">
        <v>7.4999999999999997E-2</v>
      </c>
      <c r="G259" s="103">
        <f t="shared" si="33"/>
        <v>-12225.01</v>
      </c>
      <c r="H259" s="102">
        <f t="shared" si="31"/>
        <v>215238.92000000004</v>
      </c>
      <c r="I259" s="99">
        <f t="shared" si="32"/>
        <v>-1854493.9615735998</v>
      </c>
    </row>
    <row r="260" spans="1:9" x14ac:dyDescent="0.25">
      <c r="A260" s="71">
        <f t="shared" si="26"/>
        <v>253</v>
      </c>
      <c r="B260" s="82">
        <v>45901</v>
      </c>
      <c r="C260" s="89" t="s">
        <v>347</v>
      </c>
      <c r="D260" s="105">
        <f>'[34]WA AMORT 2024-25'!X82</f>
        <v>290187.96999999997</v>
      </c>
      <c r="E260" s="85"/>
      <c r="F260" s="104">
        <v>7.4999999999999997E-2</v>
      </c>
      <c r="G260" s="103">
        <f t="shared" si="33"/>
        <v>-10683.75</v>
      </c>
      <c r="H260" s="102">
        <f t="shared" si="31"/>
        <v>279504.21999999997</v>
      </c>
      <c r="I260" s="99">
        <f t="shared" si="32"/>
        <v>-1574989.7415735999</v>
      </c>
    </row>
    <row r="261" spans="1:9" x14ac:dyDescent="0.25">
      <c r="A261" s="71">
        <f t="shared" si="26"/>
        <v>254</v>
      </c>
      <c r="B261" s="82">
        <v>45931</v>
      </c>
      <c r="C261" s="89" t="s">
        <v>347</v>
      </c>
      <c r="D261" s="105">
        <f>'[34]WA AMORT 2024-25'!AJ82</f>
        <v>154325.26</v>
      </c>
      <c r="E261" s="85"/>
      <c r="F261" s="104">
        <v>7.4999999999999997E-2</v>
      </c>
      <c r="G261" s="103">
        <f t="shared" si="33"/>
        <v>-9361.42</v>
      </c>
      <c r="H261" s="102">
        <f t="shared" si="31"/>
        <v>144963.84</v>
      </c>
      <c r="I261" s="99">
        <f t="shared" si="32"/>
        <v>-1430025.9015735998</v>
      </c>
    </row>
    <row r="262" spans="1:9" x14ac:dyDescent="0.25">
      <c r="A262" s="71"/>
      <c r="B262" s="82"/>
      <c r="C262" s="89"/>
      <c r="D262" s="105"/>
      <c r="E262" s="85"/>
      <c r="F262" s="104"/>
      <c r="G262" s="103"/>
      <c r="H262" s="102"/>
      <c r="I262" s="99"/>
    </row>
    <row r="263" spans="1:9" x14ac:dyDescent="0.25">
      <c r="A263" s="71"/>
      <c r="B263" s="82"/>
      <c r="C263" s="89"/>
      <c r="D263" s="105"/>
      <c r="E263" s="85"/>
      <c r="F263" s="104"/>
      <c r="G263" s="103"/>
      <c r="H263" s="102"/>
      <c r="I263" s="99"/>
    </row>
    <row r="264" spans="1:9" x14ac:dyDescent="0.25">
      <c r="A264" s="71"/>
      <c r="B264" s="82"/>
      <c r="C264" s="89"/>
      <c r="D264" s="105"/>
      <c r="E264" s="85"/>
      <c r="F264" s="104"/>
      <c r="G264" s="103"/>
      <c r="H264" s="102"/>
      <c r="I264" s="99"/>
    </row>
    <row r="265" spans="1:9" x14ac:dyDescent="0.25">
      <c r="A265" s="71"/>
      <c r="B265" s="82"/>
      <c r="C265" s="89"/>
      <c r="D265" s="105"/>
      <c r="E265" s="85"/>
      <c r="F265" s="104"/>
      <c r="G265" s="103"/>
      <c r="H265" s="102"/>
      <c r="I265" s="99"/>
    </row>
    <row r="266" spans="1:9" x14ac:dyDescent="0.25">
      <c r="A266" s="71"/>
      <c r="B266" s="82"/>
      <c r="C266" s="89"/>
      <c r="D266" s="105"/>
      <c r="E266" s="85"/>
      <c r="F266" s="104"/>
      <c r="G266" s="103"/>
      <c r="H266" s="102"/>
      <c r="I266" s="99"/>
    </row>
    <row r="267" spans="1:9" x14ac:dyDescent="0.25">
      <c r="A267" s="71"/>
      <c r="B267" s="82"/>
      <c r="C267" s="89"/>
      <c r="D267" s="105"/>
      <c r="E267" s="85"/>
      <c r="F267" s="104"/>
      <c r="G267" s="103"/>
      <c r="H267" s="102"/>
      <c r="I267" s="99"/>
    </row>
    <row r="268" spans="1:9" x14ac:dyDescent="0.25">
      <c r="A268" s="71"/>
      <c r="B268" s="82"/>
      <c r="C268" s="89"/>
      <c r="D268" s="105"/>
      <c r="E268" s="85"/>
      <c r="F268" s="104"/>
      <c r="G268" s="103"/>
      <c r="H268" s="102"/>
      <c r="I268" s="99"/>
    </row>
    <row r="269" spans="1:9" x14ac:dyDescent="0.25">
      <c r="A269" s="71"/>
      <c r="B269" s="82"/>
      <c r="C269" s="89"/>
      <c r="D269" s="105"/>
      <c r="E269" s="85"/>
      <c r="F269" s="104"/>
      <c r="G269" s="103"/>
      <c r="H269" s="102"/>
      <c r="I269" s="99"/>
    </row>
    <row r="270" spans="1:9" x14ac:dyDescent="0.25">
      <c r="A270" s="71"/>
      <c r="B270" s="82"/>
      <c r="C270" s="89"/>
      <c r="D270" s="105"/>
      <c r="E270" s="85"/>
      <c r="F270" s="104"/>
      <c r="G270" s="103"/>
      <c r="H270" s="102"/>
      <c r="I270" s="99"/>
    </row>
    <row r="271" spans="1:9" x14ac:dyDescent="0.25">
      <c r="A271" s="71"/>
      <c r="B271" s="82"/>
      <c r="C271" s="89"/>
      <c r="D271" s="105"/>
      <c r="E271" s="85"/>
      <c r="F271" s="104"/>
      <c r="G271" s="103"/>
      <c r="H271" s="102"/>
      <c r="I271" s="99"/>
    </row>
    <row r="272" spans="1:9" x14ac:dyDescent="0.25">
      <c r="A272" s="71"/>
      <c r="B272" s="82"/>
      <c r="C272" s="89"/>
      <c r="D272" s="105"/>
      <c r="E272" s="85"/>
      <c r="F272" s="104"/>
      <c r="G272" s="103"/>
      <c r="H272" s="102"/>
      <c r="I272" s="99"/>
    </row>
    <row r="273" spans="1:9" x14ac:dyDescent="0.25">
      <c r="A273" s="71"/>
      <c r="B273" s="82"/>
      <c r="C273" s="89"/>
      <c r="D273" s="105"/>
      <c r="E273" s="85"/>
      <c r="F273" s="104"/>
      <c r="G273" s="103"/>
      <c r="H273" s="102"/>
      <c r="I273" s="99"/>
    </row>
    <row r="274" spans="1:9" x14ac:dyDescent="0.25">
      <c r="A274" s="71"/>
      <c r="B274" s="82"/>
      <c r="C274" s="89"/>
      <c r="D274" s="105"/>
      <c r="E274" s="85"/>
      <c r="F274" s="104"/>
      <c r="G274" s="103"/>
      <c r="H274" s="102"/>
      <c r="I274" s="99"/>
    </row>
    <row r="275" spans="1:9" x14ac:dyDescent="0.25">
      <c r="A275" s="71">
        <f>+A261+1</f>
        <v>255</v>
      </c>
      <c r="D275" s="67"/>
      <c r="E275" s="67"/>
      <c r="F275" s="77"/>
      <c r="G275" s="101"/>
      <c r="H275" s="67"/>
      <c r="I275" s="75"/>
    </row>
    <row r="276" spans="1:9" x14ac:dyDescent="0.25">
      <c r="A276" s="71">
        <f>+A275+1</f>
        <v>256</v>
      </c>
      <c r="B276" s="100" t="s">
        <v>320</v>
      </c>
      <c r="D276" s="67"/>
      <c r="E276" s="98"/>
      <c r="F276" s="67"/>
      <c r="G276" s="98"/>
      <c r="I276" s="99"/>
    </row>
    <row r="277" spans="1:9" x14ac:dyDescent="0.25">
      <c r="A277" s="71">
        <f>+A276+1</f>
        <v>257</v>
      </c>
      <c r="B277" s="73"/>
      <c r="D277" s="67"/>
      <c r="E277" s="67"/>
      <c r="F277" s="67"/>
      <c r="G277" s="77"/>
      <c r="I277" s="86"/>
    </row>
    <row r="278" spans="1:9" x14ac:dyDescent="0.25">
      <c r="A278" s="71">
        <f>+A277+1</f>
        <v>258</v>
      </c>
      <c r="B278" s="72" t="s">
        <v>318</v>
      </c>
      <c r="E278" s="98"/>
      <c r="F278" s="67"/>
      <c r="G278" s="98"/>
    </row>
    <row r="279" spans="1:9" x14ac:dyDescent="0.25">
      <c r="A279" s="71">
        <f>+A278+1</f>
        <v>259</v>
      </c>
      <c r="B279" s="66" t="s">
        <v>346</v>
      </c>
    </row>
  </sheetData>
  <pageMargins left="0.7" right="0.7" top="0.75" bottom="0.75" header="0.3" footer="0.3"/>
  <pageSetup scale="70" orientation="portrait" r:id="rId1"/>
  <headerFooter alignWithMargins="0">
    <oddHeader>&amp;R&amp;"Arial,Regular"UG-250717 - NWN WUTC Advice 25-08A
Exhibit A - Supporting Materials
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9907-110D-403F-BCD0-B7F6C1EC06CE}">
  <sheetPr>
    <tabColor theme="0" tint="-0.14999847407452621"/>
    <pageSetUpPr fitToPage="1"/>
  </sheetPr>
  <dimension ref="A1:M252"/>
  <sheetViews>
    <sheetView tabSelected="1" view="pageBreakPreview" zoomScaleNormal="100" zoomScaleSheetLayoutView="100" workbookViewId="0">
      <pane xSplit="1" ySplit="11" topLeftCell="B12" activePane="bottomRight" state="frozen"/>
      <selection activeCell="I13" sqref="I13:I80"/>
      <selection pane="topRight" activeCell="I13" sqref="I13:I80"/>
      <selection pane="bottomLeft" activeCell="I13" sqref="I13:I80"/>
      <selection pane="bottomRight" activeCell="I13" sqref="I13:I80"/>
    </sheetView>
  </sheetViews>
  <sheetFormatPr defaultColWidth="9.19921875" defaultRowHeight="12.5" outlineLevelRow="1" x14ac:dyDescent="0.25"/>
  <cols>
    <col min="1" max="1" width="4.69921875" style="68" customWidth="1"/>
    <col min="2" max="2" width="15.69921875" style="66" customWidth="1"/>
    <col min="3" max="3" width="10.5" style="66" customWidth="1"/>
    <col min="4" max="4" width="17.19921875" style="67" customWidth="1"/>
    <col min="5" max="5" width="17.5" style="67" customWidth="1"/>
    <col min="6" max="7" width="15.69921875" style="67" customWidth="1"/>
    <col min="8" max="9" width="19.5" style="67" customWidth="1"/>
    <col min="10" max="11" width="15.69921875" style="67" hidden="1" customWidth="1"/>
    <col min="12" max="12" width="16.69921875" style="66" customWidth="1"/>
    <col min="13" max="20" width="15.69921875" style="66" customWidth="1"/>
    <col min="21" max="16384" width="9.19921875" style="66"/>
  </cols>
  <sheetData>
    <row r="1" spans="1:10" x14ac:dyDescent="0.25">
      <c r="B1" s="66" t="s">
        <v>345</v>
      </c>
      <c r="D1" s="67" t="s">
        <v>344</v>
      </c>
    </row>
    <row r="2" spans="1:10" x14ac:dyDescent="0.25">
      <c r="B2" s="66" t="s">
        <v>343</v>
      </c>
      <c r="D2" s="67" t="s">
        <v>2</v>
      </c>
    </row>
    <row r="3" spans="1:10" x14ac:dyDescent="0.25">
      <c r="B3" s="66" t="s">
        <v>342</v>
      </c>
      <c r="D3" s="97" t="s">
        <v>360</v>
      </c>
    </row>
    <row r="4" spans="1:10" x14ac:dyDescent="0.25">
      <c r="B4" s="66" t="s">
        <v>340</v>
      </c>
      <c r="D4" s="96">
        <v>151550</v>
      </c>
    </row>
    <row r="5" spans="1:10" x14ac:dyDescent="0.25">
      <c r="D5" s="66" t="s">
        <v>339</v>
      </c>
    </row>
    <row r="6" spans="1:10" x14ac:dyDescent="0.25">
      <c r="D6" s="66" t="s">
        <v>338</v>
      </c>
    </row>
    <row r="8" spans="1:10" x14ac:dyDescent="0.25">
      <c r="A8" s="71">
        <v>1</v>
      </c>
      <c r="B8" s="66" t="s">
        <v>337</v>
      </c>
      <c r="G8" s="92"/>
    </row>
    <row r="9" spans="1:10" x14ac:dyDescent="0.25">
      <c r="A9" s="71">
        <f t="shared" ref="A9:A72" si="0">+A8+1</f>
        <v>2</v>
      </c>
      <c r="G9" s="92"/>
    </row>
    <row r="10" spans="1:10" x14ac:dyDescent="0.25">
      <c r="A10" s="71">
        <f t="shared" si="0"/>
        <v>3</v>
      </c>
      <c r="B10" s="93"/>
      <c r="C10" s="93"/>
      <c r="D10" s="92"/>
      <c r="E10" s="92"/>
      <c r="F10" s="92"/>
      <c r="G10" s="92"/>
      <c r="H10" s="92"/>
      <c r="I10" s="92"/>
    </row>
    <row r="11" spans="1:10" x14ac:dyDescent="0.25">
      <c r="A11" s="71">
        <f t="shared" si="0"/>
        <v>4</v>
      </c>
      <c r="B11" s="95" t="s">
        <v>336</v>
      </c>
      <c r="C11" s="95" t="s">
        <v>335</v>
      </c>
      <c r="D11" s="94" t="s">
        <v>334</v>
      </c>
      <c r="E11" s="94" t="s">
        <v>333</v>
      </c>
      <c r="F11" s="94" t="s">
        <v>332</v>
      </c>
      <c r="G11" s="94" t="s">
        <v>263</v>
      </c>
      <c r="H11" s="94" t="s">
        <v>275</v>
      </c>
      <c r="I11" s="94" t="s">
        <v>267</v>
      </c>
    </row>
    <row r="12" spans="1:10" x14ac:dyDescent="0.25">
      <c r="A12" s="71">
        <f t="shared" si="0"/>
        <v>5</v>
      </c>
      <c r="B12" s="93" t="s">
        <v>331</v>
      </c>
      <c r="C12" s="93" t="s">
        <v>330</v>
      </c>
      <c r="D12" s="92" t="s">
        <v>329</v>
      </c>
      <c r="E12" s="92" t="s">
        <v>328</v>
      </c>
      <c r="F12" s="92" t="s">
        <v>327</v>
      </c>
      <c r="G12" s="92" t="s">
        <v>326</v>
      </c>
      <c r="H12" s="92" t="s">
        <v>325</v>
      </c>
      <c r="I12" s="92" t="s">
        <v>324</v>
      </c>
      <c r="J12" s="92"/>
    </row>
    <row r="13" spans="1:10" x14ac:dyDescent="0.25">
      <c r="A13" s="71">
        <f t="shared" si="0"/>
        <v>6</v>
      </c>
      <c r="G13" s="92"/>
    </row>
    <row r="14" spans="1:10" x14ac:dyDescent="0.25">
      <c r="A14" s="71">
        <f t="shared" si="0"/>
        <v>7</v>
      </c>
      <c r="B14" s="70" t="s">
        <v>323</v>
      </c>
    </row>
    <row r="15" spans="1:10" hidden="1" outlineLevel="1" x14ac:dyDescent="0.25">
      <c r="A15" s="71">
        <f t="shared" si="0"/>
        <v>8</v>
      </c>
      <c r="B15" s="66">
        <v>39021</v>
      </c>
      <c r="G15" s="75"/>
      <c r="I15" s="67">
        <v>6815.73</v>
      </c>
    </row>
    <row r="16" spans="1:10" hidden="1" outlineLevel="1" x14ac:dyDescent="0.25">
      <c r="A16" s="71">
        <f t="shared" si="0"/>
        <v>9</v>
      </c>
      <c r="B16" s="66">
        <f>+B15+30</f>
        <v>39051</v>
      </c>
      <c r="D16" s="67">
        <v>-155570.91</v>
      </c>
      <c r="E16" s="67">
        <v>-6815.73</v>
      </c>
      <c r="G16" s="75">
        <v>-502</v>
      </c>
      <c r="H16" s="67">
        <f t="shared" ref="H16:H53" si="1">SUM(D16:G16)</f>
        <v>-162888.64000000001</v>
      </c>
      <c r="I16" s="75">
        <f t="shared" ref="I16:I53" si="2">+I15+H16</f>
        <v>-156072.91</v>
      </c>
    </row>
    <row r="17" spans="1:10" hidden="1" outlineLevel="1" x14ac:dyDescent="0.25">
      <c r="A17" s="71">
        <f t="shared" si="0"/>
        <v>10</v>
      </c>
      <c r="B17" s="66">
        <f>+B16+31</f>
        <v>39082</v>
      </c>
      <c r="D17" s="67">
        <f>-35318.87+98863.99</f>
        <v>63545.120000000003</v>
      </c>
      <c r="G17" s="75">
        <f>-1121+319</f>
        <v>-802</v>
      </c>
      <c r="H17" s="67">
        <f t="shared" si="1"/>
        <v>62743.12</v>
      </c>
      <c r="I17" s="75">
        <f t="shared" si="2"/>
        <v>-93329.790000000008</v>
      </c>
    </row>
    <row r="18" spans="1:10" hidden="1" outlineLevel="1" x14ac:dyDescent="0.25">
      <c r="A18" s="71">
        <f t="shared" si="0"/>
        <v>11</v>
      </c>
      <c r="B18" s="66">
        <f>+B17+31</f>
        <v>39113</v>
      </c>
      <c r="D18" s="67">
        <v>108095.83</v>
      </c>
      <c r="G18" s="75">
        <v>-267</v>
      </c>
      <c r="H18" s="67">
        <f t="shared" si="1"/>
        <v>107828.83</v>
      </c>
      <c r="I18" s="75">
        <f t="shared" si="2"/>
        <v>14499.039999999994</v>
      </c>
    </row>
    <row r="19" spans="1:10" hidden="1" outlineLevel="1" x14ac:dyDescent="0.25">
      <c r="A19" s="71">
        <f t="shared" si="0"/>
        <v>12</v>
      </c>
      <c r="B19" s="66">
        <f>+B18+28</f>
        <v>39141</v>
      </c>
      <c r="D19" s="67">
        <v>117337.56</v>
      </c>
      <c r="G19" s="75">
        <v>498</v>
      </c>
      <c r="H19" s="67">
        <f t="shared" si="1"/>
        <v>117835.56</v>
      </c>
      <c r="I19" s="75">
        <f t="shared" si="2"/>
        <v>132334.59999999998</v>
      </c>
    </row>
    <row r="20" spans="1:10" hidden="1" outlineLevel="1" x14ac:dyDescent="0.25">
      <c r="A20" s="71">
        <f t="shared" si="0"/>
        <v>13</v>
      </c>
      <c r="B20" s="66">
        <f>+B19+31</f>
        <v>39172</v>
      </c>
      <c r="D20" s="67">
        <v>116842.97</v>
      </c>
      <c r="G20" s="75">
        <v>1299</v>
      </c>
      <c r="H20" s="67">
        <f t="shared" si="1"/>
        <v>118141.97</v>
      </c>
      <c r="I20" s="75">
        <f t="shared" si="2"/>
        <v>250476.56999999998</v>
      </c>
    </row>
    <row r="21" spans="1:10" hidden="1" outlineLevel="1" x14ac:dyDescent="0.25">
      <c r="A21" s="71">
        <f t="shared" si="0"/>
        <v>14</v>
      </c>
      <c r="B21" s="66">
        <f>+B20+30</f>
        <v>39202</v>
      </c>
      <c r="D21" s="67">
        <v>71590.210000000006</v>
      </c>
      <c r="G21" s="75">
        <v>2202</v>
      </c>
      <c r="H21" s="67">
        <f t="shared" si="1"/>
        <v>73792.210000000006</v>
      </c>
      <c r="I21" s="75">
        <f t="shared" si="2"/>
        <v>324268.77999999997</v>
      </c>
    </row>
    <row r="22" spans="1:10" hidden="1" outlineLevel="1" x14ac:dyDescent="0.25">
      <c r="A22" s="71">
        <f t="shared" si="0"/>
        <v>15</v>
      </c>
      <c r="B22" s="66">
        <f>+B21+31</f>
        <v>39233</v>
      </c>
      <c r="D22" s="67">
        <v>77426.73</v>
      </c>
      <c r="G22" s="75">
        <v>2477</v>
      </c>
      <c r="H22" s="67">
        <f t="shared" si="1"/>
        <v>79903.73</v>
      </c>
      <c r="I22" s="75">
        <f t="shared" si="2"/>
        <v>404172.50999999995</v>
      </c>
    </row>
    <row r="23" spans="1:10" hidden="1" outlineLevel="1" x14ac:dyDescent="0.25">
      <c r="A23" s="71">
        <f t="shared" si="0"/>
        <v>16</v>
      </c>
      <c r="B23" s="66">
        <f>+B22+30</f>
        <v>39263</v>
      </c>
      <c r="D23" s="67">
        <v>67461.16</v>
      </c>
      <c r="G23" s="75">
        <f>3002</f>
        <v>3002</v>
      </c>
      <c r="H23" s="67">
        <f t="shared" si="1"/>
        <v>70463.16</v>
      </c>
      <c r="I23" s="75">
        <f t="shared" si="2"/>
        <v>474635.66999999993</v>
      </c>
      <c r="J23" s="75"/>
    </row>
    <row r="24" spans="1:10" hidden="1" outlineLevel="1" x14ac:dyDescent="0.25">
      <c r="A24" s="71">
        <f t="shared" si="0"/>
        <v>17</v>
      </c>
      <c r="B24" s="66">
        <f>+B23+31</f>
        <v>39294</v>
      </c>
      <c r="C24" s="66" t="s">
        <v>359</v>
      </c>
      <c r="D24" s="67">
        <v>63572.3</v>
      </c>
      <c r="E24" s="67">
        <v>-158792.81</v>
      </c>
      <c r="G24" s="75">
        <f>3368-6064.04</f>
        <v>-2696.04</v>
      </c>
      <c r="H24" s="67">
        <f t="shared" si="1"/>
        <v>-97916.549999999988</v>
      </c>
      <c r="I24" s="75">
        <f t="shared" si="2"/>
        <v>376719.11999999994</v>
      </c>
    </row>
    <row r="25" spans="1:10" hidden="1" outlineLevel="1" x14ac:dyDescent="0.25">
      <c r="A25" s="71">
        <f t="shared" si="0"/>
        <v>18</v>
      </c>
      <c r="B25" s="66">
        <f>+B24+30</f>
        <v>39324</v>
      </c>
      <c r="D25" s="67">
        <v>63578.17</v>
      </c>
      <c r="G25" s="75">
        <v>3839</v>
      </c>
      <c r="H25" s="67">
        <f t="shared" si="1"/>
        <v>67417.17</v>
      </c>
      <c r="I25" s="75">
        <f t="shared" si="2"/>
        <v>444136.28999999992</v>
      </c>
    </row>
    <row r="26" spans="1:10" hidden="1" outlineLevel="1" x14ac:dyDescent="0.25">
      <c r="A26" s="71">
        <f t="shared" si="0"/>
        <v>19</v>
      </c>
      <c r="B26" s="66">
        <f>+B25+30</f>
        <v>39354</v>
      </c>
      <c r="D26" s="67">
        <v>65055.92</v>
      </c>
      <c r="G26" s="75">
        <v>1441</v>
      </c>
      <c r="H26" s="67">
        <f t="shared" si="1"/>
        <v>66496.92</v>
      </c>
      <c r="I26" s="75">
        <f t="shared" si="2"/>
        <v>510633.2099999999</v>
      </c>
    </row>
    <row r="27" spans="1:10" hidden="1" outlineLevel="1" x14ac:dyDescent="0.25">
      <c r="A27" s="71">
        <f t="shared" si="0"/>
        <v>20</v>
      </c>
      <c r="B27" s="66">
        <f>+B26+31</f>
        <v>39385</v>
      </c>
      <c r="D27" s="67">
        <v>116135.34</v>
      </c>
      <c r="G27" s="76">
        <v>4027</v>
      </c>
      <c r="H27" s="67">
        <f t="shared" si="1"/>
        <v>120162.34</v>
      </c>
      <c r="I27" s="75">
        <f t="shared" si="2"/>
        <v>630795.54999999993</v>
      </c>
    </row>
    <row r="28" spans="1:10" hidden="1" outlineLevel="1" x14ac:dyDescent="0.25">
      <c r="A28" s="71">
        <f t="shared" si="0"/>
        <v>21</v>
      </c>
      <c r="B28" s="66">
        <f>+B27+30</f>
        <v>39415</v>
      </c>
      <c r="C28" s="66" t="s">
        <v>358</v>
      </c>
      <c r="D28" s="67">
        <v>-20724.490000000002</v>
      </c>
      <c r="E28" s="67">
        <f>-I27</f>
        <v>-630795.54999999993</v>
      </c>
      <c r="G28" s="76">
        <f>ROUND((+I27+E28+(D28/2))*0.0825/12,2)</f>
        <v>-71.239999999999995</v>
      </c>
      <c r="H28" s="67">
        <f t="shared" si="1"/>
        <v>-651591.27999999991</v>
      </c>
      <c r="I28" s="75">
        <f t="shared" si="2"/>
        <v>-20795.729999999981</v>
      </c>
    </row>
    <row r="29" spans="1:10" hidden="1" outlineLevel="1" x14ac:dyDescent="0.25">
      <c r="A29" s="71">
        <f t="shared" si="0"/>
        <v>22</v>
      </c>
      <c r="B29" s="66">
        <f>+B28+31</f>
        <v>39446</v>
      </c>
      <c r="D29" s="67">
        <v>-3123.86</v>
      </c>
      <c r="G29" s="76">
        <f>ROUND((+I28+E29+(D29/2))*0.0825/12,2)</f>
        <v>-153.71</v>
      </c>
      <c r="H29" s="67">
        <f t="shared" si="1"/>
        <v>-3277.57</v>
      </c>
      <c r="I29" s="75">
        <f t="shared" si="2"/>
        <v>-24073.299999999981</v>
      </c>
    </row>
    <row r="30" spans="1:10" hidden="1" outlineLevel="1" x14ac:dyDescent="0.25">
      <c r="A30" s="71">
        <f t="shared" si="0"/>
        <v>23</v>
      </c>
      <c r="B30" s="66">
        <f>+B29+31</f>
        <v>39477</v>
      </c>
      <c r="D30" s="67">
        <v>15496.29</v>
      </c>
      <c r="G30" s="76">
        <v>-26</v>
      </c>
      <c r="H30" s="67">
        <f t="shared" si="1"/>
        <v>15470.29</v>
      </c>
      <c r="I30" s="75">
        <f t="shared" si="2"/>
        <v>-8603.0099999999802</v>
      </c>
    </row>
    <row r="31" spans="1:10" hidden="1" outlineLevel="1" x14ac:dyDescent="0.25">
      <c r="A31" s="71">
        <f t="shared" si="0"/>
        <v>24</v>
      </c>
      <c r="B31" s="66">
        <f>+B30+29</f>
        <v>39506</v>
      </c>
      <c r="D31" s="67">
        <v>42494.54</v>
      </c>
      <c r="G31" s="76">
        <v>87</v>
      </c>
      <c r="H31" s="67">
        <f t="shared" si="1"/>
        <v>42581.54</v>
      </c>
      <c r="I31" s="75">
        <f t="shared" si="2"/>
        <v>33978.530000000021</v>
      </c>
    </row>
    <row r="32" spans="1:10" hidden="1" outlineLevel="1" x14ac:dyDescent="0.25">
      <c r="A32" s="71">
        <f t="shared" si="0"/>
        <v>25</v>
      </c>
      <c r="B32" s="66">
        <f>+B31+31</f>
        <v>39537</v>
      </c>
      <c r="D32" s="67">
        <f>21145.77-159191.79</f>
        <v>-138046.02000000002</v>
      </c>
      <c r="E32" s="75"/>
      <c r="F32" s="75"/>
      <c r="G32" s="76">
        <f>367-548</f>
        <v>-181</v>
      </c>
      <c r="H32" s="67">
        <f t="shared" si="1"/>
        <v>-138227.02000000002</v>
      </c>
      <c r="I32" s="75">
        <f t="shared" si="2"/>
        <v>-104248.48999999999</v>
      </c>
    </row>
    <row r="33" spans="1:11" hidden="1" outlineLevel="1" x14ac:dyDescent="0.25">
      <c r="A33" s="71">
        <f t="shared" si="0"/>
        <v>26</v>
      </c>
      <c r="B33" s="66">
        <f>+B32+30</f>
        <v>39567</v>
      </c>
      <c r="D33" s="67">
        <v>-3281.7</v>
      </c>
      <c r="G33" s="76">
        <v>-584</v>
      </c>
      <c r="H33" s="67">
        <f t="shared" si="1"/>
        <v>-3865.7</v>
      </c>
      <c r="I33" s="75">
        <f t="shared" si="2"/>
        <v>-108114.18999999999</v>
      </c>
    </row>
    <row r="34" spans="1:11" hidden="1" outlineLevel="1" x14ac:dyDescent="0.25">
      <c r="A34" s="71">
        <f t="shared" si="0"/>
        <v>27</v>
      </c>
      <c r="B34" s="66">
        <f>+B33+31</f>
        <v>39598</v>
      </c>
      <c r="D34" s="67">
        <v>4581.09</v>
      </c>
      <c r="G34" s="76">
        <f>ROUND((+I33+E34+(D34/2))*0.0677/12,2)</f>
        <v>-597.02</v>
      </c>
      <c r="H34" s="67">
        <f t="shared" si="1"/>
        <v>3984.07</v>
      </c>
      <c r="I34" s="75">
        <f t="shared" si="2"/>
        <v>-104130.11999999998</v>
      </c>
    </row>
    <row r="35" spans="1:11" hidden="1" outlineLevel="1" x14ac:dyDescent="0.25">
      <c r="A35" s="71">
        <f t="shared" si="0"/>
        <v>28</v>
      </c>
      <c r="B35" s="66">
        <f>+B34+30</f>
        <v>39628</v>
      </c>
      <c r="D35" s="67">
        <v>-9432.5</v>
      </c>
      <c r="G35" s="76">
        <v>-588</v>
      </c>
      <c r="H35" s="67">
        <f t="shared" si="1"/>
        <v>-10020.5</v>
      </c>
      <c r="I35" s="75">
        <f t="shared" si="2"/>
        <v>-114150.61999999998</v>
      </c>
    </row>
    <row r="36" spans="1:11" hidden="1" outlineLevel="1" x14ac:dyDescent="0.25">
      <c r="A36" s="71">
        <f t="shared" si="0"/>
        <v>29</v>
      </c>
      <c r="B36" s="66">
        <f>+B35+31</f>
        <v>39659</v>
      </c>
      <c r="D36" s="67">
        <v>-6430.84</v>
      </c>
      <c r="G36" s="76">
        <f>ROUND((+I35+E36+(D36/2))*0.053/12,2)</f>
        <v>-518.37</v>
      </c>
      <c r="H36" s="67">
        <f t="shared" si="1"/>
        <v>-6949.21</v>
      </c>
      <c r="I36" s="75">
        <f t="shared" si="2"/>
        <v>-121099.82999999999</v>
      </c>
    </row>
    <row r="37" spans="1:11" hidden="1" outlineLevel="1" x14ac:dyDescent="0.25">
      <c r="A37" s="71">
        <f t="shared" si="0"/>
        <v>30</v>
      </c>
      <c r="B37" s="66">
        <f>+B36+30</f>
        <v>39689</v>
      </c>
      <c r="D37" s="67">
        <v>-16761.12</v>
      </c>
      <c r="G37" s="76">
        <f>ROUND((+I36+E37+(D37/2))*0.053/12,2)</f>
        <v>-571.87</v>
      </c>
      <c r="H37" s="67">
        <f t="shared" si="1"/>
        <v>-17332.989999999998</v>
      </c>
      <c r="I37" s="75">
        <f t="shared" si="2"/>
        <v>-138432.81999999998</v>
      </c>
    </row>
    <row r="38" spans="1:11" hidden="1" outlineLevel="1" x14ac:dyDescent="0.25">
      <c r="A38" s="71">
        <f t="shared" si="0"/>
        <v>31</v>
      </c>
      <c r="B38" s="66">
        <f>+B37+30</f>
        <v>39719</v>
      </c>
      <c r="D38" s="67">
        <v>-6251.87</v>
      </c>
      <c r="E38" s="98"/>
      <c r="F38" s="98"/>
      <c r="G38" s="76">
        <f>ROUND((+I37+E38+(D38/2))*0.053/12,2)</f>
        <v>-625.22</v>
      </c>
      <c r="H38" s="67">
        <f t="shared" si="1"/>
        <v>-6877.09</v>
      </c>
      <c r="I38" s="75">
        <f t="shared" si="2"/>
        <v>-145309.90999999997</v>
      </c>
    </row>
    <row r="39" spans="1:11" hidden="1" outlineLevel="1" x14ac:dyDescent="0.25">
      <c r="A39" s="71">
        <f t="shared" si="0"/>
        <v>32</v>
      </c>
      <c r="B39" s="66">
        <f>+B38+31</f>
        <v>39750</v>
      </c>
      <c r="D39" s="67">
        <f>-34213.41+101</f>
        <v>-34112.410000000003</v>
      </c>
      <c r="G39" s="76">
        <f>ROUND((+I38+E39+(D39/2))*0.05/12,2)</f>
        <v>-676.53</v>
      </c>
      <c r="H39" s="67">
        <f t="shared" si="1"/>
        <v>-34788.94</v>
      </c>
      <c r="I39" s="75">
        <f t="shared" si="2"/>
        <v>-180098.84999999998</v>
      </c>
    </row>
    <row r="40" spans="1:11" hidden="1" outlineLevel="1" x14ac:dyDescent="0.25">
      <c r="A40" s="71">
        <f t="shared" si="0"/>
        <v>33</v>
      </c>
      <c r="B40" s="66">
        <f>+B39+30</f>
        <v>39780</v>
      </c>
      <c r="D40" s="67">
        <v>22655.35</v>
      </c>
      <c r="E40" s="67">
        <v>155793</v>
      </c>
      <c r="G40" s="76">
        <f>ROUND((+I39+E40+(D40/2))*0.05/12,2)</f>
        <v>-54.08</v>
      </c>
      <c r="H40" s="67">
        <f t="shared" si="1"/>
        <v>178394.27000000002</v>
      </c>
      <c r="I40" s="75">
        <f t="shared" si="2"/>
        <v>-1704.5799999999581</v>
      </c>
    </row>
    <row r="41" spans="1:11" hidden="1" outlineLevel="1" x14ac:dyDescent="0.25">
      <c r="A41" s="71">
        <f t="shared" si="0"/>
        <v>34</v>
      </c>
      <c r="B41" s="66">
        <f>+B40+31</f>
        <v>39811</v>
      </c>
      <c r="D41" s="67">
        <v>-59981.33</v>
      </c>
      <c r="G41" s="76">
        <f>ROUND((+I40+E41+(D41/2))*0.05/12,2)</f>
        <v>-132.06</v>
      </c>
      <c r="H41" s="67">
        <f t="shared" si="1"/>
        <v>-60113.39</v>
      </c>
      <c r="I41" s="75">
        <f t="shared" si="2"/>
        <v>-61817.969999999958</v>
      </c>
    </row>
    <row r="42" spans="1:11" hidden="1" outlineLevel="1" x14ac:dyDescent="0.25">
      <c r="A42" s="71">
        <f t="shared" si="0"/>
        <v>35</v>
      </c>
      <c r="B42" s="66">
        <f>+B41+31</f>
        <v>39842</v>
      </c>
      <c r="D42" s="67">
        <v>-54704</v>
      </c>
      <c r="G42" s="76">
        <f>ROUND((+I41+E42+(D42/2))*0.0452/12,2)</f>
        <v>-335.87</v>
      </c>
      <c r="H42" s="67">
        <f t="shared" si="1"/>
        <v>-55039.87</v>
      </c>
      <c r="I42" s="75">
        <f t="shared" si="2"/>
        <v>-116857.83999999997</v>
      </c>
    </row>
    <row r="43" spans="1:11" hidden="1" outlineLevel="1" x14ac:dyDescent="0.25">
      <c r="A43" s="71">
        <f t="shared" si="0"/>
        <v>36</v>
      </c>
      <c r="B43" s="66">
        <f>+B42+28</f>
        <v>39870</v>
      </c>
      <c r="D43" s="67">
        <v>-25572.3</v>
      </c>
      <c r="G43" s="76">
        <f>ROUND((+I42+E43+(D43/2))*0.0452/12,2)</f>
        <v>-488.33</v>
      </c>
      <c r="H43" s="67">
        <f t="shared" si="1"/>
        <v>-26060.63</v>
      </c>
      <c r="I43" s="75">
        <f t="shared" si="2"/>
        <v>-142918.46999999997</v>
      </c>
    </row>
    <row r="44" spans="1:11" hidden="1" outlineLevel="1" x14ac:dyDescent="0.25">
      <c r="A44" s="71">
        <f t="shared" si="0"/>
        <v>37</v>
      </c>
      <c r="B44" s="66">
        <f>+B43+31</f>
        <v>39901</v>
      </c>
      <c r="D44" s="67">
        <v>-30417.45</v>
      </c>
      <c r="E44" s="98"/>
      <c r="F44" s="98"/>
      <c r="G44" s="76">
        <f>ROUND((+I43+E44+(D44/2))*0.0452/12,2)</f>
        <v>-595.61</v>
      </c>
      <c r="H44" s="67">
        <f t="shared" si="1"/>
        <v>-31013.06</v>
      </c>
      <c r="I44" s="75">
        <f t="shared" si="2"/>
        <v>-173931.52999999997</v>
      </c>
    </row>
    <row r="45" spans="1:11" hidden="1" outlineLevel="1" x14ac:dyDescent="0.25">
      <c r="A45" s="71">
        <f t="shared" si="0"/>
        <v>38</v>
      </c>
      <c r="B45" s="66">
        <f>+B44+30</f>
        <v>39931</v>
      </c>
      <c r="D45" s="67">
        <v>63779.29</v>
      </c>
      <c r="E45" s="98">
        <f>-'[34]191432'!E45</f>
        <v>-2012245.2499999998</v>
      </c>
      <c r="F45" s="98"/>
      <c r="G45" s="76">
        <v>-3224</v>
      </c>
      <c r="H45" s="67">
        <f t="shared" si="1"/>
        <v>-1951689.9599999997</v>
      </c>
      <c r="I45" s="75">
        <f t="shared" si="2"/>
        <v>-2125621.4899999998</v>
      </c>
    </row>
    <row r="46" spans="1:11" hidden="1" outlineLevel="1" x14ac:dyDescent="0.25">
      <c r="A46" s="71">
        <f t="shared" si="0"/>
        <v>39</v>
      </c>
      <c r="B46" s="66">
        <f>+B45+31</f>
        <v>39962</v>
      </c>
      <c r="D46" s="67">
        <v>256227.69</v>
      </c>
      <c r="E46" s="98"/>
      <c r="F46" s="98"/>
      <c r="G46" s="76">
        <f>ROUND((+I45+E46+(D46/2))*0.0337/12,2)</f>
        <v>-5609.67</v>
      </c>
      <c r="H46" s="67">
        <f t="shared" si="1"/>
        <v>250618.02</v>
      </c>
      <c r="I46" s="75">
        <f t="shared" si="2"/>
        <v>-1875003.4699999997</v>
      </c>
    </row>
    <row r="47" spans="1:11" hidden="1" outlineLevel="1" x14ac:dyDescent="0.25">
      <c r="A47" s="71">
        <f t="shared" si="0"/>
        <v>40</v>
      </c>
      <c r="B47" s="66">
        <f>+B46+30</f>
        <v>39992</v>
      </c>
      <c r="D47" s="67">
        <v>392566.01</v>
      </c>
      <c r="E47" s="98"/>
      <c r="F47" s="98"/>
      <c r="G47" s="76">
        <f>ROUND((+I46+E47+(D47/2))*0.0337/12,2)</f>
        <v>-4714.41</v>
      </c>
      <c r="H47" s="67">
        <f t="shared" si="1"/>
        <v>387851.60000000003</v>
      </c>
      <c r="I47" s="75">
        <f t="shared" si="2"/>
        <v>-1487151.8699999996</v>
      </c>
      <c r="J47" s="67">
        <v>-1487151.46</v>
      </c>
      <c r="K47" s="67">
        <f t="shared" ref="K47:K53" si="3">+I47-J47</f>
        <v>-0.40999999968335032</v>
      </c>
    </row>
    <row r="48" spans="1:11" hidden="1" outlineLevel="1" x14ac:dyDescent="0.25">
      <c r="A48" s="71">
        <f t="shared" si="0"/>
        <v>41</v>
      </c>
      <c r="B48" s="66">
        <f>+B47+31</f>
        <v>40023</v>
      </c>
      <c r="D48" s="67">
        <v>404074.44</v>
      </c>
      <c r="E48" s="98"/>
      <c r="F48" s="98"/>
      <c r="G48" s="76">
        <v>-6312</v>
      </c>
      <c r="H48" s="67">
        <f t="shared" si="1"/>
        <v>397762.44</v>
      </c>
      <c r="I48" s="75">
        <f t="shared" si="2"/>
        <v>-1089389.4299999997</v>
      </c>
      <c r="J48" s="67">
        <v>-1089389.02</v>
      </c>
      <c r="K48" s="67">
        <f t="shared" si="3"/>
        <v>-0.40999999968335032</v>
      </c>
    </row>
    <row r="49" spans="1:11" hidden="1" outlineLevel="1" x14ac:dyDescent="0.25">
      <c r="A49" s="71">
        <f t="shared" si="0"/>
        <v>42</v>
      </c>
      <c r="B49" s="66">
        <f>+B48+30</f>
        <v>40053</v>
      </c>
      <c r="D49" s="67">
        <v>407122.28</v>
      </c>
      <c r="E49" s="98"/>
      <c r="F49" s="98"/>
      <c r="G49" s="76">
        <f>ROUND((+I48+E49+(D49/2))*0.0325/12,2)</f>
        <v>-2399.12</v>
      </c>
      <c r="H49" s="67">
        <f t="shared" si="1"/>
        <v>404723.16000000003</v>
      </c>
      <c r="I49" s="75">
        <f t="shared" si="2"/>
        <v>-684666.26999999967</v>
      </c>
      <c r="J49" s="67">
        <v>-684667.74</v>
      </c>
      <c r="K49" s="67">
        <f t="shared" si="3"/>
        <v>1.4700000003213063</v>
      </c>
    </row>
    <row r="50" spans="1:11" hidden="1" outlineLevel="1" x14ac:dyDescent="0.25">
      <c r="A50" s="71">
        <f t="shared" si="0"/>
        <v>43</v>
      </c>
      <c r="B50" s="66">
        <f>+B49+30</f>
        <v>40083</v>
      </c>
      <c r="D50" s="67">
        <v>371696.76</v>
      </c>
      <c r="E50" s="98"/>
      <c r="F50" s="98"/>
      <c r="G50" s="76">
        <f>ROUND((+I49+E50+(D50/2))*0.0325/12,2)</f>
        <v>-1350.97</v>
      </c>
      <c r="H50" s="67">
        <f t="shared" si="1"/>
        <v>370345.79000000004</v>
      </c>
      <c r="I50" s="75">
        <f t="shared" si="2"/>
        <v>-314320.47999999963</v>
      </c>
      <c r="J50" s="67">
        <v>-314323.98</v>
      </c>
      <c r="K50" s="67">
        <f t="shared" si="3"/>
        <v>3.500000000349246</v>
      </c>
    </row>
    <row r="51" spans="1:11" hidden="1" outlineLevel="1" x14ac:dyDescent="0.25">
      <c r="A51" s="71">
        <f t="shared" si="0"/>
        <v>44</v>
      </c>
      <c r="B51" s="66">
        <f>+B50+31</f>
        <v>40114</v>
      </c>
      <c r="D51" s="67">
        <v>149766.32999999999</v>
      </c>
      <c r="E51" s="98"/>
      <c r="F51" s="98"/>
      <c r="G51" s="76">
        <f>ROUND((+I50+E51+(D51/2))*0.0325/12,2)</f>
        <v>-648.48</v>
      </c>
      <c r="H51" s="67">
        <f t="shared" si="1"/>
        <v>149117.84999999998</v>
      </c>
      <c r="I51" s="75">
        <f t="shared" si="2"/>
        <v>-165202.62999999966</v>
      </c>
      <c r="J51" s="67">
        <f>-165613.65</f>
        <v>-165613.65</v>
      </c>
      <c r="K51" s="67">
        <f t="shared" si="3"/>
        <v>411.02000000033877</v>
      </c>
    </row>
    <row r="52" spans="1:11" hidden="1" outlineLevel="1" x14ac:dyDescent="0.25">
      <c r="A52" s="71">
        <f t="shared" si="0"/>
        <v>45</v>
      </c>
      <c r="B52" s="66">
        <f>+B51+30</f>
        <v>40144</v>
      </c>
      <c r="D52" s="67">
        <f>-204385.94+12551.78-16.99</f>
        <v>-191851.15</v>
      </c>
      <c r="E52" s="98">
        <f>-I51</f>
        <v>165202.62999999966</v>
      </c>
      <c r="F52" s="98"/>
      <c r="G52" s="76">
        <f>ROUND((+I51+E52+(D52/2))*0.0325/12,2)</f>
        <v>-259.8</v>
      </c>
      <c r="H52" s="67">
        <f t="shared" si="1"/>
        <v>-26908.320000000338</v>
      </c>
      <c r="I52" s="75">
        <f t="shared" si="2"/>
        <v>-192110.94999999998</v>
      </c>
      <c r="J52" s="67">
        <v>-192110.93</v>
      </c>
      <c r="K52" s="67">
        <f t="shared" si="3"/>
        <v>-1.9999999989522621E-2</v>
      </c>
    </row>
    <row r="53" spans="1:11" hidden="1" outlineLevel="1" x14ac:dyDescent="0.25">
      <c r="A53" s="71">
        <f t="shared" si="0"/>
        <v>46</v>
      </c>
      <c r="B53" s="66">
        <f>+B52+31</f>
        <v>40175</v>
      </c>
      <c r="D53" s="67">
        <f>-801400.2-18663.45+25</f>
        <v>-820038.64999999991</v>
      </c>
      <c r="E53" s="98"/>
      <c r="F53" s="98"/>
      <c r="G53" s="76">
        <f>ROUND((+I52+E53+(D53/2))*0.0325/12,2)</f>
        <v>-1630.77</v>
      </c>
      <c r="H53" s="67">
        <f t="shared" si="1"/>
        <v>-821669.41999999993</v>
      </c>
      <c r="I53" s="75">
        <f t="shared" si="2"/>
        <v>-1013780.3699999999</v>
      </c>
      <c r="J53" s="67">
        <v>-1013780.13</v>
      </c>
      <c r="K53" s="67">
        <f t="shared" si="3"/>
        <v>-0.23999999987427145</v>
      </c>
    </row>
    <row r="54" spans="1:11" hidden="1" outlineLevel="1" x14ac:dyDescent="0.25">
      <c r="A54" s="71">
        <f t="shared" si="0"/>
        <v>47</v>
      </c>
      <c r="B54" s="66">
        <f>+B53+31</f>
        <v>40206</v>
      </c>
      <c r="E54" s="98"/>
      <c r="F54" s="98"/>
      <c r="G54" s="76"/>
      <c r="I54" s="75"/>
    </row>
    <row r="55" spans="1:11" hidden="1" outlineLevel="1" x14ac:dyDescent="0.25">
      <c r="A55" s="71">
        <f t="shared" si="0"/>
        <v>48</v>
      </c>
      <c r="B55" s="66">
        <f>+B53+31</f>
        <v>40206</v>
      </c>
      <c r="D55" s="67">
        <v>-287671.32</v>
      </c>
      <c r="E55" s="98"/>
      <c r="F55" s="98"/>
      <c r="G55" s="76">
        <f>ROUND((+I53+E55+(D55/2))*0.0325/12,2)</f>
        <v>-3135.21</v>
      </c>
      <c r="H55" s="67">
        <f t="shared" ref="H55:H76" si="4">SUM(D55:G55)</f>
        <v>-290806.53000000003</v>
      </c>
      <c r="I55" s="75">
        <f>+I53+H55</f>
        <v>-1304586.8999999999</v>
      </c>
      <c r="J55" s="67">
        <v>-1304586.45</v>
      </c>
      <c r="K55" s="67">
        <f t="shared" ref="K55:K61" si="5">+I55-J55</f>
        <v>-0.44999999995343387</v>
      </c>
    </row>
    <row r="56" spans="1:11" hidden="1" outlineLevel="1" x14ac:dyDescent="0.25">
      <c r="A56" s="71">
        <f t="shared" si="0"/>
        <v>49</v>
      </c>
      <c r="B56" s="66">
        <f>+B55+28</f>
        <v>40234</v>
      </c>
      <c r="D56" s="67">
        <v>-157461.89000000001</v>
      </c>
      <c r="E56" s="98"/>
      <c r="F56" s="98"/>
      <c r="G56" s="76">
        <f t="shared" ref="G56:G64" si="6">ROUND((+I55+E56+(D56/2))*0.0325/12,2)</f>
        <v>-3746.49</v>
      </c>
      <c r="H56" s="67">
        <f t="shared" si="4"/>
        <v>-161208.38</v>
      </c>
      <c r="I56" s="75">
        <f t="shared" ref="I56:I87" si="7">+I55+H56</f>
        <v>-1465795.2799999998</v>
      </c>
      <c r="J56" s="67">
        <v>-1465794.34</v>
      </c>
      <c r="K56" s="67">
        <f t="shared" si="5"/>
        <v>-0.93999999971129</v>
      </c>
    </row>
    <row r="57" spans="1:11" hidden="1" outlineLevel="1" x14ac:dyDescent="0.25">
      <c r="A57" s="71">
        <f t="shared" si="0"/>
        <v>50</v>
      </c>
      <c r="B57" s="66">
        <f>+B56+31</f>
        <v>40265</v>
      </c>
      <c r="D57" s="67">
        <v>-61789.33</v>
      </c>
      <c r="E57" s="98"/>
      <c r="F57" s="98"/>
      <c r="G57" s="76">
        <f t="shared" si="6"/>
        <v>-4053.54</v>
      </c>
      <c r="H57" s="67">
        <f t="shared" si="4"/>
        <v>-65842.87</v>
      </c>
      <c r="I57" s="75">
        <f t="shared" si="7"/>
        <v>-1531638.15</v>
      </c>
      <c r="J57" s="67">
        <v>-1531637.67</v>
      </c>
      <c r="K57" s="67">
        <f t="shared" si="5"/>
        <v>-0.47999999998137355</v>
      </c>
    </row>
    <row r="58" spans="1:11" hidden="1" outlineLevel="1" x14ac:dyDescent="0.25">
      <c r="A58" s="71">
        <f t="shared" si="0"/>
        <v>51</v>
      </c>
      <c r="B58" s="66">
        <f>+B57+30</f>
        <v>40295</v>
      </c>
      <c r="D58" s="67">
        <v>60781.95</v>
      </c>
      <c r="E58" s="98"/>
      <c r="F58" s="98"/>
      <c r="G58" s="76">
        <f t="shared" si="6"/>
        <v>-4065.88</v>
      </c>
      <c r="H58" s="67">
        <f t="shared" si="4"/>
        <v>56716.07</v>
      </c>
      <c r="I58" s="75">
        <f t="shared" si="7"/>
        <v>-1474922.0799999998</v>
      </c>
      <c r="J58" s="67">
        <v>-1474921.72</v>
      </c>
      <c r="K58" s="67">
        <f t="shared" si="5"/>
        <v>-0.35999999986961484</v>
      </c>
    </row>
    <row r="59" spans="1:11" hidden="1" outlineLevel="1" x14ac:dyDescent="0.25">
      <c r="A59" s="71">
        <f t="shared" si="0"/>
        <v>52</v>
      </c>
      <c r="B59" s="66">
        <f>+B58+31</f>
        <v>40326</v>
      </c>
      <c r="D59" s="67">
        <v>239346.47</v>
      </c>
      <c r="E59" s="98"/>
      <c r="F59" s="98"/>
      <c r="G59" s="76">
        <f t="shared" si="6"/>
        <v>-3670.47</v>
      </c>
      <c r="H59" s="67">
        <f t="shared" si="4"/>
        <v>235676</v>
      </c>
      <c r="I59" s="75">
        <f t="shared" si="7"/>
        <v>-1239246.0799999998</v>
      </c>
      <c r="J59" s="67">
        <v>-1239245.25</v>
      </c>
      <c r="K59" s="67">
        <f t="shared" si="5"/>
        <v>-0.82999999984167516</v>
      </c>
    </row>
    <row r="60" spans="1:11" hidden="1" outlineLevel="1" x14ac:dyDescent="0.25">
      <c r="A60" s="71">
        <f t="shared" si="0"/>
        <v>53</v>
      </c>
      <c r="B60" s="66">
        <f>+B59+30</f>
        <v>40356</v>
      </c>
      <c r="D60" s="67">
        <v>370248.84</v>
      </c>
      <c r="E60" s="98"/>
      <c r="F60" s="98"/>
      <c r="G60" s="76">
        <f t="shared" si="6"/>
        <v>-2854.91</v>
      </c>
      <c r="H60" s="67">
        <f t="shared" si="4"/>
        <v>367393.93000000005</v>
      </c>
      <c r="I60" s="75">
        <f t="shared" si="7"/>
        <v>-871852.14999999979</v>
      </c>
      <c r="J60" s="67">
        <v>-872666.41</v>
      </c>
      <c r="K60" s="67">
        <f t="shared" si="5"/>
        <v>814.26000000024214</v>
      </c>
    </row>
    <row r="61" spans="1:11" hidden="1" outlineLevel="1" x14ac:dyDescent="0.25">
      <c r="A61" s="71">
        <f t="shared" si="0"/>
        <v>54</v>
      </c>
      <c r="B61" s="66">
        <f>+B60+31</f>
        <v>40387</v>
      </c>
      <c r="D61" s="67">
        <v>450657.63</v>
      </c>
      <c r="E61" s="98"/>
      <c r="F61" s="98"/>
      <c r="G61" s="76">
        <f t="shared" si="6"/>
        <v>-1751</v>
      </c>
      <c r="H61" s="67">
        <f t="shared" si="4"/>
        <v>448906.63</v>
      </c>
      <c r="I61" s="75">
        <f t="shared" si="7"/>
        <v>-422945.51999999979</v>
      </c>
      <c r="J61" s="67">
        <v>-425678.78</v>
      </c>
      <c r="K61" s="67">
        <f t="shared" si="5"/>
        <v>2733.2600000002421</v>
      </c>
    </row>
    <row r="62" spans="1:11" hidden="1" outlineLevel="1" x14ac:dyDescent="0.25">
      <c r="A62" s="71">
        <f t="shared" si="0"/>
        <v>55</v>
      </c>
      <c r="B62" s="66">
        <f>+B61+30</f>
        <v>40417</v>
      </c>
      <c r="D62" s="67">
        <v>446640.73</v>
      </c>
      <c r="E62" s="98"/>
      <c r="F62" s="98"/>
      <c r="G62" s="76">
        <f t="shared" si="6"/>
        <v>-540.65</v>
      </c>
      <c r="H62" s="67">
        <f t="shared" si="4"/>
        <v>446100.07999999996</v>
      </c>
      <c r="I62" s="75">
        <f t="shared" si="7"/>
        <v>23154.560000000172</v>
      </c>
    </row>
    <row r="63" spans="1:11" hidden="1" outlineLevel="1" x14ac:dyDescent="0.25">
      <c r="A63" s="71">
        <f t="shared" si="0"/>
        <v>56</v>
      </c>
      <c r="B63" s="66">
        <f>+B62+30</f>
        <v>40447</v>
      </c>
      <c r="D63" s="67">
        <v>430486.8</v>
      </c>
      <c r="E63" s="98"/>
      <c r="F63" s="98"/>
      <c r="G63" s="76">
        <f t="shared" si="6"/>
        <v>645.66</v>
      </c>
      <c r="H63" s="67">
        <f t="shared" si="4"/>
        <v>431132.45999999996</v>
      </c>
      <c r="I63" s="75">
        <f t="shared" si="7"/>
        <v>454287.02000000014</v>
      </c>
    </row>
    <row r="64" spans="1:11" hidden="1" outlineLevel="1" x14ac:dyDescent="0.25">
      <c r="A64" s="71">
        <f t="shared" si="0"/>
        <v>57</v>
      </c>
      <c r="B64" s="66">
        <f>+B63+31</f>
        <v>40478</v>
      </c>
      <c r="D64" s="67">
        <v>223797.3</v>
      </c>
      <c r="E64" s="98"/>
      <c r="F64" s="98"/>
      <c r="G64" s="76">
        <f t="shared" si="6"/>
        <v>1533.42</v>
      </c>
      <c r="H64" s="67">
        <f t="shared" si="4"/>
        <v>225330.72</v>
      </c>
      <c r="I64" s="75">
        <f t="shared" si="7"/>
        <v>679617.74000000011</v>
      </c>
    </row>
    <row r="65" spans="1:12" hidden="1" outlineLevel="1" x14ac:dyDescent="0.25">
      <c r="A65" s="71">
        <f t="shared" si="0"/>
        <v>58</v>
      </c>
      <c r="B65" s="66">
        <f>+B64+30</f>
        <v>40508</v>
      </c>
      <c r="D65" s="67">
        <v>-217305.37</v>
      </c>
      <c r="E65" s="98">
        <f>-I64</f>
        <v>-679617.74000000011</v>
      </c>
      <c r="F65" s="98"/>
      <c r="G65" s="76">
        <f>ROUND((+I64+E65+(D65/2))*0.0325/12,0)</f>
        <v>-294</v>
      </c>
      <c r="H65" s="67">
        <f t="shared" si="4"/>
        <v>-897217.1100000001</v>
      </c>
      <c r="I65" s="75">
        <f t="shared" si="7"/>
        <v>-217599.37</v>
      </c>
    </row>
    <row r="66" spans="1:12" hidden="1" outlineLevel="1" x14ac:dyDescent="0.25">
      <c r="A66" s="71">
        <f t="shared" si="0"/>
        <v>59</v>
      </c>
      <c r="B66" s="66">
        <f>+B65+31</f>
        <v>40539</v>
      </c>
      <c r="D66" s="67">
        <v>-474846.71</v>
      </c>
      <c r="E66" s="98"/>
      <c r="F66" s="98"/>
      <c r="G66" s="76">
        <f>ROUND((+I65+E66+(D66/2))*0.0325/12,0)</f>
        <v>-1232</v>
      </c>
      <c r="H66" s="67">
        <f t="shared" si="4"/>
        <v>-476078.71</v>
      </c>
      <c r="I66" s="75">
        <f t="shared" si="7"/>
        <v>-693678.08000000007</v>
      </c>
    </row>
    <row r="67" spans="1:12" hidden="1" outlineLevel="1" x14ac:dyDescent="0.25">
      <c r="A67" s="71">
        <f t="shared" si="0"/>
        <v>60</v>
      </c>
      <c r="B67" s="66">
        <f>+B66+31</f>
        <v>40570</v>
      </c>
      <c r="D67" s="67">
        <v>-521327.98</v>
      </c>
      <c r="E67" s="98"/>
      <c r="F67" s="77">
        <v>3.2500000000000001E-2</v>
      </c>
      <c r="G67" s="76">
        <f t="shared" ref="G67:G98" si="8">ROUND((+I66+E67+(D67/2))*F67/12,0)</f>
        <v>-2585</v>
      </c>
      <c r="H67" s="67">
        <f t="shared" si="4"/>
        <v>-523912.94750000001</v>
      </c>
      <c r="I67" s="75">
        <f t="shared" si="7"/>
        <v>-1217591.0275000001</v>
      </c>
    </row>
    <row r="68" spans="1:12" hidden="1" outlineLevel="1" x14ac:dyDescent="0.25">
      <c r="A68" s="71">
        <f t="shared" si="0"/>
        <v>61</v>
      </c>
      <c r="B68" s="66">
        <f>+B67+28</f>
        <v>40598</v>
      </c>
      <c r="D68" s="67">
        <v>-460274.33</v>
      </c>
      <c r="E68" s="98"/>
      <c r="F68" s="77">
        <v>3.2500000000000001E-2</v>
      </c>
      <c r="G68" s="76">
        <f t="shared" si="8"/>
        <v>-3921</v>
      </c>
      <c r="H68" s="67">
        <f t="shared" si="4"/>
        <v>-464195.29750000004</v>
      </c>
      <c r="I68" s="75">
        <f t="shared" si="7"/>
        <v>-1681786.3250000002</v>
      </c>
      <c r="J68" s="67">
        <v>-1465794.34</v>
      </c>
      <c r="K68" s="67">
        <f>+I68-J68</f>
        <v>-215991.9850000001</v>
      </c>
    </row>
    <row r="69" spans="1:12" hidden="1" outlineLevel="1" x14ac:dyDescent="0.25">
      <c r="A69" s="71">
        <f t="shared" si="0"/>
        <v>62</v>
      </c>
      <c r="B69" s="66">
        <f>+B68+31</f>
        <v>40629</v>
      </c>
      <c r="D69" s="67">
        <v>-261705.06</v>
      </c>
      <c r="E69" s="98"/>
      <c r="F69" s="77">
        <v>3.2500000000000001E-2</v>
      </c>
      <c r="G69" s="76">
        <f t="shared" si="8"/>
        <v>-4909</v>
      </c>
      <c r="H69" s="67">
        <f t="shared" si="4"/>
        <v>-266614.02749999997</v>
      </c>
      <c r="I69" s="75">
        <f t="shared" si="7"/>
        <v>-1948400.3525</v>
      </c>
      <c r="J69" s="67">
        <v>-1531637.67</v>
      </c>
      <c r="K69" s="67">
        <f>+I69-J69</f>
        <v>-416762.68250000011</v>
      </c>
    </row>
    <row r="70" spans="1:12" hidden="1" outlineLevel="1" x14ac:dyDescent="0.25">
      <c r="A70" s="71">
        <f t="shared" si="0"/>
        <v>63</v>
      </c>
      <c r="B70" s="66">
        <f>+B69+30</f>
        <v>40659</v>
      </c>
      <c r="D70" s="67">
        <v>-62256.26</v>
      </c>
      <c r="E70" s="98"/>
      <c r="F70" s="77">
        <v>3.2500000000000001E-2</v>
      </c>
      <c r="G70" s="76">
        <f t="shared" si="8"/>
        <v>-5361</v>
      </c>
      <c r="H70" s="67">
        <f t="shared" si="4"/>
        <v>-67617.227500000008</v>
      </c>
      <c r="I70" s="75">
        <f t="shared" si="7"/>
        <v>-2016017.58</v>
      </c>
    </row>
    <row r="71" spans="1:12" hidden="1" outlineLevel="1" x14ac:dyDescent="0.25">
      <c r="A71" s="71">
        <f t="shared" si="0"/>
        <v>64</v>
      </c>
      <c r="B71" s="66">
        <f>+B70+31</f>
        <v>40690</v>
      </c>
      <c r="D71" s="67">
        <v>212614.84</v>
      </c>
      <c r="E71" s="98"/>
      <c r="F71" s="77">
        <v>3.2500000000000001E-2</v>
      </c>
      <c r="G71" s="76">
        <f t="shared" si="8"/>
        <v>-5172</v>
      </c>
      <c r="H71" s="67">
        <f t="shared" si="4"/>
        <v>207442.8725</v>
      </c>
      <c r="I71" s="75">
        <f t="shared" si="7"/>
        <v>-1808574.7075</v>
      </c>
    </row>
    <row r="72" spans="1:12" hidden="1" outlineLevel="1" x14ac:dyDescent="0.25">
      <c r="A72" s="71">
        <f t="shared" si="0"/>
        <v>65</v>
      </c>
      <c r="B72" s="66">
        <f>+B71+30</f>
        <v>40720</v>
      </c>
      <c r="D72" s="67">
        <v>450414.03</v>
      </c>
      <c r="E72" s="98"/>
      <c r="F72" s="77">
        <v>3.2500000000000001E-2</v>
      </c>
      <c r="G72" s="76">
        <f t="shared" si="8"/>
        <v>-4288</v>
      </c>
      <c r="H72" s="67">
        <f t="shared" si="4"/>
        <v>446126.0625</v>
      </c>
      <c r="I72" s="75">
        <f t="shared" si="7"/>
        <v>-1362448.645</v>
      </c>
    </row>
    <row r="73" spans="1:12" hidden="1" outlineLevel="1" x14ac:dyDescent="0.25">
      <c r="A73" s="71">
        <f t="shared" ref="A73:A136" si="9">+A72+1</f>
        <v>66</v>
      </c>
      <c r="B73" s="66">
        <f>+B72+31</f>
        <v>40751</v>
      </c>
      <c r="D73" s="67">
        <v>491780.98</v>
      </c>
      <c r="E73" s="98"/>
      <c r="F73" s="77">
        <v>3.2500000000000001E-2</v>
      </c>
      <c r="G73" s="76">
        <f t="shared" si="8"/>
        <v>-3024</v>
      </c>
      <c r="H73" s="67">
        <f t="shared" si="4"/>
        <v>488757.01249999995</v>
      </c>
      <c r="I73" s="75">
        <f t="shared" si="7"/>
        <v>-873691.63250000007</v>
      </c>
    </row>
    <row r="74" spans="1:12" hidden="1" outlineLevel="1" x14ac:dyDescent="0.25">
      <c r="A74" s="71">
        <f t="shared" si="9"/>
        <v>67</v>
      </c>
      <c r="B74" s="66">
        <f>+B73+30</f>
        <v>40781</v>
      </c>
      <c r="D74" s="67">
        <v>510265.26</v>
      </c>
      <c r="E74" s="98"/>
      <c r="F74" s="77">
        <v>3.2500000000000001E-2</v>
      </c>
      <c r="G74" s="76">
        <f t="shared" si="8"/>
        <v>-1675</v>
      </c>
      <c r="H74" s="67">
        <f t="shared" si="4"/>
        <v>508590.29249999998</v>
      </c>
      <c r="I74" s="75">
        <f t="shared" si="7"/>
        <v>-365101.34000000008</v>
      </c>
    </row>
    <row r="75" spans="1:12" hidden="1" outlineLevel="1" x14ac:dyDescent="0.25">
      <c r="A75" s="71">
        <f t="shared" si="9"/>
        <v>68</v>
      </c>
      <c r="B75" s="66">
        <f>+B74+30</f>
        <v>40811</v>
      </c>
      <c r="D75" s="67">
        <v>479605.52</v>
      </c>
      <c r="E75" s="98"/>
      <c r="F75" s="77">
        <v>3.2500000000000001E-2</v>
      </c>
      <c r="G75" s="76">
        <f t="shared" si="8"/>
        <v>-339</v>
      </c>
      <c r="H75" s="67">
        <f t="shared" si="4"/>
        <v>479266.55249999999</v>
      </c>
      <c r="I75" s="75">
        <f t="shared" si="7"/>
        <v>114165.21249999991</v>
      </c>
    </row>
    <row r="76" spans="1:12" hidden="1" outlineLevel="1" x14ac:dyDescent="0.25">
      <c r="A76" s="71">
        <f t="shared" si="9"/>
        <v>69</v>
      </c>
      <c r="B76" s="66">
        <f>+B75+31</f>
        <v>40842</v>
      </c>
      <c r="C76" s="87">
        <v>1</v>
      </c>
      <c r="D76" s="67">
        <v>259700.63960599992</v>
      </c>
      <c r="E76" s="98">
        <v>23.68</v>
      </c>
      <c r="F76" s="77">
        <v>3.2500000000000001E-2</v>
      </c>
      <c r="G76" s="76">
        <f t="shared" si="8"/>
        <v>661</v>
      </c>
      <c r="H76" s="67">
        <f t="shared" si="4"/>
        <v>260385.35210599992</v>
      </c>
      <c r="I76" s="75">
        <f t="shared" si="7"/>
        <v>374550.56460599985</v>
      </c>
    </row>
    <row r="77" spans="1:12" hidden="1" outlineLevel="1" x14ac:dyDescent="0.25">
      <c r="A77" s="71">
        <f t="shared" si="9"/>
        <v>70</v>
      </c>
      <c r="B77" s="66">
        <f>+B76+30</f>
        <v>40872</v>
      </c>
      <c r="C77" s="87">
        <v>1</v>
      </c>
      <c r="D77" s="67">
        <v>-289411.29994799965</v>
      </c>
      <c r="E77" s="98">
        <v>-374550.56</v>
      </c>
      <c r="F77" s="77">
        <v>3.2500000000000001E-2</v>
      </c>
      <c r="G77" s="76">
        <f t="shared" si="8"/>
        <v>-392</v>
      </c>
      <c r="H77" s="67">
        <f t="shared" ref="H77:H108" si="10">SUM(D77:E77,G77)</f>
        <v>-664353.85994799971</v>
      </c>
      <c r="I77" s="75">
        <f t="shared" si="7"/>
        <v>-289803.29534199985</v>
      </c>
      <c r="L77" s="86"/>
    </row>
    <row r="78" spans="1:12" hidden="1" outlineLevel="1" x14ac:dyDescent="0.25">
      <c r="A78" s="71">
        <f t="shared" si="9"/>
        <v>71</v>
      </c>
      <c r="B78" s="66">
        <f>+B77+31</f>
        <v>40903</v>
      </c>
      <c r="D78" s="67">
        <v>-622541.16724699957</v>
      </c>
      <c r="E78" s="98"/>
      <c r="F78" s="77">
        <v>3.2500000000000001E-2</v>
      </c>
      <c r="G78" s="76">
        <f t="shared" si="8"/>
        <v>-1628</v>
      </c>
      <c r="H78" s="67">
        <f t="shared" si="10"/>
        <v>-624169.16724699957</v>
      </c>
      <c r="I78" s="75">
        <f t="shared" si="7"/>
        <v>-913972.46258899942</v>
      </c>
    </row>
    <row r="79" spans="1:12" hidden="1" outlineLevel="1" x14ac:dyDescent="0.25">
      <c r="A79" s="71">
        <f t="shared" si="9"/>
        <v>72</v>
      </c>
      <c r="B79" s="66">
        <f>+B78+31</f>
        <v>40934</v>
      </c>
      <c r="D79" s="67">
        <v>-661196.99291699962</v>
      </c>
      <c r="E79" s="98"/>
      <c r="F79" s="77">
        <v>3.2500000000000001E-2</v>
      </c>
      <c r="G79" s="76">
        <f t="shared" si="8"/>
        <v>-3371</v>
      </c>
      <c r="H79" s="67">
        <f t="shared" si="10"/>
        <v>-664567.99291699962</v>
      </c>
      <c r="I79" s="75">
        <f t="shared" si="7"/>
        <v>-1578540.455505999</v>
      </c>
    </row>
    <row r="80" spans="1:12" hidden="1" outlineLevel="1" x14ac:dyDescent="0.25">
      <c r="A80" s="71">
        <f t="shared" si="9"/>
        <v>73</v>
      </c>
      <c r="B80" s="66">
        <f>+B79+29</f>
        <v>40963</v>
      </c>
      <c r="D80" s="67">
        <v>-396922.53456699965</v>
      </c>
      <c r="E80" s="98"/>
      <c r="F80" s="77">
        <v>3.2500000000000001E-2</v>
      </c>
      <c r="G80" s="76">
        <f t="shared" si="8"/>
        <v>-4813</v>
      </c>
      <c r="H80" s="67">
        <f t="shared" si="10"/>
        <v>-401735.53456699965</v>
      </c>
      <c r="I80" s="75">
        <f t="shared" si="7"/>
        <v>-1980275.9900729987</v>
      </c>
    </row>
    <row r="81" spans="1:13" hidden="1" outlineLevel="1" x14ac:dyDescent="0.25">
      <c r="A81" s="71">
        <f t="shared" si="9"/>
        <v>74</v>
      </c>
      <c r="B81" s="66">
        <f>+B80+31</f>
        <v>40994</v>
      </c>
      <c r="D81" s="67">
        <v>-356952.82534799946</v>
      </c>
      <c r="E81" s="98"/>
      <c r="F81" s="77">
        <v>3.2500000000000001E-2</v>
      </c>
      <c r="G81" s="76">
        <f t="shared" si="8"/>
        <v>-5847</v>
      </c>
      <c r="H81" s="67">
        <f t="shared" si="10"/>
        <v>-362799.82534799946</v>
      </c>
      <c r="I81" s="75">
        <f t="shared" si="7"/>
        <v>-2343075.8154209983</v>
      </c>
    </row>
    <row r="82" spans="1:13" hidden="1" outlineLevel="1" x14ac:dyDescent="0.25">
      <c r="A82" s="71">
        <f t="shared" si="9"/>
        <v>75</v>
      </c>
      <c r="B82" s="66">
        <f>+B81+30</f>
        <v>41024</v>
      </c>
      <c r="D82" s="67">
        <v>65071.220000000438</v>
      </c>
      <c r="E82" s="98"/>
      <c r="F82" s="77">
        <v>3.2500000000000001E-2</v>
      </c>
      <c r="G82" s="76">
        <f t="shared" si="8"/>
        <v>-6258</v>
      </c>
      <c r="H82" s="67">
        <f t="shared" si="10"/>
        <v>58813.220000000438</v>
      </c>
      <c r="I82" s="75">
        <f t="shared" si="7"/>
        <v>-2284262.5954209976</v>
      </c>
    </row>
    <row r="83" spans="1:13" hidden="1" outlineLevel="1" x14ac:dyDescent="0.25">
      <c r="A83" s="71">
        <f t="shared" si="9"/>
        <v>76</v>
      </c>
      <c r="B83" s="66">
        <f>+B82+31</f>
        <v>41055</v>
      </c>
      <c r="D83" s="67">
        <v>331092.04165300052</v>
      </c>
      <c r="E83" s="98"/>
      <c r="F83" s="77">
        <v>3.2500000000000001E-2</v>
      </c>
      <c r="G83" s="76">
        <f t="shared" si="8"/>
        <v>-5738</v>
      </c>
      <c r="H83" s="67">
        <f t="shared" si="10"/>
        <v>325354.04165300052</v>
      </c>
      <c r="I83" s="75">
        <f t="shared" si="7"/>
        <v>-1958908.5537679971</v>
      </c>
      <c r="L83" s="67"/>
    </row>
    <row r="84" spans="1:13" hidden="1" outlineLevel="1" x14ac:dyDescent="0.25">
      <c r="A84" s="71">
        <f t="shared" si="9"/>
        <v>77</v>
      </c>
      <c r="B84" s="66">
        <f>+B83+30</f>
        <v>41085</v>
      </c>
      <c r="D84" s="67">
        <v>718.62</v>
      </c>
      <c r="E84" s="98"/>
      <c r="F84" s="77">
        <v>3.2500000000000001E-2</v>
      </c>
      <c r="G84" s="76">
        <f t="shared" si="8"/>
        <v>-5304</v>
      </c>
      <c r="H84" s="67">
        <f t="shared" si="10"/>
        <v>-4585.38</v>
      </c>
      <c r="I84" s="75">
        <f t="shared" si="7"/>
        <v>-1963493.933767997</v>
      </c>
    </row>
    <row r="85" spans="1:13" hidden="1" outlineLevel="1" x14ac:dyDescent="0.25">
      <c r="A85" s="71">
        <f t="shared" si="9"/>
        <v>78</v>
      </c>
      <c r="B85" s="66">
        <f>+B84+31</f>
        <v>41116</v>
      </c>
      <c r="D85" s="67">
        <v>0</v>
      </c>
      <c r="E85" s="98"/>
      <c r="F85" s="77">
        <v>3.2500000000000001E-2</v>
      </c>
      <c r="G85" s="76">
        <f t="shared" si="8"/>
        <v>-5318</v>
      </c>
      <c r="H85" s="67">
        <f t="shared" si="10"/>
        <v>-5318</v>
      </c>
      <c r="I85" s="75">
        <f t="shared" si="7"/>
        <v>-1968811.933767997</v>
      </c>
    </row>
    <row r="86" spans="1:13" hidden="1" outlineLevel="1" x14ac:dyDescent="0.25">
      <c r="A86" s="71">
        <f t="shared" si="9"/>
        <v>79</v>
      </c>
      <c r="B86" s="66">
        <f>+B85+30</f>
        <v>41146</v>
      </c>
      <c r="D86" s="67">
        <v>0</v>
      </c>
      <c r="E86" s="98"/>
      <c r="F86" s="77">
        <v>3.2500000000000001E-2</v>
      </c>
      <c r="G86" s="76">
        <f t="shared" si="8"/>
        <v>-5332</v>
      </c>
      <c r="H86" s="67">
        <f t="shared" si="10"/>
        <v>-5332</v>
      </c>
      <c r="I86" s="75">
        <f t="shared" si="7"/>
        <v>-1974143.933767997</v>
      </c>
      <c r="L86" s="86"/>
    </row>
    <row r="87" spans="1:13" hidden="1" outlineLevel="1" x14ac:dyDescent="0.25">
      <c r="A87" s="71">
        <f t="shared" si="9"/>
        <v>80</v>
      </c>
      <c r="B87" s="66">
        <f>+B86+30</f>
        <v>41176</v>
      </c>
      <c r="D87" s="67">
        <v>0</v>
      </c>
      <c r="E87" s="98"/>
      <c r="F87" s="77">
        <v>3.2500000000000001E-2</v>
      </c>
      <c r="G87" s="76">
        <f t="shared" si="8"/>
        <v>-5347</v>
      </c>
      <c r="H87" s="67">
        <f t="shared" si="10"/>
        <v>-5347</v>
      </c>
      <c r="I87" s="75">
        <f t="shared" si="7"/>
        <v>-1979490.933767997</v>
      </c>
      <c r="L87" s="86"/>
      <c r="M87" s="86"/>
    </row>
    <row r="88" spans="1:13" hidden="1" outlineLevel="1" x14ac:dyDescent="0.25">
      <c r="A88" s="71">
        <f t="shared" si="9"/>
        <v>81</v>
      </c>
      <c r="B88" s="66">
        <f>+B87+31</f>
        <v>41207</v>
      </c>
      <c r="D88" s="67">
        <f>222438.721117+2121</f>
        <v>224559.72111700001</v>
      </c>
      <c r="E88" s="98"/>
      <c r="F88" s="77">
        <v>3.2500000000000001E-2</v>
      </c>
      <c r="G88" s="76">
        <f t="shared" si="8"/>
        <v>-5057</v>
      </c>
      <c r="H88" s="67">
        <f t="shared" si="10"/>
        <v>219502.72111700001</v>
      </c>
      <c r="I88" s="75">
        <f t="shared" ref="I88:I119" si="11">+I87+H88</f>
        <v>-1759988.2126509969</v>
      </c>
      <c r="L88" s="67"/>
    </row>
    <row r="89" spans="1:13" hidden="1" outlineLevel="1" x14ac:dyDescent="0.25">
      <c r="A89" s="71">
        <f t="shared" si="9"/>
        <v>82</v>
      </c>
      <c r="B89" s="66">
        <f>+B88+30</f>
        <v>41237</v>
      </c>
      <c r="C89" s="87">
        <v>1</v>
      </c>
      <c r="D89" s="67">
        <v>-208501.35</v>
      </c>
      <c r="E89" s="98">
        <f>-I88</f>
        <v>1759988.2126509969</v>
      </c>
      <c r="F89" s="77">
        <v>3.2500000000000001E-2</v>
      </c>
      <c r="G89" s="76">
        <f t="shared" si="8"/>
        <v>-282</v>
      </c>
      <c r="H89" s="67">
        <f t="shared" si="10"/>
        <v>1551204.8626509968</v>
      </c>
      <c r="I89" s="75">
        <f t="shared" si="11"/>
        <v>-208783.35000000009</v>
      </c>
      <c r="L89" s="67"/>
    </row>
    <row r="90" spans="1:13" hidden="1" outlineLevel="1" x14ac:dyDescent="0.25">
      <c r="A90" s="71">
        <f t="shared" si="9"/>
        <v>83</v>
      </c>
      <c r="B90" s="66">
        <f>+B89+31</f>
        <v>41268</v>
      </c>
      <c r="C90" s="87"/>
      <c r="D90" s="67">
        <v>-568700.35164799995</v>
      </c>
      <c r="E90" s="98"/>
      <c r="F90" s="77">
        <v>3.2500000000000001E-2</v>
      </c>
      <c r="G90" s="76">
        <f t="shared" si="8"/>
        <v>-1336</v>
      </c>
      <c r="H90" s="67">
        <f t="shared" si="10"/>
        <v>-570036.35164799995</v>
      </c>
      <c r="I90" s="75">
        <f t="shared" si="11"/>
        <v>-778819.70164800005</v>
      </c>
      <c r="L90" s="67"/>
    </row>
    <row r="91" spans="1:13" hidden="1" outlineLevel="1" x14ac:dyDescent="0.25">
      <c r="A91" s="71">
        <f t="shared" si="9"/>
        <v>84</v>
      </c>
      <c r="B91" s="66">
        <f>+B90+31</f>
        <v>41299</v>
      </c>
      <c r="D91" s="67">
        <v>-928536.91629199998</v>
      </c>
      <c r="E91" s="116"/>
      <c r="F91" s="77">
        <v>3.2500000000000001E-2</v>
      </c>
      <c r="G91" s="76">
        <f t="shared" si="8"/>
        <v>-3367</v>
      </c>
      <c r="H91" s="67">
        <f t="shared" si="10"/>
        <v>-931903.91629199998</v>
      </c>
      <c r="I91" s="75">
        <f t="shared" si="11"/>
        <v>-1710723.61794</v>
      </c>
    </row>
    <row r="92" spans="1:13" hidden="1" outlineLevel="1" x14ac:dyDescent="0.25">
      <c r="A92" s="71">
        <f t="shared" si="9"/>
        <v>85</v>
      </c>
      <c r="B92" s="66">
        <f>+B91+28</f>
        <v>41327</v>
      </c>
      <c r="D92" s="67">
        <v>-475888.03248400002</v>
      </c>
      <c r="E92" s="98"/>
      <c r="F92" s="77">
        <v>3.2500000000000001E-2</v>
      </c>
      <c r="G92" s="76">
        <f t="shared" si="8"/>
        <v>-5278</v>
      </c>
      <c r="H92" s="67">
        <f t="shared" si="10"/>
        <v>-481166.03248400002</v>
      </c>
      <c r="I92" s="75">
        <f t="shared" si="11"/>
        <v>-2191889.6504239999</v>
      </c>
    </row>
    <row r="93" spans="1:13" hidden="1" outlineLevel="1" x14ac:dyDescent="0.25">
      <c r="A93" s="71">
        <f t="shared" si="9"/>
        <v>86</v>
      </c>
      <c r="B93" s="66">
        <f>+B92+31</f>
        <v>41358</v>
      </c>
      <c r="D93" s="67">
        <v>-63277.87</v>
      </c>
      <c r="E93" s="98"/>
      <c r="F93" s="77">
        <v>3.2500000000000001E-2</v>
      </c>
      <c r="G93" s="76">
        <f t="shared" si="8"/>
        <v>-6022</v>
      </c>
      <c r="H93" s="67">
        <f t="shared" si="10"/>
        <v>-69299.87</v>
      </c>
      <c r="I93" s="75">
        <f t="shared" si="11"/>
        <v>-2261189.520424</v>
      </c>
    </row>
    <row r="94" spans="1:13" hidden="1" outlineLevel="1" x14ac:dyDescent="0.25">
      <c r="A94" s="71">
        <f t="shared" si="9"/>
        <v>87</v>
      </c>
      <c r="B94" s="66">
        <f>+B93+30</f>
        <v>41388</v>
      </c>
      <c r="D94" s="91">
        <v>5291.12</v>
      </c>
      <c r="E94" s="98"/>
      <c r="F94" s="77">
        <v>3.2500000000000001E-2</v>
      </c>
      <c r="G94" s="76">
        <f t="shared" si="8"/>
        <v>-6117</v>
      </c>
      <c r="H94" s="67">
        <f t="shared" si="10"/>
        <v>-825.88000000000011</v>
      </c>
      <c r="I94" s="75">
        <f t="shared" si="11"/>
        <v>-2262015.4004239999</v>
      </c>
    </row>
    <row r="95" spans="1:13" hidden="1" outlineLevel="1" x14ac:dyDescent="0.25">
      <c r="A95" s="71">
        <f t="shared" si="9"/>
        <v>88</v>
      </c>
      <c r="B95" s="66">
        <f>+B94+31</f>
        <v>41419</v>
      </c>
      <c r="D95" s="91">
        <v>253408.74</v>
      </c>
      <c r="E95" s="98"/>
      <c r="F95" s="77">
        <v>3.2500000000000001E-2</v>
      </c>
      <c r="G95" s="76">
        <f t="shared" si="8"/>
        <v>-5783</v>
      </c>
      <c r="H95" s="67">
        <f t="shared" si="10"/>
        <v>247625.74</v>
      </c>
      <c r="I95" s="75">
        <f t="shared" si="11"/>
        <v>-2014389.6604239999</v>
      </c>
    </row>
    <row r="96" spans="1:13" hidden="1" outlineLevel="1" x14ac:dyDescent="0.25">
      <c r="A96" s="71">
        <f t="shared" si="9"/>
        <v>89</v>
      </c>
      <c r="B96" s="66">
        <f>+B95+30</f>
        <v>41449</v>
      </c>
      <c r="D96" s="67">
        <v>472132.78</v>
      </c>
      <c r="E96" s="98"/>
      <c r="F96" s="77">
        <v>3.2500000000000001E-2</v>
      </c>
      <c r="G96" s="76">
        <f t="shared" si="8"/>
        <v>-4816</v>
      </c>
      <c r="H96" s="67">
        <f t="shared" si="10"/>
        <v>467316.78</v>
      </c>
      <c r="I96" s="75">
        <f t="shared" si="11"/>
        <v>-1547072.8804239999</v>
      </c>
    </row>
    <row r="97" spans="1:9" hidden="1" outlineLevel="1" x14ac:dyDescent="0.25">
      <c r="A97" s="71">
        <f t="shared" si="9"/>
        <v>90</v>
      </c>
      <c r="B97" s="66">
        <f>+B96+31</f>
        <v>41480</v>
      </c>
      <c r="D97" s="67">
        <v>508583.406624</v>
      </c>
      <c r="E97" s="98"/>
      <c r="F97" s="77">
        <v>3.2500000000000001E-2</v>
      </c>
      <c r="G97" s="76">
        <f t="shared" si="8"/>
        <v>-3501</v>
      </c>
      <c r="H97" s="67">
        <f t="shared" si="10"/>
        <v>505082.406624</v>
      </c>
      <c r="I97" s="75">
        <f t="shared" si="11"/>
        <v>-1041990.4737999998</v>
      </c>
    </row>
    <row r="98" spans="1:9" hidden="1" outlineLevel="1" x14ac:dyDescent="0.25">
      <c r="A98" s="71">
        <f t="shared" si="9"/>
        <v>91</v>
      </c>
      <c r="B98" s="66">
        <f>+B97+30</f>
        <v>41510</v>
      </c>
      <c r="D98" s="67">
        <v>516617.24526400003</v>
      </c>
      <c r="E98" s="98"/>
      <c r="F98" s="77">
        <v>3.2500000000000001E-2</v>
      </c>
      <c r="G98" s="76">
        <f t="shared" si="8"/>
        <v>-2122</v>
      </c>
      <c r="H98" s="67">
        <f t="shared" si="10"/>
        <v>514495.24526400003</v>
      </c>
      <c r="I98" s="75">
        <f t="shared" si="11"/>
        <v>-527495.22853599978</v>
      </c>
    </row>
    <row r="99" spans="1:9" hidden="1" outlineLevel="1" x14ac:dyDescent="0.25">
      <c r="A99" s="71">
        <f t="shared" si="9"/>
        <v>92</v>
      </c>
      <c r="B99" s="66">
        <f>+B98+30</f>
        <v>41540</v>
      </c>
      <c r="D99" s="67">
        <v>404245.25205200003</v>
      </c>
      <c r="E99" s="98"/>
      <c r="F99" s="77">
        <v>3.2500000000000001E-2</v>
      </c>
      <c r="G99" s="76">
        <f t="shared" ref="G99:G121" si="12">ROUND((+I98+E99+(D99/2))*F99/12,0)</f>
        <v>-881</v>
      </c>
      <c r="H99" s="67">
        <f t="shared" si="10"/>
        <v>403364.25205200003</v>
      </c>
      <c r="I99" s="75">
        <f t="shared" si="11"/>
        <v>-124130.97648399975</v>
      </c>
    </row>
    <row r="100" spans="1:9" hidden="1" outlineLevel="1" x14ac:dyDescent="0.25">
      <c r="A100" s="71">
        <f t="shared" si="9"/>
        <v>93</v>
      </c>
      <c r="B100" s="66">
        <f>+B99+31</f>
        <v>41571</v>
      </c>
      <c r="D100" s="67">
        <v>120371.06131999999</v>
      </c>
      <c r="E100" s="98"/>
      <c r="F100" s="77">
        <v>3.2500000000000001E-2</v>
      </c>
      <c r="G100" s="76">
        <f t="shared" si="12"/>
        <v>-173</v>
      </c>
      <c r="H100" s="67">
        <f t="shared" si="10"/>
        <v>120198.06131999999</v>
      </c>
      <c r="I100" s="75">
        <f t="shared" si="11"/>
        <v>-3932.9151639997581</v>
      </c>
    </row>
    <row r="101" spans="1:9" hidden="1" outlineLevel="1" x14ac:dyDescent="0.25">
      <c r="A101" s="71">
        <f t="shared" si="9"/>
        <v>94</v>
      </c>
      <c r="B101" s="66">
        <f>+B100+30</f>
        <v>41601</v>
      </c>
      <c r="D101" s="67">
        <v>-341364.11522500002</v>
      </c>
      <c r="E101" s="98">
        <f>-I100</f>
        <v>3932.9151639997581</v>
      </c>
      <c r="F101" s="77">
        <v>3.2500000000000001E-2</v>
      </c>
      <c r="G101" s="76">
        <f t="shared" si="12"/>
        <v>-462</v>
      </c>
      <c r="H101" s="67">
        <f t="shared" si="10"/>
        <v>-337893.20006100024</v>
      </c>
      <c r="I101" s="75">
        <f t="shared" si="11"/>
        <v>-341826.11522500002</v>
      </c>
    </row>
    <row r="102" spans="1:9" hidden="1" outlineLevel="1" x14ac:dyDescent="0.25">
      <c r="A102" s="71">
        <f t="shared" si="9"/>
        <v>95</v>
      </c>
      <c r="B102" s="66">
        <f>+B101+31</f>
        <v>41632</v>
      </c>
      <c r="D102" s="67">
        <v>-846875.43919399998</v>
      </c>
      <c r="E102" s="98"/>
      <c r="F102" s="77">
        <v>3.2500000000000001E-2</v>
      </c>
      <c r="G102" s="76">
        <f t="shared" si="12"/>
        <v>-2073</v>
      </c>
      <c r="H102" s="67">
        <f t="shared" si="10"/>
        <v>-848948.43919399998</v>
      </c>
      <c r="I102" s="75">
        <f t="shared" si="11"/>
        <v>-1190774.5544189999</v>
      </c>
    </row>
    <row r="103" spans="1:9" hidden="1" outlineLevel="1" x14ac:dyDescent="0.25">
      <c r="A103" s="71">
        <f t="shared" si="9"/>
        <v>96</v>
      </c>
      <c r="B103" s="66">
        <f>+B102+31</f>
        <v>41663</v>
      </c>
      <c r="D103" s="67">
        <v>-756184.22901300003</v>
      </c>
      <c r="E103" s="98"/>
      <c r="F103" s="77">
        <v>3.2500000000000001E-2</v>
      </c>
      <c r="G103" s="76">
        <f t="shared" si="12"/>
        <v>-4249</v>
      </c>
      <c r="H103" s="67">
        <f t="shared" si="10"/>
        <v>-760433.22901300003</v>
      </c>
      <c r="I103" s="75">
        <f t="shared" si="11"/>
        <v>-1951207.7834319999</v>
      </c>
    </row>
    <row r="104" spans="1:9" hidden="1" outlineLevel="1" x14ac:dyDescent="0.25">
      <c r="A104" s="71">
        <f t="shared" si="9"/>
        <v>97</v>
      </c>
      <c r="B104" s="66">
        <f>+B103+28</f>
        <v>41691</v>
      </c>
      <c r="D104" s="67">
        <v>-683962.21309099998</v>
      </c>
      <c r="E104" s="98"/>
      <c r="F104" s="77">
        <v>3.2500000000000001E-2</v>
      </c>
      <c r="G104" s="76">
        <f t="shared" si="12"/>
        <v>-6211</v>
      </c>
      <c r="H104" s="67">
        <f t="shared" si="10"/>
        <v>-690173.21309099998</v>
      </c>
      <c r="I104" s="75">
        <f t="shared" si="11"/>
        <v>-2641380.9965229998</v>
      </c>
    </row>
    <row r="105" spans="1:9" hidden="1" outlineLevel="1" x14ac:dyDescent="0.25">
      <c r="A105" s="71">
        <f t="shared" si="9"/>
        <v>98</v>
      </c>
      <c r="B105" s="66">
        <f>+B104+31</f>
        <v>41722</v>
      </c>
      <c r="D105" s="67">
        <v>-91887.302140000407</v>
      </c>
      <c r="E105" s="98"/>
      <c r="F105" s="77">
        <v>3.2500000000000001E-2</v>
      </c>
      <c r="G105" s="76">
        <f t="shared" si="12"/>
        <v>-7278</v>
      </c>
      <c r="H105" s="67">
        <f t="shared" si="10"/>
        <v>-99165.302140000407</v>
      </c>
      <c r="I105" s="75">
        <f t="shared" si="11"/>
        <v>-2740546.2986630001</v>
      </c>
    </row>
    <row r="106" spans="1:9" hidden="1" outlineLevel="1" x14ac:dyDescent="0.25">
      <c r="A106" s="71">
        <f t="shared" si="9"/>
        <v>99</v>
      </c>
      <c r="B106" s="66">
        <f>+B105+30</f>
        <v>41752</v>
      </c>
      <c r="D106" s="67">
        <v>49849.159867999697</v>
      </c>
      <c r="E106" s="98"/>
      <c r="F106" s="77">
        <v>3.2500000000000001E-2</v>
      </c>
      <c r="G106" s="76">
        <f t="shared" si="12"/>
        <v>-7355</v>
      </c>
      <c r="H106" s="67">
        <f t="shared" si="10"/>
        <v>42494.159867999697</v>
      </c>
      <c r="I106" s="75">
        <f t="shared" si="11"/>
        <v>-2698052.1387950005</v>
      </c>
    </row>
    <row r="107" spans="1:9" hidden="1" outlineLevel="1" x14ac:dyDescent="0.25">
      <c r="A107" s="71">
        <f t="shared" si="9"/>
        <v>100</v>
      </c>
      <c r="B107" s="66">
        <f>+B106+31</f>
        <v>41783</v>
      </c>
      <c r="D107" s="67">
        <v>408132.25133999903</v>
      </c>
      <c r="E107" s="98"/>
      <c r="F107" s="77">
        <v>3.2500000000000001E-2</v>
      </c>
      <c r="G107" s="76">
        <f t="shared" si="12"/>
        <v>-6755</v>
      </c>
      <c r="H107" s="67">
        <f t="shared" si="10"/>
        <v>401377.25133999903</v>
      </c>
      <c r="I107" s="75">
        <f t="shared" si="11"/>
        <v>-2296674.8874550015</v>
      </c>
    </row>
    <row r="108" spans="1:9" hidden="1" outlineLevel="1" x14ac:dyDescent="0.25">
      <c r="A108" s="71">
        <f t="shared" si="9"/>
        <v>101</v>
      </c>
      <c r="B108" s="66">
        <f>+B107+30</f>
        <v>41813</v>
      </c>
      <c r="D108" s="67">
        <v>389577.89226499997</v>
      </c>
      <c r="E108" s="98"/>
      <c r="F108" s="77">
        <v>3.2500000000000001E-2</v>
      </c>
      <c r="G108" s="76">
        <f t="shared" si="12"/>
        <v>-5693</v>
      </c>
      <c r="H108" s="67">
        <f t="shared" si="10"/>
        <v>383884.89226499997</v>
      </c>
      <c r="I108" s="75">
        <f t="shared" si="11"/>
        <v>-1912789.9951900016</v>
      </c>
    </row>
    <row r="109" spans="1:9" hidden="1" outlineLevel="1" x14ac:dyDescent="0.25">
      <c r="A109" s="71">
        <f t="shared" si="9"/>
        <v>102</v>
      </c>
      <c r="B109" s="66">
        <f>+B108+31</f>
        <v>41844</v>
      </c>
      <c r="D109" s="67">
        <v>506837.85</v>
      </c>
      <c r="E109" s="98"/>
      <c r="F109" s="77">
        <v>3.2500000000000001E-2</v>
      </c>
      <c r="G109" s="76">
        <f t="shared" si="12"/>
        <v>-4494</v>
      </c>
      <c r="H109" s="67">
        <f t="shared" ref="H109:H140" si="13">SUM(D109:E109,G109)</f>
        <v>502343.85</v>
      </c>
      <c r="I109" s="75">
        <f t="shared" si="11"/>
        <v>-1410446.1451900015</v>
      </c>
    </row>
    <row r="110" spans="1:9" hidden="1" outlineLevel="1" x14ac:dyDescent="0.25">
      <c r="A110" s="71">
        <f t="shared" si="9"/>
        <v>103</v>
      </c>
      <c r="B110" s="66">
        <f>+B109+31</f>
        <v>41875</v>
      </c>
      <c r="D110" s="67">
        <v>499024.91</v>
      </c>
      <c r="E110" s="98"/>
      <c r="F110" s="77">
        <v>3.2500000000000001E-2</v>
      </c>
      <c r="G110" s="76">
        <f t="shared" si="12"/>
        <v>-3144</v>
      </c>
      <c r="H110" s="67">
        <f t="shared" si="13"/>
        <v>495880.91</v>
      </c>
      <c r="I110" s="75">
        <f t="shared" si="11"/>
        <v>-914565.23519000155</v>
      </c>
    </row>
    <row r="111" spans="1:9" hidden="1" outlineLevel="1" x14ac:dyDescent="0.25">
      <c r="A111" s="71">
        <f t="shared" si="9"/>
        <v>104</v>
      </c>
      <c r="B111" s="66">
        <f>+B110+30</f>
        <v>41905</v>
      </c>
      <c r="D111" s="67">
        <v>460443.67803799955</v>
      </c>
      <c r="E111" s="98"/>
      <c r="F111" s="77">
        <v>3.2500000000000001E-2</v>
      </c>
      <c r="G111" s="76">
        <f t="shared" si="12"/>
        <v>-1853</v>
      </c>
      <c r="H111" s="67">
        <f t="shared" si="13"/>
        <v>458590.67803799955</v>
      </c>
      <c r="I111" s="75">
        <f t="shared" si="11"/>
        <v>-455974.557152002</v>
      </c>
    </row>
    <row r="112" spans="1:9" hidden="1" outlineLevel="1" x14ac:dyDescent="0.25">
      <c r="A112" s="71">
        <f t="shared" si="9"/>
        <v>105</v>
      </c>
      <c r="B112" s="66">
        <f>+B111+31</f>
        <v>41936</v>
      </c>
      <c r="D112" s="67">
        <v>316940.79744399968</v>
      </c>
      <c r="E112" s="98"/>
      <c r="F112" s="77">
        <v>3.2500000000000001E-2</v>
      </c>
      <c r="G112" s="76">
        <f t="shared" si="12"/>
        <v>-806</v>
      </c>
      <c r="H112" s="67">
        <f t="shared" si="13"/>
        <v>316134.79744399968</v>
      </c>
      <c r="I112" s="75">
        <f t="shared" si="11"/>
        <v>-139839.75970800233</v>
      </c>
    </row>
    <row r="113" spans="1:13" hidden="1" outlineLevel="1" x14ac:dyDescent="0.25">
      <c r="A113" s="71">
        <f t="shared" si="9"/>
        <v>106</v>
      </c>
      <c r="B113" s="66">
        <f>+B112+30</f>
        <v>41966</v>
      </c>
      <c r="C113" s="87">
        <v>1</v>
      </c>
      <c r="D113" s="67">
        <v>-278465.84999999998</v>
      </c>
      <c r="E113" s="98">
        <v>919526.23519000201</v>
      </c>
      <c r="F113" s="77">
        <v>3.2500000000000001E-2</v>
      </c>
      <c r="G113" s="76">
        <f t="shared" si="12"/>
        <v>1735</v>
      </c>
      <c r="H113" s="67">
        <f t="shared" si="13"/>
        <v>642795.38519000204</v>
      </c>
      <c r="I113" s="75">
        <f t="shared" si="11"/>
        <v>502955.62548199971</v>
      </c>
    </row>
    <row r="114" spans="1:13" hidden="1" outlineLevel="1" x14ac:dyDescent="0.25">
      <c r="A114" s="71">
        <f t="shared" si="9"/>
        <v>107</v>
      </c>
      <c r="B114" s="66">
        <f>+B113+31</f>
        <v>41997</v>
      </c>
      <c r="D114" s="67">
        <v>-425694.98</v>
      </c>
      <c r="E114" s="98"/>
      <c r="F114" s="77">
        <v>3.2500000000000001E-2</v>
      </c>
      <c r="G114" s="76">
        <f t="shared" si="12"/>
        <v>786</v>
      </c>
      <c r="H114" s="67">
        <f t="shared" si="13"/>
        <v>-424908.98</v>
      </c>
      <c r="I114" s="75">
        <f t="shared" si="11"/>
        <v>78046.645481999731</v>
      </c>
    </row>
    <row r="115" spans="1:13" hidden="1" outlineLevel="1" x14ac:dyDescent="0.25">
      <c r="A115" s="71">
        <f t="shared" si="9"/>
        <v>108</v>
      </c>
      <c r="B115" s="66">
        <f>+B114+31</f>
        <v>42028</v>
      </c>
      <c r="D115" s="67">
        <v>-446439</v>
      </c>
      <c r="E115" s="98"/>
      <c r="F115" s="77">
        <v>3.2500000000000001E-2</v>
      </c>
      <c r="G115" s="76">
        <f t="shared" si="12"/>
        <v>-393</v>
      </c>
      <c r="H115" s="67">
        <f t="shared" si="13"/>
        <v>-446832</v>
      </c>
      <c r="I115" s="75">
        <f t="shared" si="11"/>
        <v>-368785.35451800027</v>
      </c>
    </row>
    <row r="116" spans="1:13" hidden="1" outlineLevel="1" x14ac:dyDescent="0.25">
      <c r="A116" s="71">
        <f t="shared" si="9"/>
        <v>109</v>
      </c>
      <c r="B116" s="66">
        <f>+B115+28</f>
        <v>42056</v>
      </c>
      <c r="D116" s="67">
        <v>-86937</v>
      </c>
      <c r="E116" s="98"/>
      <c r="F116" s="77">
        <v>3.2500000000000001E-2</v>
      </c>
      <c r="G116" s="76">
        <f t="shared" si="12"/>
        <v>-1117</v>
      </c>
      <c r="H116" s="67">
        <f t="shared" si="13"/>
        <v>-88054</v>
      </c>
      <c r="I116" s="75">
        <f t="shared" si="11"/>
        <v>-456839.35451800027</v>
      </c>
    </row>
    <row r="117" spans="1:13" hidden="1" outlineLevel="1" x14ac:dyDescent="0.25">
      <c r="A117" s="71">
        <f t="shared" si="9"/>
        <v>110</v>
      </c>
      <c r="B117" s="66">
        <f>+B116+31</f>
        <v>42087</v>
      </c>
      <c r="D117" s="67">
        <v>78687</v>
      </c>
      <c r="E117" s="98"/>
      <c r="F117" s="77">
        <v>3.2500000000000001E-2</v>
      </c>
      <c r="G117" s="76">
        <f t="shared" si="12"/>
        <v>-1131</v>
      </c>
      <c r="H117" s="67">
        <f t="shared" si="13"/>
        <v>77556</v>
      </c>
      <c r="I117" s="75">
        <f t="shared" si="11"/>
        <v>-379283.35451800027</v>
      </c>
    </row>
    <row r="118" spans="1:13" hidden="1" outlineLevel="1" x14ac:dyDescent="0.25">
      <c r="A118" s="71">
        <f t="shared" si="9"/>
        <v>111</v>
      </c>
      <c r="B118" s="66">
        <f>+B117+30</f>
        <v>42117</v>
      </c>
      <c r="D118" s="67">
        <v>91316</v>
      </c>
      <c r="E118" s="98"/>
      <c r="F118" s="77">
        <v>3.2500000000000001E-2</v>
      </c>
      <c r="G118" s="76">
        <f t="shared" si="12"/>
        <v>-904</v>
      </c>
      <c r="H118" s="67">
        <f t="shared" si="13"/>
        <v>90412</v>
      </c>
      <c r="I118" s="75">
        <f t="shared" si="11"/>
        <v>-288871.35451800027</v>
      </c>
    </row>
    <row r="119" spans="1:13" hidden="1" outlineLevel="1" x14ac:dyDescent="0.25">
      <c r="A119" s="71">
        <f t="shared" si="9"/>
        <v>112</v>
      </c>
      <c r="B119" s="66">
        <f>+B118+31</f>
        <v>42148</v>
      </c>
      <c r="D119" s="67">
        <v>353386.63</v>
      </c>
      <c r="E119" s="98"/>
      <c r="F119" s="77">
        <v>3.2500000000000001E-2</v>
      </c>
      <c r="G119" s="76">
        <f t="shared" si="12"/>
        <v>-304</v>
      </c>
      <c r="H119" s="67">
        <f t="shared" si="13"/>
        <v>353082.63</v>
      </c>
      <c r="I119" s="75">
        <f t="shared" si="11"/>
        <v>64211.275481999735</v>
      </c>
    </row>
    <row r="120" spans="1:13" hidden="1" outlineLevel="1" x14ac:dyDescent="0.25">
      <c r="A120" s="71">
        <f t="shared" si="9"/>
        <v>113</v>
      </c>
      <c r="B120" s="66">
        <f>+B119+30</f>
        <v>42178</v>
      </c>
      <c r="D120" s="67">
        <v>457277.61</v>
      </c>
      <c r="E120" s="98"/>
      <c r="F120" s="77">
        <v>3.2500000000000001E-2</v>
      </c>
      <c r="G120" s="76">
        <f t="shared" si="12"/>
        <v>793</v>
      </c>
      <c r="H120" s="67">
        <f t="shared" si="13"/>
        <v>458070.61</v>
      </c>
      <c r="I120" s="75">
        <f t="shared" ref="I120:I151" si="14">+I119+H120</f>
        <v>522281.88548199972</v>
      </c>
    </row>
    <row r="121" spans="1:13" hidden="1" outlineLevel="1" x14ac:dyDescent="0.25">
      <c r="A121" s="71">
        <f t="shared" si="9"/>
        <v>114</v>
      </c>
      <c r="B121" s="66">
        <f>+B120+31</f>
        <v>42209</v>
      </c>
      <c r="D121" s="67">
        <v>475905</v>
      </c>
      <c r="E121" s="98"/>
      <c r="F121" s="77">
        <v>3.2500000000000001E-2</v>
      </c>
      <c r="G121" s="76">
        <f t="shared" si="12"/>
        <v>2059</v>
      </c>
      <c r="H121" s="67">
        <f t="shared" si="13"/>
        <v>477964</v>
      </c>
      <c r="I121" s="75">
        <f t="shared" si="14"/>
        <v>1000245.8854819997</v>
      </c>
      <c r="L121" s="116"/>
      <c r="M121" s="78"/>
    </row>
    <row r="122" spans="1:13" hidden="1" outlineLevel="1" x14ac:dyDescent="0.25">
      <c r="A122" s="71">
        <f t="shared" si="9"/>
        <v>115</v>
      </c>
      <c r="B122" s="66">
        <f>+B121+31</f>
        <v>42240</v>
      </c>
      <c r="D122" s="67">
        <v>494175.64</v>
      </c>
      <c r="E122" s="98">
        <v>2.11</v>
      </c>
      <c r="F122" s="77">
        <v>3.2500000000000001E-2</v>
      </c>
      <c r="G122" s="76">
        <f t="shared" ref="G122:G153" si="15">ROUND((+I121+E122+(D122/2))*F122/12,2)</f>
        <v>3378.2</v>
      </c>
      <c r="H122" s="67">
        <f t="shared" si="13"/>
        <v>497555.95</v>
      </c>
      <c r="I122" s="75">
        <f t="shared" si="14"/>
        <v>1497801.8354819997</v>
      </c>
      <c r="L122" s="75"/>
    </row>
    <row r="123" spans="1:13" hidden="1" outlineLevel="1" x14ac:dyDescent="0.25">
      <c r="A123" s="71">
        <f t="shared" si="9"/>
        <v>116</v>
      </c>
      <c r="B123" s="66">
        <f>+B122+30</f>
        <v>42270</v>
      </c>
      <c r="C123" s="87">
        <v>2</v>
      </c>
      <c r="D123" s="67">
        <v>360081.47177800012</v>
      </c>
      <c r="E123" s="98">
        <f>-318107-5392.05</f>
        <v>-323499.05</v>
      </c>
      <c r="F123" s="77">
        <v>3.2500000000000001E-2</v>
      </c>
      <c r="G123" s="76">
        <f t="shared" si="15"/>
        <v>3668.01</v>
      </c>
      <c r="H123" s="67">
        <f t="shared" si="13"/>
        <v>40250.431778000137</v>
      </c>
      <c r="I123" s="75">
        <f t="shared" si="14"/>
        <v>1538052.2672599999</v>
      </c>
    </row>
    <row r="124" spans="1:13" hidden="1" outlineLevel="1" x14ac:dyDescent="0.25">
      <c r="A124" s="71">
        <f t="shared" si="9"/>
        <v>117</v>
      </c>
      <c r="B124" s="66">
        <f>+B123+31</f>
        <v>42301</v>
      </c>
      <c r="C124" s="89"/>
      <c r="D124" s="67">
        <v>304876.87122400012</v>
      </c>
      <c r="E124" s="98"/>
      <c r="F124" s="77">
        <v>3.2500000000000001E-2</v>
      </c>
      <c r="G124" s="76">
        <f t="shared" si="15"/>
        <v>4578.41</v>
      </c>
      <c r="H124" s="67">
        <f t="shared" si="13"/>
        <v>309455.28122400009</v>
      </c>
      <c r="I124" s="75">
        <f t="shared" si="14"/>
        <v>1847507.5484839999</v>
      </c>
    </row>
    <row r="125" spans="1:13" hidden="1" outlineLevel="1" x14ac:dyDescent="0.25">
      <c r="A125" s="71">
        <f t="shared" si="9"/>
        <v>118</v>
      </c>
      <c r="B125" s="66">
        <f>B124+30</f>
        <v>42331</v>
      </c>
      <c r="C125" s="87">
        <v>1</v>
      </c>
      <c r="D125" s="67">
        <v>-273627.84000000003</v>
      </c>
      <c r="E125" s="98">
        <f>-1505925.8</f>
        <v>-1505925.8</v>
      </c>
      <c r="F125" s="77">
        <v>3.2500000000000001E-2</v>
      </c>
      <c r="G125" s="76">
        <f t="shared" si="15"/>
        <v>554.58000000000004</v>
      </c>
      <c r="H125" s="67">
        <f t="shared" si="13"/>
        <v>-1778999.06</v>
      </c>
      <c r="I125" s="75">
        <f t="shared" si="14"/>
        <v>68508.488483999856</v>
      </c>
    </row>
    <row r="126" spans="1:13" hidden="1" outlineLevel="1" x14ac:dyDescent="0.25">
      <c r="A126" s="71">
        <f t="shared" si="9"/>
        <v>119</v>
      </c>
      <c r="B126" s="66">
        <f>B125+31</f>
        <v>42362</v>
      </c>
      <c r="C126" s="89"/>
      <c r="D126" s="67">
        <v>-517590</v>
      </c>
      <c r="E126" s="98"/>
      <c r="F126" s="77">
        <v>3.2500000000000001E-2</v>
      </c>
      <c r="G126" s="76">
        <f t="shared" si="15"/>
        <v>-515.36</v>
      </c>
      <c r="H126" s="67">
        <f t="shared" si="13"/>
        <v>-518105.36</v>
      </c>
      <c r="I126" s="75">
        <f t="shared" si="14"/>
        <v>-449596.87151600013</v>
      </c>
    </row>
    <row r="127" spans="1:13" hidden="1" outlineLevel="1" x14ac:dyDescent="0.25">
      <c r="A127" s="71">
        <f t="shared" si="9"/>
        <v>120</v>
      </c>
      <c r="B127" s="66">
        <f>B126+31</f>
        <v>42393</v>
      </c>
      <c r="C127" s="89"/>
      <c r="D127" s="67">
        <v>-573045.11</v>
      </c>
      <c r="E127" s="98"/>
      <c r="F127" s="77">
        <v>3.2500000000000001E-2</v>
      </c>
      <c r="G127" s="76">
        <f t="shared" si="15"/>
        <v>-1993.66</v>
      </c>
      <c r="H127" s="67">
        <f t="shared" si="13"/>
        <v>-575038.77</v>
      </c>
      <c r="I127" s="75">
        <f t="shared" si="14"/>
        <v>-1024635.6415160001</v>
      </c>
    </row>
    <row r="128" spans="1:13" hidden="1" outlineLevel="1" x14ac:dyDescent="0.25">
      <c r="A128" s="71">
        <f t="shared" si="9"/>
        <v>121</v>
      </c>
      <c r="B128" s="66">
        <f>B127+29</f>
        <v>42422</v>
      </c>
      <c r="C128" s="89"/>
      <c r="D128" s="67">
        <v>-218572.97</v>
      </c>
      <c r="E128" s="98"/>
      <c r="F128" s="77">
        <v>3.2500000000000001E-2</v>
      </c>
      <c r="G128" s="76">
        <f t="shared" si="15"/>
        <v>-3071.04</v>
      </c>
      <c r="H128" s="67">
        <f t="shared" si="13"/>
        <v>-221644.01</v>
      </c>
      <c r="I128" s="75">
        <f t="shared" si="14"/>
        <v>-1246279.6515160003</v>
      </c>
    </row>
    <row r="129" spans="1:13" hidden="1" outlineLevel="1" x14ac:dyDescent="0.25">
      <c r="A129" s="71">
        <f t="shared" si="9"/>
        <v>122</v>
      </c>
      <c r="B129" s="66">
        <f>B128+31</f>
        <v>42453</v>
      </c>
      <c r="C129" s="89"/>
      <c r="D129" s="67">
        <v>-103871.33</v>
      </c>
      <c r="E129" s="98"/>
      <c r="F129" s="77">
        <v>3.2500000000000001E-2</v>
      </c>
      <c r="G129" s="76">
        <f t="shared" si="15"/>
        <v>-3516</v>
      </c>
      <c r="H129" s="67">
        <f t="shared" si="13"/>
        <v>-107387.33</v>
      </c>
      <c r="I129" s="75">
        <f t="shared" si="14"/>
        <v>-1353666.9815160003</v>
      </c>
    </row>
    <row r="130" spans="1:13" hidden="1" outlineLevel="1" x14ac:dyDescent="0.25">
      <c r="A130" s="71">
        <f t="shared" si="9"/>
        <v>123</v>
      </c>
      <c r="B130" s="66">
        <f>B129+30</f>
        <v>42483</v>
      </c>
      <c r="C130" s="89"/>
      <c r="D130" s="67">
        <v>212761.91</v>
      </c>
      <c r="E130" s="98"/>
      <c r="F130" s="77">
        <v>3.4599999999999999E-2</v>
      </c>
      <c r="G130" s="76">
        <f t="shared" si="15"/>
        <v>-3596.34</v>
      </c>
      <c r="H130" s="67">
        <f t="shared" si="13"/>
        <v>209165.57</v>
      </c>
      <c r="I130" s="75">
        <f t="shared" si="14"/>
        <v>-1144501.4115160003</v>
      </c>
    </row>
    <row r="131" spans="1:13" hidden="1" outlineLevel="1" x14ac:dyDescent="0.25">
      <c r="A131" s="71">
        <f t="shared" si="9"/>
        <v>124</v>
      </c>
      <c r="B131" s="66">
        <f>B130+31</f>
        <v>42514</v>
      </c>
      <c r="C131" s="89"/>
      <c r="D131" s="67">
        <v>414493.24</v>
      </c>
      <c r="E131" s="98"/>
      <c r="F131" s="77">
        <v>3.4599999999999999E-2</v>
      </c>
      <c r="G131" s="76">
        <f t="shared" si="15"/>
        <v>-2702.42</v>
      </c>
      <c r="H131" s="67">
        <f t="shared" si="13"/>
        <v>411790.82</v>
      </c>
      <c r="I131" s="75">
        <f t="shared" si="14"/>
        <v>-732710.59151600022</v>
      </c>
    </row>
    <row r="132" spans="1:13" hidden="1" outlineLevel="1" x14ac:dyDescent="0.25">
      <c r="A132" s="71">
        <f t="shared" si="9"/>
        <v>125</v>
      </c>
      <c r="B132" s="66">
        <f>B131+30</f>
        <v>42544</v>
      </c>
      <c r="C132" s="89"/>
      <c r="D132" s="67">
        <v>343147.08</v>
      </c>
      <c r="E132" s="98"/>
      <c r="F132" s="77">
        <v>3.4599999999999999E-2</v>
      </c>
      <c r="G132" s="76">
        <f t="shared" si="15"/>
        <v>-1617.95</v>
      </c>
      <c r="H132" s="67">
        <f t="shared" si="13"/>
        <v>341529.13</v>
      </c>
      <c r="I132" s="75">
        <f t="shared" si="14"/>
        <v>-391181.46151600021</v>
      </c>
    </row>
    <row r="133" spans="1:13" hidden="1" outlineLevel="1" x14ac:dyDescent="0.25">
      <c r="A133" s="71">
        <f t="shared" si="9"/>
        <v>126</v>
      </c>
      <c r="B133" s="66">
        <f>B132+31</f>
        <v>42575</v>
      </c>
      <c r="C133" s="89"/>
      <c r="D133" s="67">
        <v>439322.75</v>
      </c>
      <c r="E133" s="98"/>
      <c r="F133" s="77">
        <v>3.5000000000000003E-2</v>
      </c>
      <c r="G133" s="76">
        <f t="shared" si="15"/>
        <v>-500.27</v>
      </c>
      <c r="H133" s="67">
        <f t="shared" si="13"/>
        <v>438822.48</v>
      </c>
      <c r="I133" s="75">
        <f t="shared" si="14"/>
        <v>47641.018483999767</v>
      </c>
    </row>
    <row r="134" spans="1:13" hidden="1" outlineLevel="1" x14ac:dyDescent="0.25">
      <c r="A134" s="71">
        <f t="shared" si="9"/>
        <v>127</v>
      </c>
      <c r="B134" s="66">
        <f>B133+31</f>
        <v>42606</v>
      </c>
      <c r="C134" s="89"/>
      <c r="D134" s="67">
        <v>456951.23739560001</v>
      </c>
      <c r="E134" s="98"/>
      <c r="F134" s="77">
        <v>3.5000000000000003E-2</v>
      </c>
      <c r="G134" s="76">
        <f t="shared" si="15"/>
        <v>805.34</v>
      </c>
      <c r="H134" s="67">
        <f t="shared" si="13"/>
        <v>457756.57739560003</v>
      </c>
      <c r="I134" s="75">
        <f t="shared" si="14"/>
        <v>505397.5958795998</v>
      </c>
      <c r="L134" s="86"/>
      <c r="M134" s="86"/>
    </row>
    <row r="135" spans="1:13" hidden="1" outlineLevel="1" x14ac:dyDescent="0.25">
      <c r="A135" s="71">
        <f t="shared" si="9"/>
        <v>128</v>
      </c>
      <c r="B135" s="66">
        <f>B134+30</f>
        <v>42636</v>
      </c>
      <c r="D135" s="67">
        <v>376258.76</v>
      </c>
      <c r="E135" s="98"/>
      <c r="F135" s="77">
        <v>3.5000000000000003E-2</v>
      </c>
      <c r="G135" s="76">
        <f t="shared" si="15"/>
        <v>2022.79</v>
      </c>
      <c r="H135" s="67">
        <f t="shared" si="13"/>
        <v>378281.55</v>
      </c>
      <c r="I135" s="75">
        <f t="shared" si="14"/>
        <v>883679.14587959973</v>
      </c>
    </row>
    <row r="136" spans="1:13" hidden="1" outlineLevel="1" x14ac:dyDescent="0.25">
      <c r="A136" s="71">
        <f t="shared" si="9"/>
        <v>129</v>
      </c>
      <c r="B136" s="66">
        <f>B135+31</f>
        <v>42667</v>
      </c>
      <c r="D136" s="67">
        <v>173597.52</v>
      </c>
      <c r="E136" s="98"/>
      <c r="F136" s="77">
        <v>3.5000000000000003E-2</v>
      </c>
      <c r="G136" s="76">
        <f t="shared" si="15"/>
        <v>2830.56</v>
      </c>
      <c r="H136" s="67">
        <f t="shared" si="13"/>
        <v>176428.08</v>
      </c>
      <c r="I136" s="75">
        <f t="shared" si="14"/>
        <v>1060107.2258795998</v>
      </c>
    </row>
    <row r="137" spans="1:13" hidden="1" outlineLevel="1" x14ac:dyDescent="0.25">
      <c r="A137" s="71">
        <f t="shared" ref="A137:A200" si="16">+A136+1</f>
        <v>130</v>
      </c>
      <c r="B137" s="82">
        <f>B136+30</f>
        <v>42697</v>
      </c>
      <c r="C137" s="87">
        <v>1</v>
      </c>
      <c r="D137" s="67">
        <v>-34090.792599199689</v>
      </c>
      <c r="E137" s="98">
        <v>-508349.64</v>
      </c>
      <c r="F137" s="77">
        <v>3.5000000000000003E-2</v>
      </c>
      <c r="G137" s="76">
        <f t="shared" si="15"/>
        <v>1559.58</v>
      </c>
      <c r="H137" s="67">
        <f t="shared" si="13"/>
        <v>-540880.85259919974</v>
      </c>
      <c r="I137" s="75">
        <f t="shared" si="14"/>
        <v>519226.37328040006</v>
      </c>
    </row>
    <row r="138" spans="1:13" hidden="1" outlineLevel="1" x14ac:dyDescent="0.25">
      <c r="A138" s="71">
        <f t="shared" si="16"/>
        <v>131</v>
      </c>
      <c r="B138" s="82">
        <f t="shared" ref="B138:B150" si="17">B137+31</f>
        <v>42728</v>
      </c>
      <c r="C138" s="108"/>
      <c r="D138" s="67">
        <v>-902608.8633995998</v>
      </c>
      <c r="E138" s="98"/>
      <c r="F138" s="77">
        <v>3.5000000000000003E-2</v>
      </c>
      <c r="G138" s="76">
        <f t="shared" si="15"/>
        <v>198.11</v>
      </c>
      <c r="H138" s="67">
        <f t="shared" si="13"/>
        <v>-902410.75339959981</v>
      </c>
      <c r="I138" s="75">
        <f t="shared" si="14"/>
        <v>-383184.38011919975</v>
      </c>
    </row>
    <row r="139" spans="1:13" hidden="1" outlineLevel="1" x14ac:dyDescent="0.25">
      <c r="A139" s="71">
        <f t="shared" si="16"/>
        <v>132</v>
      </c>
      <c r="B139" s="82">
        <f t="shared" si="17"/>
        <v>42759</v>
      </c>
      <c r="C139" s="108"/>
      <c r="D139" s="67">
        <v>-1177911.3488843997</v>
      </c>
      <c r="E139" s="98"/>
      <c r="F139" s="77">
        <v>3.5000000000000003E-2</v>
      </c>
      <c r="G139" s="76">
        <f t="shared" si="15"/>
        <v>-2835.41</v>
      </c>
      <c r="H139" s="67">
        <f t="shared" si="13"/>
        <v>-1180746.7588843997</v>
      </c>
      <c r="I139" s="75">
        <f t="shared" si="14"/>
        <v>-1563931.1390035995</v>
      </c>
    </row>
    <row r="140" spans="1:13" hidden="1" outlineLevel="1" x14ac:dyDescent="0.25">
      <c r="A140" s="71">
        <f t="shared" si="16"/>
        <v>133</v>
      </c>
      <c r="B140" s="82">
        <f t="shared" si="17"/>
        <v>42790</v>
      </c>
      <c r="C140" s="108"/>
      <c r="D140" s="67">
        <v>-591296.5696503995</v>
      </c>
      <c r="E140" s="98"/>
      <c r="F140" s="77">
        <v>3.5000000000000003E-2</v>
      </c>
      <c r="G140" s="76">
        <f t="shared" si="15"/>
        <v>-5423.77</v>
      </c>
      <c r="H140" s="67">
        <f t="shared" si="13"/>
        <v>-596720.33965039952</v>
      </c>
      <c r="I140" s="75">
        <f t="shared" si="14"/>
        <v>-2160651.478653999</v>
      </c>
    </row>
    <row r="141" spans="1:13" hidden="1" outlineLevel="1" x14ac:dyDescent="0.25">
      <c r="A141" s="71">
        <f t="shared" si="16"/>
        <v>134</v>
      </c>
      <c r="B141" s="82">
        <f t="shared" si="17"/>
        <v>42821</v>
      </c>
      <c r="C141" s="108"/>
      <c r="D141" s="67">
        <v>-313110.60514879972</v>
      </c>
      <c r="E141" s="98"/>
      <c r="F141" s="77">
        <v>3.5000000000000003E-2</v>
      </c>
      <c r="G141" s="76">
        <f t="shared" si="15"/>
        <v>-6758.52</v>
      </c>
      <c r="H141" s="67">
        <f t="shared" ref="H141:H172" si="18">SUM(D141:E141,G141)</f>
        <v>-319869.12514879974</v>
      </c>
      <c r="I141" s="75">
        <f t="shared" si="14"/>
        <v>-2480520.6038027988</v>
      </c>
    </row>
    <row r="142" spans="1:13" hidden="1" outlineLevel="1" x14ac:dyDescent="0.25">
      <c r="A142" s="71">
        <f t="shared" si="16"/>
        <v>135</v>
      </c>
      <c r="B142" s="82">
        <f t="shared" si="17"/>
        <v>42852</v>
      </c>
      <c r="C142" s="108"/>
      <c r="D142" s="67">
        <v>-38832.131575999781</v>
      </c>
      <c r="E142" s="98"/>
      <c r="F142" s="77">
        <v>3.7100000000000001E-2</v>
      </c>
      <c r="G142" s="76">
        <f t="shared" si="15"/>
        <v>-7728.97</v>
      </c>
      <c r="H142" s="67">
        <f t="shared" si="18"/>
        <v>-46561.101575999783</v>
      </c>
      <c r="I142" s="75">
        <f t="shared" si="14"/>
        <v>-2527081.7053787988</v>
      </c>
    </row>
    <row r="143" spans="1:13" hidden="1" outlineLevel="1" x14ac:dyDescent="0.25">
      <c r="A143" s="71">
        <f t="shared" si="16"/>
        <v>136</v>
      </c>
      <c r="B143" s="82">
        <f t="shared" si="17"/>
        <v>42883</v>
      </c>
      <c r="C143" s="108"/>
      <c r="D143" s="67">
        <v>257065.47580360033</v>
      </c>
      <c r="E143" s="98"/>
      <c r="F143" s="77">
        <v>3.7100000000000001E-2</v>
      </c>
      <c r="G143" s="76">
        <f t="shared" si="15"/>
        <v>-7415.51</v>
      </c>
      <c r="H143" s="67">
        <f t="shared" si="18"/>
        <v>249649.96580360032</v>
      </c>
      <c r="I143" s="75">
        <f t="shared" si="14"/>
        <v>-2277431.7395751984</v>
      </c>
    </row>
    <row r="144" spans="1:13" hidden="1" outlineLevel="1" x14ac:dyDescent="0.25">
      <c r="A144" s="71">
        <f t="shared" si="16"/>
        <v>137</v>
      </c>
      <c r="B144" s="82">
        <f t="shared" si="17"/>
        <v>42914</v>
      </c>
      <c r="C144" s="108"/>
      <c r="D144" s="67">
        <v>355710.73961600038</v>
      </c>
      <c r="E144" s="98"/>
      <c r="F144" s="77">
        <v>3.7100000000000001E-2</v>
      </c>
      <c r="G144" s="76">
        <f t="shared" si="15"/>
        <v>-6491.19</v>
      </c>
      <c r="H144" s="67">
        <f t="shared" si="18"/>
        <v>349219.54961600038</v>
      </c>
      <c r="I144" s="75">
        <f t="shared" si="14"/>
        <v>-1928212.189959198</v>
      </c>
    </row>
    <row r="145" spans="1:9" hidden="1" outlineLevel="1" x14ac:dyDescent="0.25">
      <c r="A145" s="71">
        <f t="shared" si="16"/>
        <v>138</v>
      </c>
      <c r="B145" s="82">
        <f t="shared" si="17"/>
        <v>42945</v>
      </c>
      <c r="C145" s="108"/>
      <c r="D145" s="67">
        <v>419621.6981724003</v>
      </c>
      <c r="E145" s="98"/>
      <c r="F145" s="77">
        <v>3.9600000000000003E-2</v>
      </c>
      <c r="G145" s="76">
        <f t="shared" si="15"/>
        <v>-5670.72</v>
      </c>
      <c r="H145" s="67">
        <f t="shared" si="18"/>
        <v>413950.97817240033</v>
      </c>
      <c r="I145" s="75">
        <f t="shared" si="14"/>
        <v>-1514261.2117867977</v>
      </c>
    </row>
    <row r="146" spans="1:9" hidden="1" outlineLevel="1" x14ac:dyDescent="0.25">
      <c r="A146" s="71">
        <f t="shared" si="16"/>
        <v>139</v>
      </c>
      <c r="B146" s="82">
        <f t="shared" si="17"/>
        <v>42976</v>
      </c>
      <c r="C146" s="108"/>
      <c r="D146" s="67">
        <v>461347.80083680036</v>
      </c>
      <c r="E146" s="98"/>
      <c r="F146" s="77">
        <v>3.9600000000000003E-2</v>
      </c>
      <c r="G146" s="76">
        <f t="shared" si="15"/>
        <v>-4235.84</v>
      </c>
      <c r="H146" s="67">
        <f t="shared" si="18"/>
        <v>457111.96083680034</v>
      </c>
      <c r="I146" s="75">
        <f t="shared" si="14"/>
        <v>-1057149.2509499975</v>
      </c>
    </row>
    <row r="147" spans="1:9" hidden="1" outlineLevel="1" x14ac:dyDescent="0.25">
      <c r="A147" s="71">
        <f t="shared" si="16"/>
        <v>140</v>
      </c>
      <c r="B147" s="82">
        <f t="shared" si="17"/>
        <v>43007</v>
      </c>
      <c r="C147" s="108"/>
      <c r="D147" s="67">
        <v>390949.93206280039</v>
      </c>
      <c r="E147" s="98"/>
      <c r="F147" s="77">
        <v>3.9600000000000003E-2</v>
      </c>
      <c r="G147" s="76">
        <f t="shared" si="15"/>
        <v>-2843.53</v>
      </c>
      <c r="H147" s="67">
        <f t="shared" si="18"/>
        <v>388106.40206280036</v>
      </c>
      <c r="I147" s="75">
        <f t="shared" si="14"/>
        <v>-669042.84888719709</v>
      </c>
    </row>
    <row r="148" spans="1:9" hidden="1" outlineLevel="1" x14ac:dyDescent="0.25">
      <c r="A148" s="71">
        <f t="shared" si="16"/>
        <v>141</v>
      </c>
      <c r="B148" s="82">
        <f t="shared" si="17"/>
        <v>43038</v>
      </c>
      <c r="C148" s="108"/>
      <c r="D148" s="67">
        <v>81093.975094000343</v>
      </c>
      <c r="E148" s="98"/>
      <c r="F148" s="77">
        <v>4.2099999999999999E-2</v>
      </c>
      <c r="G148" s="76">
        <f t="shared" si="15"/>
        <v>-2204.9699999999998</v>
      </c>
      <c r="H148" s="67">
        <f t="shared" si="18"/>
        <v>78889.005094000342</v>
      </c>
      <c r="I148" s="75">
        <f t="shared" si="14"/>
        <v>-590153.84379319672</v>
      </c>
    </row>
    <row r="149" spans="1:9" hidden="1" outlineLevel="1" x14ac:dyDescent="0.25">
      <c r="A149" s="71">
        <f t="shared" si="16"/>
        <v>142</v>
      </c>
      <c r="B149" s="82">
        <f t="shared" si="17"/>
        <v>43069</v>
      </c>
      <c r="C149" s="87">
        <v>1</v>
      </c>
      <c r="D149" s="67">
        <v>-264663.82199020032</v>
      </c>
      <c r="E149" s="98">
        <v>1064137.94</v>
      </c>
      <c r="F149" s="77">
        <v>4.2099999999999999E-2</v>
      </c>
      <c r="G149" s="76">
        <f t="shared" si="15"/>
        <v>1198.6300000000001</v>
      </c>
      <c r="H149" s="67">
        <f t="shared" si="18"/>
        <v>800672.74800979963</v>
      </c>
      <c r="I149" s="75">
        <f t="shared" si="14"/>
        <v>210518.90421660291</v>
      </c>
    </row>
    <row r="150" spans="1:9" hidden="1" outlineLevel="1" x14ac:dyDescent="0.25">
      <c r="A150" s="71">
        <f t="shared" si="16"/>
        <v>143</v>
      </c>
      <c r="B150" s="82">
        <f t="shared" si="17"/>
        <v>43100</v>
      </c>
      <c r="C150" s="108"/>
      <c r="D150" s="67">
        <v>-828194.38106480031</v>
      </c>
      <c r="E150" s="98"/>
      <c r="F150" s="77">
        <v>4.2099999999999999E-2</v>
      </c>
      <c r="G150" s="76">
        <f t="shared" si="15"/>
        <v>-714.22</v>
      </c>
      <c r="H150" s="67">
        <f t="shared" si="18"/>
        <v>-828908.60106480028</v>
      </c>
      <c r="I150" s="75">
        <f t="shared" si="14"/>
        <v>-618389.69684819737</v>
      </c>
    </row>
    <row r="151" spans="1:9" hidden="1" outlineLevel="1" x14ac:dyDescent="0.25">
      <c r="A151" s="71">
        <f t="shared" si="16"/>
        <v>144</v>
      </c>
      <c r="B151" s="82">
        <v>43101</v>
      </c>
      <c r="C151" s="108"/>
      <c r="D151" s="67">
        <v>-526982.84339700022</v>
      </c>
      <c r="E151" s="98"/>
      <c r="F151" s="77">
        <v>4.2500000000000003E-2</v>
      </c>
      <c r="G151" s="76">
        <f t="shared" si="15"/>
        <v>-3123.33</v>
      </c>
      <c r="H151" s="67">
        <f t="shared" si="18"/>
        <v>-530106.17339700018</v>
      </c>
      <c r="I151" s="75">
        <f t="shared" si="14"/>
        <v>-1148495.8702451976</v>
      </c>
    </row>
    <row r="152" spans="1:9" hidden="1" outlineLevel="1" x14ac:dyDescent="0.25">
      <c r="A152" s="71">
        <f t="shared" si="16"/>
        <v>145</v>
      </c>
      <c r="B152" s="82">
        <v>43132</v>
      </c>
      <c r="C152" s="108"/>
      <c r="D152" s="67">
        <v>-568632.19156980002</v>
      </c>
      <c r="E152" s="98"/>
      <c r="F152" s="77">
        <v>4.2500000000000003E-2</v>
      </c>
      <c r="G152" s="76">
        <f t="shared" si="15"/>
        <v>-5074.54</v>
      </c>
      <c r="H152" s="67">
        <f t="shared" si="18"/>
        <v>-573706.73156980006</v>
      </c>
      <c r="I152" s="75">
        <f t="shared" ref="I152:I183" si="19">+I151+H152</f>
        <v>-1722202.6018149976</v>
      </c>
    </row>
    <row r="153" spans="1:9" hidden="1" outlineLevel="1" x14ac:dyDescent="0.25">
      <c r="A153" s="71">
        <f t="shared" si="16"/>
        <v>146</v>
      </c>
      <c r="B153" s="82">
        <v>43160</v>
      </c>
      <c r="C153" s="108"/>
      <c r="D153" s="67">
        <v>-317816.13382440025</v>
      </c>
      <c r="E153" s="98"/>
      <c r="F153" s="77">
        <v>4.2500000000000003E-2</v>
      </c>
      <c r="G153" s="76">
        <f t="shared" si="15"/>
        <v>-6662.27</v>
      </c>
      <c r="H153" s="67">
        <f t="shared" si="18"/>
        <v>-324478.40382440027</v>
      </c>
      <c r="I153" s="75">
        <f t="shared" si="19"/>
        <v>-2046681.005639398</v>
      </c>
    </row>
    <row r="154" spans="1:9" hidden="1" outlineLevel="1" x14ac:dyDescent="0.25">
      <c r="A154" s="71">
        <f t="shared" si="16"/>
        <v>147</v>
      </c>
      <c r="B154" s="82">
        <v>43191</v>
      </c>
      <c r="C154" s="108"/>
      <c r="D154" s="67">
        <v>-40734.026942200144</v>
      </c>
      <c r="E154" s="98"/>
      <c r="F154" s="77">
        <v>4.4699999999999997E-2</v>
      </c>
      <c r="G154" s="76">
        <f t="shared" ref="G154:G185" si="20">ROUND((+I153+E154+(D154/2))*F154/12,2)</f>
        <v>-7699.75</v>
      </c>
      <c r="H154" s="67">
        <f t="shared" si="18"/>
        <v>-48433.776942200144</v>
      </c>
      <c r="I154" s="75">
        <f t="shared" si="19"/>
        <v>-2095114.782581598</v>
      </c>
    </row>
    <row r="155" spans="1:9" hidden="1" outlineLevel="1" x14ac:dyDescent="0.25">
      <c r="A155" s="71">
        <f t="shared" si="16"/>
        <v>148</v>
      </c>
      <c r="B155" s="82">
        <v>43221</v>
      </c>
      <c r="C155" s="108"/>
      <c r="D155" s="67">
        <v>403353.94409119978</v>
      </c>
      <c r="E155" s="98"/>
      <c r="F155" s="77">
        <v>4.4699999999999997E-2</v>
      </c>
      <c r="G155" s="76">
        <f t="shared" si="20"/>
        <v>-7053.06</v>
      </c>
      <c r="H155" s="67">
        <f t="shared" si="18"/>
        <v>396300.88409119978</v>
      </c>
      <c r="I155" s="75">
        <f t="shared" si="19"/>
        <v>-1698813.8984903982</v>
      </c>
    </row>
    <row r="156" spans="1:9" hidden="1" outlineLevel="1" x14ac:dyDescent="0.25">
      <c r="A156" s="71">
        <f t="shared" si="16"/>
        <v>149</v>
      </c>
      <c r="B156" s="82">
        <v>43252</v>
      </c>
      <c r="C156" s="108"/>
      <c r="D156" s="67">
        <v>324736.39855339978</v>
      </c>
      <c r="E156" s="98"/>
      <c r="F156" s="77">
        <v>4.4699999999999997E-2</v>
      </c>
      <c r="G156" s="76">
        <f t="shared" si="20"/>
        <v>-5723.26</v>
      </c>
      <c r="H156" s="67">
        <f t="shared" si="18"/>
        <v>319013.13855339977</v>
      </c>
      <c r="I156" s="75">
        <f t="shared" si="19"/>
        <v>-1379800.7599369984</v>
      </c>
    </row>
    <row r="157" spans="1:9" hidden="1" outlineLevel="1" x14ac:dyDescent="0.25">
      <c r="A157" s="71">
        <f t="shared" si="16"/>
        <v>150</v>
      </c>
      <c r="B157" s="82">
        <v>43282</v>
      </c>
      <c r="C157" s="87">
        <v>2</v>
      </c>
      <c r="D157" s="67">
        <v>416261.51387539983</v>
      </c>
      <c r="E157" s="98">
        <v>-0.43</v>
      </c>
      <c r="F157" s="77">
        <v>4.6899999999999997E-2</v>
      </c>
      <c r="G157" s="76">
        <f t="shared" si="20"/>
        <v>-4579.28</v>
      </c>
      <c r="H157" s="67">
        <f t="shared" si="18"/>
        <v>411681.80387539981</v>
      </c>
      <c r="I157" s="75">
        <f t="shared" si="19"/>
        <v>-968118.95606159861</v>
      </c>
    </row>
    <row r="158" spans="1:9" hidden="1" outlineLevel="1" x14ac:dyDescent="0.25">
      <c r="A158" s="71">
        <f t="shared" si="16"/>
        <v>151</v>
      </c>
      <c r="B158" s="82">
        <v>43313</v>
      </c>
      <c r="C158" s="108"/>
      <c r="D158" s="67">
        <v>452595.47167719976</v>
      </c>
      <c r="E158" s="98"/>
      <c r="F158" s="77">
        <v>4.6899999999999997E-2</v>
      </c>
      <c r="G158" s="76">
        <f t="shared" si="20"/>
        <v>-2899.28</v>
      </c>
      <c r="H158" s="67">
        <f t="shared" si="18"/>
        <v>449696.19167719973</v>
      </c>
      <c r="I158" s="75">
        <f t="shared" si="19"/>
        <v>-518422.76438439888</v>
      </c>
    </row>
    <row r="159" spans="1:9" hidden="1" outlineLevel="1" x14ac:dyDescent="0.25">
      <c r="A159" s="71">
        <f t="shared" si="16"/>
        <v>152</v>
      </c>
      <c r="B159" s="82">
        <v>43344</v>
      </c>
      <c r="C159" s="108"/>
      <c r="D159" s="67">
        <v>356736.70818279992</v>
      </c>
      <c r="E159" s="98"/>
      <c r="F159" s="77">
        <v>4.6899999999999997E-2</v>
      </c>
      <c r="G159" s="76">
        <f t="shared" si="20"/>
        <v>-1329.05</v>
      </c>
      <c r="H159" s="67">
        <f t="shared" si="18"/>
        <v>355407.65818279993</v>
      </c>
      <c r="I159" s="75">
        <f t="shared" si="19"/>
        <v>-163015.10620159894</v>
      </c>
    </row>
    <row r="160" spans="1:9" hidden="1" outlineLevel="1" x14ac:dyDescent="0.25">
      <c r="A160" s="71">
        <f t="shared" si="16"/>
        <v>153</v>
      </c>
      <c r="B160" s="82">
        <v>43374</v>
      </c>
      <c r="C160" s="108"/>
      <c r="D160" s="67">
        <v>152859.06498679996</v>
      </c>
      <c r="E160" s="98"/>
      <c r="F160" s="88">
        <v>4.9599999999999998E-2</v>
      </c>
      <c r="G160" s="76">
        <f t="shared" si="20"/>
        <v>-357.89</v>
      </c>
      <c r="H160" s="67">
        <f t="shared" si="18"/>
        <v>152501.17498679995</v>
      </c>
      <c r="I160" s="75">
        <f t="shared" si="19"/>
        <v>-10513.931214798999</v>
      </c>
    </row>
    <row r="161" spans="1:9" hidden="1" outlineLevel="1" x14ac:dyDescent="0.25">
      <c r="A161" s="71">
        <f t="shared" si="16"/>
        <v>154</v>
      </c>
      <c r="B161" s="82">
        <v>43405</v>
      </c>
      <c r="C161" s="115">
        <v>1</v>
      </c>
      <c r="D161" s="67">
        <v>-223556.96882780024</v>
      </c>
      <c r="E161" s="98">
        <v>522600.12438439886</v>
      </c>
      <c r="F161" s="88">
        <v>4.9599999999999998E-2</v>
      </c>
      <c r="G161" s="76">
        <f t="shared" si="20"/>
        <v>1654.61</v>
      </c>
      <c r="H161" s="67">
        <f t="shared" si="18"/>
        <v>300697.76555659861</v>
      </c>
      <c r="I161" s="75">
        <f t="shared" si="19"/>
        <v>290183.83434179961</v>
      </c>
    </row>
    <row r="162" spans="1:9" hidden="1" outlineLevel="1" x14ac:dyDescent="0.25">
      <c r="A162" s="71">
        <f t="shared" si="16"/>
        <v>155</v>
      </c>
      <c r="B162" s="82">
        <v>43435</v>
      </c>
      <c r="C162" s="108"/>
      <c r="D162" s="67">
        <v>-535335.16507560003</v>
      </c>
      <c r="E162" s="98"/>
      <c r="F162" s="88">
        <v>4.9599999999999998E-2</v>
      </c>
      <c r="G162" s="76">
        <f t="shared" si="20"/>
        <v>93.07</v>
      </c>
      <c r="H162" s="67">
        <f t="shared" si="18"/>
        <v>-535242.09507560008</v>
      </c>
      <c r="I162" s="75">
        <f t="shared" si="19"/>
        <v>-245058.26073380047</v>
      </c>
    </row>
    <row r="163" spans="1:9" hidden="1" outlineLevel="1" x14ac:dyDescent="0.25">
      <c r="A163" s="71">
        <f t="shared" si="16"/>
        <v>156</v>
      </c>
      <c r="B163" s="82">
        <v>43466</v>
      </c>
      <c r="C163" s="108"/>
      <c r="D163" s="67">
        <v>-573096.42147960002</v>
      </c>
      <c r="E163" s="98"/>
      <c r="F163" s="88">
        <v>5.1799999999999999E-2</v>
      </c>
      <c r="G163" s="76">
        <f t="shared" si="20"/>
        <v>-2294.77</v>
      </c>
      <c r="H163" s="67">
        <f t="shared" si="18"/>
        <v>-575391.19147960003</v>
      </c>
      <c r="I163" s="75">
        <f t="shared" si="19"/>
        <v>-820449.45221340051</v>
      </c>
    </row>
    <row r="164" spans="1:9" hidden="1" outlineLevel="1" x14ac:dyDescent="0.25">
      <c r="A164" s="71">
        <f t="shared" si="16"/>
        <v>157</v>
      </c>
      <c r="B164" s="82">
        <v>43497</v>
      </c>
      <c r="C164" s="108"/>
      <c r="D164" s="67">
        <v>-755010.22093659989</v>
      </c>
      <c r="E164" s="98"/>
      <c r="F164" s="88">
        <v>5.1799999999999999E-2</v>
      </c>
      <c r="G164" s="76">
        <f t="shared" si="20"/>
        <v>-5171.17</v>
      </c>
      <c r="H164" s="67">
        <f t="shared" si="18"/>
        <v>-760181.39093659993</v>
      </c>
      <c r="I164" s="75">
        <f t="shared" si="19"/>
        <v>-1580630.8431500006</v>
      </c>
    </row>
    <row r="165" spans="1:9" hidden="1" outlineLevel="1" x14ac:dyDescent="0.25">
      <c r="A165" s="71">
        <f t="shared" si="16"/>
        <v>158</v>
      </c>
      <c r="B165" s="82">
        <v>43525</v>
      </c>
      <c r="C165" s="108"/>
      <c r="D165" s="67">
        <v>-332337.90978580015</v>
      </c>
      <c r="E165" s="98"/>
      <c r="F165" s="88">
        <v>5.1799999999999999E-2</v>
      </c>
      <c r="G165" s="76">
        <f t="shared" si="20"/>
        <v>-7540.35</v>
      </c>
      <c r="H165" s="67">
        <f t="shared" si="18"/>
        <v>-339878.25978580012</v>
      </c>
      <c r="I165" s="75">
        <f t="shared" si="19"/>
        <v>-1920509.1029358008</v>
      </c>
    </row>
    <row r="166" spans="1:9" hidden="1" outlineLevel="1" x14ac:dyDescent="0.25">
      <c r="A166" s="71">
        <f t="shared" si="16"/>
        <v>159</v>
      </c>
      <c r="B166" s="82">
        <v>43556</v>
      </c>
      <c r="C166" s="108"/>
      <c r="D166" s="67">
        <v>108325.53863700002</v>
      </c>
      <c r="E166" s="98"/>
      <c r="F166" s="88">
        <v>5.45E-2</v>
      </c>
      <c r="G166" s="76">
        <f t="shared" si="20"/>
        <v>-8476.32</v>
      </c>
      <c r="H166" s="67">
        <f t="shared" si="18"/>
        <v>99849.218637000013</v>
      </c>
      <c r="I166" s="75">
        <f t="shared" si="19"/>
        <v>-1820659.8842988007</v>
      </c>
    </row>
    <row r="167" spans="1:9" hidden="1" outlineLevel="1" x14ac:dyDescent="0.25">
      <c r="A167" s="71">
        <f t="shared" si="16"/>
        <v>160</v>
      </c>
      <c r="B167" s="82">
        <v>43586</v>
      </c>
      <c r="C167" s="108"/>
      <c r="D167" s="67">
        <v>329950.17040079978</v>
      </c>
      <c r="E167" s="98"/>
      <c r="F167" s="88">
        <v>5.45E-2</v>
      </c>
      <c r="G167" s="76">
        <f t="shared" si="20"/>
        <v>-7519.57</v>
      </c>
      <c r="H167" s="67">
        <f t="shared" si="18"/>
        <v>322430.60040079977</v>
      </c>
      <c r="I167" s="75">
        <f t="shared" si="19"/>
        <v>-1498229.2838980011</v>
      </c>
    </row>
    <row r="168" spans="1:9" hidden="1" outlineLevel="1" x14ac:dyDescent="0.25">
      <c r="A168" s="71">
        <f t="shared" si="16"/>
        <v>161</v>
      </c>
      <c r="B168" s="82">
        <v>43617</v>
      </c>
      <c r="C168" s="108"/>
      <c r="D168" s="67">
        <v>393903.7481995998</v>
      </c>
      <c r="E168" s="98"/>
      <c r="F168" s="88">
        <v>5.45E-2</v>
      </c>
      <c r="G168" s="76">
        <f t="shared" si="20"/>
        <v>-5909.97</v>
      </c>
      <c r="H168" s="67">
        <f t="shared" si="18"/>
        <v>387993.77819959982</v>
      </c>
      <c r="I168" s="75">
        <f t="shared" si="19"/>
        <v>-1110235.5056984012</v>
      </c>
    </row>
    <row r="169" spans="1:9" hidden="1" outlineLevel="1" x14ac:dyDescent="0.25">
      <c r="A169" s="71">
        <f t="shared" si="16"/>
        <v>162</v>
      </c>
      <c r="B169" s="82">
        <v>43647</v>
      </c>
      <c r="C169" s="108"/>
      <c r="D169" s="67">
        <v>463678.39685299981</v>
      </c>
      <c r="E169" s="98"/>
      <c r="F169" s="88">
        <v>5.5E-2</v>
      </c>
      <c r="G169" s="76">
        <f t="shared" si="20"/>
        <v>-4025.98</v>
      </c>
      <c r="H169" s="67">
        <f t="shared" si="18"/>
        <v>459652.41685299983</v>
      </c>
      <c r="I169" s="75">
        <f t="shared" si="19"/>
        <v>-650583.08884540142</v>
      </c>
    </row>
    <row r="170" spans="1:9" hidden="1" outlineLevel="1" x14ac:dyDescent="0.25">
      <c r="A170" s="71">
        <f t="shared" si="16"/>
        <v>163</v>
      </c>
      <c r="B170" s="82">
        <v>43678</v>
      </c>
      <c r="C170" s="108"/>
      <c r="D170" s="67">
        <v>443569.73218080006</v>
      </c>
      <c r="E170" s="98"/>
      <c r="F170" s="88">
        <v>5.5E-2</v>
      </c>
      <c r="G170" s="76">
        <f t="shared" si="20"/>
        <v>-1965.33</v>
      </c>
      <c r="H170" s="67">
        <f t="shared" si="18"/>
        <v>441604.40218080004</v>
      </c>
      <c r="I170" s="75">
        <f t="shared" si="19"/>
        <v>-208978.68666460138</v>
      </c>
    </row>
    <row r="171" spans="1:9" hidden="1" outlineLevel="1" x14ac:dyDescent="0.25">
      <c r="A171" s="71">
        <f t="shared" si="16"/>
        <v>164</v>
      </c>
      <c r="B171" s="82">
        <v>43709</v>
      </c>
      <c r="C171" s="108"/>
      <c r="D171" s="67">
        <v>369751.97607679985</v>
      </c>
      <c r="E171" s="98"/>
      <c r="F171" s="88">
        <v>5.5E-2</v>
      </c>
      <c r="G171" s="76">
        <f t="shared" si="20"/>
        <v>-110.47</v>
      </c>
      <c r="H171" s="67">
        <f t="shared" si="18"/>
        <v>369641.50607679988</v>
      </c>
      <c r="I171" s="75">
        <f t="shared" si="19"/>
        <v>160662.8194121985</v>
      </c>
    </row>
    <row r="172" spans="1:9" hidden="1" outlineLevel="1" x14ac:dyDescent="0.25">
      <c r="A172" s="71">
        <f t="shared" si="16"/>
        <v>165</v>
      </c>
      <c r="B172" s="82">
        <v>43739</v>
      </c>
      <c r="C172" s="108"/>
      <c r="D172" s="67">
        <v>-78463.853502400219</v>
      </c>
      <c r="E172" s="98"/>
      <c r="F172" s="79">
        <v>5.4199999999999998E-2</v>
      </c>
      <c r="G172" s="76">
        <f t="shared" si="20"/>
        <v>548.46</v>
      </c>
      <c r="H172" s="67">
        <f t="shared" si="18"/>
        <v>-77915.393502400213</v>
      </c>
      <c r="I172" s="75">
        <f t="shared" si="19"/>
        <v>82747.425909798287</v>
      </c>
    </row>
    <row r="173" spans="1:9" hidden="1" outlineLevel="1" x14ac:dyDescent="0.25">
      <c r="A173" s="71">
        <f t="shared" si="16"/>
        <v>166</v>
      </c>
      <c r="B173" s="82">
        <v>43770</v>
      </c>
      <c r="C173" s="115">
        <v>1</v>
      </c>
      <c r="D173" s="67">
        <v>-285392.28770820005</v>
      </c>
      <c r="E173" s="98">
        <v>210884.72</v>
      </c>
      <c r="F173" s="79">
        <v>5.4199999999999998E-2</v>
      </c>
      <c r="G173" s="76">
        <f t="shared" si="20"/>
        <v>681.73</v>
      </c>
      <c r="H173" s="67">
        <f t="shared" ref="H173:H204" si="21">SUM(D173:E173,G173)</f>
        <v>-73825.837708200052</v>
      </c>
      <c r="I173" s="75">
        <f t="shared" si="19"/>
        <v>8921.5882015982352</v>
      </c>
    </row>
    <row r="174" spans="1:9" hidden="1" outlineLevel="1" x14ac:dyDescent="0.25">
      <c r="A174" s="71">
        <f t="shared" si="16"/>
        <v>167</v>
      </c>
      <c r="B174" s="82">
        <v>43800</v>
      </c>
      <c r="C174" s="108"/>
      <c r="D174" s="67">
        <v>-505627.67515079991</v>
      </c>
      <c r="E174" s="98"/>
      <c r="F174" s="79">
        <v>5.4199999999999998E-2</v>
      </c>
      <c r="G174" s="76">
        <f t="shared" si="20"/>
        <v>-1101.58</v>
      </c>
      <c r="H174" s="67">
        <f t="shared" si="21"/>
        <v>-506729.25515079993</v>
      </c>
      <c r="I174" s="75">
        <f t="shared" si="19"/>
        <v>-497807.66694920172</v>
      </c>
    </row>
    <row r="175" spans="1:9" hidden="1" outlineLevel="1" x14ac:dyDescent="0.25">
      <c r="A175" s="71">
        <f t="shared" si="16"/>
        <v>168</v>
      </c>
      <c r="B175" s="82">
        <v>43831</v>
      </c>
      <c r="C175" s="108"/>
      <c r="D175" s="67">
        <v>-486852.78862200002</v>
      </c>
      <c r="E175" s="98"/>
      <c r="F175" s="79">
        <v>4.9599999999999998E-2</v>
      </c>
      <c r="G175" s="76">
        <f t="shared" si="20"/>
        <v>-3063.77</v>
      </c>
      <c r="H175" s="67">
        <f t="shared" si="21"/>
        <v>-489916.55862200004</v>
      </c>
      <c r="I175" s="75">
        <f t="shared" si="19"/>
        <v>-987724.22557120176</v>
      </c>
    </row>
    <row r="176" spans="1:9" hidden="1" outlineLevel="1" x14ac:dyDescent="0.25">
      <c r="A176" s="71">
        <f t="shared" si="16"/>
        <v>169</v>
      </c>
      <c r="B176" s="82">
        <v>43862</v>
      </c>
      <c r="C176" s="108"/>
      <c r="D176" s="67">
        <v>-461891.37443500001</v>
      </c>
      <c r="E176" s="98"/>
      <c r="F176" s="79">
        <v>4.9599999999999998E-2</v>
      </c>
      <c r="G176" s="76">
        <f t="shared" si="20"/>
        <v>-5037.17</v>
      </c>
      <c r="H176" s="67">
        <f t="shared" si="21"/>
        <v>-466928.54443499999</v>
      </c>
      <c r="I176" s="75">
        <f t="shared" si="19"/>
        <v>-1454652.7700062017</v>
      </c>
    </row>
    <row r="177" spans="1:9" hidden="1" outlineLevel="1" x14ac:dyDescent="0.25">
      <c r="A177" s="71">
        <f t="shared" si="16"/>
        <v>170</v>
      </c>
      <c r="B177" s="82">
        <v>43891</v>
      </c>
      <c r="C177" s="108"/>
      <c r="D177" s="67">
        <v>-291570.06789200008</v>
      </c>
      <c r="E177" s="98"/>
      <c r="F177" s="79">
        <v>4.9599999999999998E-2</v>
      </c>
      <c r="G177" s="76">
        <f t="shared" si="20"/>
        <v>-6615.14</v>
      </c>
      <c r="H177" s="67">
        <f t="shared" si="21"/>
        <v>-298185.20789200009</v>
      </c>
      <c r="I177" s="75">
        <f t="shared" si="19"/>
        <v>-1752837.9778982019</v>
      </c>
    </row>
    <row r="178" spans="1:9" hidden="1" outlineLevel="1" x14ac:dyDescent="0.25">
      <c r="A178" s="71">
        <f t="shared" si="16"/>
        <v>171</v>
      </c>
      <c r="B178" s="82">
        <v>43922</v>
      </c>
      <c r="C178" s="108"/>
      <c r="D178" s="67">
        <v>123859.55448079994</v>
      </c>
      <c r="E178" s="98"/>
      <c r="F178" s="79">
        <v>4.7500000000000001E-2</v>
      </c>
      <c r="G178" s="76">
        <f t="shared" si="20"/>
        <v>-6693.18</v>
      </c>
      <c r="H178" s="67">
        <f t="shared" si="21"/>
        <v>117166.37448079995</v>
      </c>
      <c r="I178" s="75">
        <f t="shared" si="19"/>
        <v>-1635671.6034174019</v>
      </c>
    </row>
    <row r="179" spans="1:9" hidden="1" outlineLevel="1" x14ac:dyDescent="0.25">
      <c r="A179" s="71">
        <f t="shared" si="16"/>
        <v>172</v>
      </c>
      <c r="B179" s="82">
        <v>43952</v>
      </c>
      <c r="C179" s="108"/>
      <c r="D179" s="67">
        <v>346952.27278579999</v>
      </c>
      <c r="E179" s="98"/>
      <c r="F179" s="79">
        <v>4.7500000000000001E-2</v>
      </c>
      <c r="G179" s="76">
        <f t="shared" si="20"/>
        <v>-5787.86</v>
      </c>
      <c r="H179" s="67">
        <f t="shared" si="21"/>
        <v>341164.4127858</v>
      </c>
      <c r="I179" s="75">
        <f t="shared" si="19"/>
        <v>-1294507.190631602</v>
      </c>
    </row>
    <row r="180" spans="1:9" hidden="1" outlineLevel="1" x14ac:dyDescent="0.25">
      <c r="A180" s="71">
        <f t="shared" si="16"/>
        <v>173</v>
      </c>
      <c r="B180" s="82">
        <v>43983</v>
      </c>
      <c r="C180" s="108"/>
      <c r="D180" s="67">
        <v>381568.34103160008</v>
      </c>
      <c r="E180" s="98"/>
      <c r="F180" s="79">
        <v>4.7500000000000001E-2</v>
      </c>
      <c r="G180" s="76">
        <f t="shared" si="20"/>
        <v>-4368.8999999999996</v>
      </c>
      <c r="H180" s="67">
        <f t="shared" si="21"/>
        <v>377199.44103160006</v>
      </c>
      <c r="I180" s="75">
        <f t="shared" si="19"/>
        <v>-917307.74960000184</v>
      </c>
    </row>
    <row r="181" spans="1:9" hidden="1" outlineLevel="1" x14ac:dyDescent="0.25">
      <c r="A181" s="71">
        <f t="shared" si="16"/>
        <v>174</v>
      </c>
      <c r="B181" s="82">
        <v>44013</v>
      </c>
      <c r="C181" s="108"/>
      <c r="D181" s="67">
        <v>451539.04551519995</v>
      </c>
      <c r="E181" s="98"/>
      <c r="F181" s="79">
        <v>3.4299999999999997E-2</v>
      </c>
      <c r="G181" s="76">
        <f t="shared" si="20"/>
        <v>-1976.65</v>
      </c>
      <c r="H181" s="67">
        <f t="shared" si="21"/>
        <v>449562.39551519993</v>
      </c>
      <c r="I181" s="75">
        <f t="shared" si="19"/>
        <v>-467745.35408480192</v>
      </c>
    </row>
    <row r="182" spans="1:9" hidden="1" outlineLevel="1" x14ac:dyDescent="0.25">
      <c r="A182" s="71">
        <f t="shared" si="16"/>
        <v>175</v>
      </c>
      <c r="B182" s="82">
        <v>44044</v>
      </c>
      <c r="C182" s="108"/>
      <c r="D182" s="67">
        <v>468050.74512780004</v>
      </c>
      <c r="E182" s="98"/>
      <c r="F182" s="79">
        <v>3.4299999999999997E-2</v>
      </c>
      <c r="G182" s="76">
        <f t="shared" si="20"/>
        <v>-668.05</v>
      </c>
      <c r="H182" s="67">
        <f t="shared" si="21"/>
        <v>467382.69512780005</v>
      </c>
      <c r="I182" s="75">
        <f t="shared" si="19"/>
        <v>-362.65895700186957</v>
      </c>
    </row>
    <row r="183" spans="1:9" hidden="1" outlineLevel="1" x14ac:dyDescent="0.25">
      <c r="A183" s="71">
        <f t="shared" si="16"/>
        <v>176</v>
      </c>
      <c r="B183" s="82">
        <v>44075</v>
      </c>
      <c r="C183" s="108"/>
      <c r="D183" s="67">
        <v>437517.12633360008</v>
      </c>
      <c r="E183" s="98"/>
      <c r="F183" s="79">
        <v>3.4299999999999997E-2</v>
      </c>
      <c r="G183" s="76">
        <f t="shared" si="20"/>
        <v>624.25</v>
      </c>
      <c r="H183" s="67">
        <f t="shared" si="21"/>
        <v>438141.37633360008</v>
      </c>
      <c r="I183" s="75">
        <f t="shared" si="19"/>
        <v>437778.71737659822</v>
      </c>
    </row>
    <row r="184" spans="1:9" hidden="1" outlineLevel="1" x14ac:dyDescent="0.25">
      <c r="A184" s="71">
        <f t="shared" si="16"/>
        <v>177</v>
      </c>
      <c r="B184" s="82">
        <v>44105</v>
      </c>
      <c r="C184" s="108"/>
      <c r="D184" s="67">
        <v>134553.17719579989</v>
      </c>
      <c r="E184" s="98"/>
      <c r="F184" s="79">
        <v>3.2500000000000001E-2</v>
      </c>
      <c r="G184" s="76">
        <f t="shared" si="20"/>
        <v>1367.86</v>
      </c>
      <c r="H184" s="67">
        <f t="shared" si="21"/>
        <v>135921.03719579987</v>
      </c>
      <c r="I184" s="75">
        <f t="shared" ref="I184:I215" si="22">+I183+H184</f>
        <v>573699.75457239803</v>
      </c>
    </row>
    <row r="185" spans="1:9" hidden="1" outlineLevel="1" collapsed="1" x14ac:dyDescent="0.25">
      <c r="A185" s="71">
        <f t="shared" si="16"/>
        <v>178</v>
      </c>
      <c r="B185" s="82">
        <v>44136</v>
      </c>
      <c r="C185" s="108"/>
      <c r="D185" s="67">
        <v>-287152.28620940016</v>
      </c>
      <c r="E185" s="98">
        <v>364.74</v>
      </c>
      <c r="F185" s="79">
        <v>3.2500000000000001E-2</v>
      </c>
      <c r="G185" s="76">
        <f t="shared" si="20"/>
        <v>1165.9100000000001</v>
      </c>
      <c r="H185" s="67">
        <f t="shared" si="21"/>
        <v>-285621.6362094002</v>
      </c>
      <c r="I185" s="75">
        <f t="shared" si="22"/>
        <v>288078.11836299783</v>
      </c>
    </row>
    <row r="186" spans="1:9" hidden="1" outlineLevel="1" x14ac:dyDescent="0.25">
      <c r="A186" s="71">
        <f t="shared" si="16"/>
        <v>179</v>
      </c>
      <c r="B186" s="82">
        <v>44166</v>
      </c>
      <c r="C186" s="108"/>
      <c r="D186" s="67">
        <v>-429155.06333500007</v>
      </c>
      <c r="E186" s="98"/>
      <c r="F186" s="79">
        <v>3.2500000000000001E-2</v>
      </c>
      <c r="G186" s="76">
        <f t="shared" ref="G186" si="23">ROUND((+I185+E186+(D186/2))*F186/12,2)</f>
        <v>199.06</v>
      </c>
      <c r="H186" s="67">
        <f t="shared" si="21"/>
        <v>-428956.00333500007</v>
      </c>
      <c r="I186" s="75">
        <f t="shared" si="22"/>
        <v>-140877.88497200224</v>
      </c>
    </row>
    <row r="187" spans="1:9" hidden="1" outlineLevel="1" x14ac:dyDescent="0.25">
      <c r="A187" s="71">
        <f t="shared" si="16"/>
        <v>180</v>
      </c>
      <c r="B187" s="82">
        <v>44197</v>
      </c>
      <c r="C187" s="108"/>
      <c r="D187" s="67">
        <v>-461123.28</v>
      </c>
      <c r="E187" s="98"/>
      <c r="F187" s="79">
        <v>3.2500000000000001E-2</v>
      </c>
      <c r="G187" s="76">
        <v>-1070.71</v>
      </c>
      <c r="H187" s="67">
        <f t="shared" si="21"/>
        <v>-462193.99000000005</v>
      </c>
      <c r="I187" s="75">
        <f t="shared" si="22"/>
        <v>-603071.87497200235</v>
      </c>
    </row>
    <row r="188" spans="1:9" hidden="1" outlineLevel="1" x14ac:dyDescent="0.25">
      <c r="A188" s="71">
        <f t="shared" si="16"/>
        <v>181</v>
      </c>
      <c r="B188" s="82">
        <v>44228</v>
      </c>
      <c r="C188" s="108"/>
      <c r="D188" s="67">
        <v>-548236.15</v>
      </c>
      <c r="E188" s="98"/>
      <c r="F188" s="79">
        <v>3.2500000000000001E-2</v>
      </c>
      <c r="G188" s="76">
        <f t="shared" ref="G188:G219" si="24">ROUND((+I187+E188+(D188/2))*F188/12,2)</f>
        <v>-2375.7199999999998</v>
      </c>
      <c r="H188" s="67">
        <f t="shared" si="21"/>
        <v>-550611.87</v>
      </c>
      <c r="I188" s="75">
        <f t="shared" si="22"/>
        <v>-1153683.7449720022</v>
      </c>
    </row>
    <row r="189" spans="1:9" hidden="1" outlineLevel="1" x14ac:dyDescent="0.25">
      <c r="A189" s="71">
        <f t="shared" si="16"/>
        <v>182</v>
      </c>
      <c r="B189" s="82">
        <v>44256</v>
      </c>
      <c r="C189" s="108"/>
      <c r="D189" s="67">
        <v>-306864.09999999998</v>
      </c>
      <c r="E189" s="98"/>
      <c r="F189" s="79">
        <v>3.2500000000000001E-2</v>
      </c>
      <c r="G189" s="76">
        <f t="shared" si="24"/>
        <v>-3540.11</v>
      </c>
      <c r="H189" s="67">
        <f t="shared" si="21"/>
        <v>-310404.20999999996</v>
      </c>
      <c r="I189" s="75">
        <f t="shared" si="22"/>
        <v>-1464087.9549720022</v>
      </c>
    </row>
    <row r="190" spans="1:9" hidden="1" outlineLevel="1" x14ac:dyDescent="0.25">
      <c r="A190" s="71">
        <f t="shared" si="16"/>
        <v>183</v>
      </c>
      <c r="B190" s="82">
        <v>44287</v>
      </c>
      <c r="C190" s="108"/>
      <c r="D190" s="67">
        <v>118666.88</v>
      </c>
      <c r="E190" s="98"/>
      <c r="F190" s="79">
        <v>3.2500000000000001E-2</v>
      </c>
      <c r="G190" s="76">
        <f t="shared" si="24"/>
        <v>-3804.54</v>
      </c>
      <c r="H190" s="67">
        <f t="shared" si="21"/>
        <v>114862.34000000001</v>
      </c>
      <c r="I190" s="75">
        <f t="shared" si="22"/>
        <v>-1349225.6149720021</v>
      </c>
    </row>
    <row r="191" spans="1:9" hidden="1" outlineLevel="1" x14ac:dyDescent="0.25">
      <c r="A191" s="71">
        <f t="shared" si="16"/>
        <v>184</v>
      </c>
      <c r="B191" s="82">
        <v>44317</v>
      </c>
      <c r="C191" s="108"/>
      <c r="D191" s="67">
        <v>323432.33</v>
      </c>
      <c r="E191" s="98"/>
      <c r="F191" s="79">
        <v>3.2500000000000001E-2</v>
      </c>
      <c r="G191" s="76">
        <f t="shared" si="24"/>
        <v>-3216.17</v>
      </c>
      <c r="H191" s="67">
        <f t="shared" si="21"/>
        <v>320216.16000000003</v>
      </c>
      <c r="I191" s="75">
        <f t="shared" si="22"/>
        <v>-1029009.4549720021</v>
      </c>
    </row>
    <row r="192" spans="1:9" hidden="1" outlineLevel="1" x14ac:dyDescent="0.25">
      <c r="A192" s="71">
        <f t="shared" si="16"/>
        <v>185</v>
      </c>
      <c r="B192" s="82">
        <v>44348</v>
      </c>
      <c r="C192" s="108"/>
      <c r="D192" s="67">
        <v>413242.78</v>
      </c>
      <c r="E192" s="98"/>
      <c r="F192" s="79">
        <v>3.2500000000000001E-2</v>
      </c>
      <c r="G192" s="76">
        <f t="shared" si="24"/>
        <v>-2227.3000000000002</v>
      </c>
      <c r="H192" s="67">
        <f t="shared" si="21"/>
        <v>411015.48000000004</v>
      </c>
      <c r="I192" s="75">
        <f t="shared" si="22"/>
        <v>-617993.97497200198</v>
      </c>
    </row>
    <row r="193" spans="1:9" hidden="1" outlineLevel="1" x14ac:dyDescent="0.25">
      <c r="A193" s="71">
        <f t="shared" si="16"/>
        <v>186</v>
      </c>
      <c r="B193" s="82">
        <v>44378</v>
      </c>
      <c r="C193" s="108"/>
      <c r="D193" s="67">
        <v>461589.43</v>
      </c>
      <c r="E193" s="98"/>
      <c r="F193" s="79">
        <v>3.2500000000000001E-2</v>
      </c>
      <c r="G193" s="76">
        <f t="shared" si="24"/>
        <v>-1048.6600000000001</v>
      </c>
      <c r="H193" s="67">
        <f t="shared" si="21"/>
        <v>460540.77</v>
      </c>
      <c r="I193" s="75">
        <f t="shared" si="22"/>
        <v>-157453.20497200196</v>
      </c>
    </row>
    <row r="194" spans="1:9" hidden="1" outlineLevel="1" x14ac:dyDescent="0.25">
      <c r="A194" s="71">
        <f t="shared" si="16"/>
        <v>187</v>
      </c>
      <c r="B194" s="82">
        <v>44409</v>
      </c>
      <c r="C194" s="108"/>
      <c r="D194" s="67">
        <v>460390.69099419971</v>
      </c>
      <c r="E194" s="98"/>
      <c r="F194" s="79">
        <v>3.2500000000000001E-2</v>
      </c>
      <c r="G194" s="76">
        <f t="shared" si="24"/>
        <v>197.01</v>
      </c>
      <c r="H194" s="67">
        <f t="shared" si="21"/>
        <v>460587.70099419972</v>
      </c>
      <c r="I194" s="75">
        <f t="shared" si="22"/>
        <v>303134.49602219777</v>
      </c>
    </row>
    <row r="195" spans="1:9" hidden="1" outlineLevel="1" x14ac:dyDescent="0.25">
      <c r="A195" s="71">
        <f t="shared" si="16"/>
        <v>188</v>
      </c>
      <c r="B195" s="82">
        <v>44440</v>
      </c>
      <c r="C195" s="108"/>
      <c r="D195" s="67">
        <v>400142.74426139978</v>
      </c>
      <c r="E195" s="98"/>
      <c r="F195" s="79">
        <v>3.2500000000000001E-2</v>
      </c>
      <c r="G195" s="76">
        <f t="shared" si="24"/>
        <v>1362.85</v>
      </c>
      <c r="H195" s="67">
        <f t="shared" si="21"/>
        <v>401505.59426139976</v>
      </c>
      <c r="I195" s="75">
        <f t="shared" si="22"/>
        <v>704640.09028359759</v>
      </c>
    </row>
    <row r="196" spans="1:9" hidden="1" outlineLevel="1" x14ac:dyDescent="0.25">
      <c r="A196" s="71">
        <f t="shared" si="16"/>
        <v>189</v>
      </c>
      <c r="B196" s="82">
        <v>44470</v>
      </c>
      <c r="D196" s="67">
        <v>83483.715351999737</v>
      </c>
      <c r="E196" s="98"/>
      <c r="F196" s="79">
        <v>3.2500000000000001E-2</v>
      </c>
      <c r="G196" s="76">
        <f t="shared" si="24"/>
        <v>2021.45</v>
      </c>
      <c r="H196" s="67">
        <f t="shared" si="21"/>
        <v>85505.165351999734</v>
      </c>
      <c r="I196" s="75">
        <f t="shared" si="22"/>
        <v>790145.25563559728</v>
      </c>
    </row>
    <row r="197" spans="1:9" hidden="1" outlineLevel="1" collapsed="1" x14ac:dyDescent="0.25">
      <c r="A197" s="71">
        <f t="shared" si="16"/>
        <v>190</v>
      </c>
      <c r="B197" s="82">
        <v>44521</v>
      </c>
      <c r="C197" s="81" t="s">
        <v>321</v>
      </c>
      <c r="D197" s="67">
        <v>-128604.43</v>
      </c>
      <c r="E197" s="98">
        <v>-304778.69602219778</v>
      </c>
      <c r="F197" s="79">
        <v>3.2500000000000001E-2</v>
      </c>
      <c r="G197" s="76">
        <f t="shared" si="24"/>
        <v>1140.3800000000001</v>
      </c>
      <c r="H197" s="67">
        <f t="shared" si="21"/>
        <v>-432242.74602219777</v>
      </c>
      <c r="I197" s="75">
        <f t="shared" si="22"/>
        <v>357902.50961339951</v>
      </c>
    </row>
    <row r="198" spans="1:9" hidden="1" outlineLevel="1" x14ac:dyDescent="0.25">
      <c r="A198" s="71">
        <f t="shared" si="16"/>
        <v>191</v>
      </c>
      <c r="B198" s="82">
        <v>44561</v>
      </c>
      <c r="D198" s="67">
        <v>-678688.7</v>
      </c>
      <c r="E198" s="98"/>
      <c r="F198" s="79">
        <v>3.2500000000000001E-2</v>
      </c>
      <c r="G198" s="76">
        <f t="shared" si="24"/>
        <v>50.26</v>
      </c>
      <c r="H198" s="67">
        <f t="shared" si="21"/>
        <v>-678638.44</v>
      </c>
      <c r="I198" s="75">
        <f t="shared" si="22"/>
        <v>-320735.93038660043</v>
      </c>
    </row>
    <row r="199" spans="1:9" hidden="1" outlineLevel="1" x14ac:dyDescent="0.25">
      <c r="A199" s="71">
        <f t="shared" si="16"/>
        <v>192</v>
      </c>
      <c r="B199" s="82">
        <v>44562</v>
      </c>
      <c r="D199" s="67">
        <v>-637677.3553980001</v>
      </c>
      <c r="E199" s="98"/>
      <c r="F199" s="79">
        <v>3.2500000000000001E-2</v>
      </c>
      <c r="G199" s="76">
        <f t="shared" si="24"/>
        <v>-1732.18</v>
      </c>
      <c r="H199" s="67">
        <f t="shared" si="21"/>
        <v>-639409.53539800015</v>
      </c>
      <c r="I199" s="75">
        <f t="shared" si="22"/>
        <v>-960145.46578460059</v>
      </c>
    </row>
    <row r="200" spans="1:9" hidden="1" outlineLevel="1" x14ac:dyDescent="0.25">
      <c r="A200" s="71">
        <f t="shared" si="16"/>
        <v>193</v>
      </c>
      <c r="B200" s="82">
        <v>44593</v>
      </c>
      <c r="D200" s="67">
        <v>-438762.10469259974</v>
      </c>
      <c r="E200" s="98"/>
      <c r="F200" s="79">
        <v>3.2500000000000001E-2</v>
      </c>
      <c r="G200" s="76">
        <f t="shared" si="24"/>
        <v>-3194.55</v>
      </c>
      <c r="H200" s="67">
        <f t="shared" si="21"/>
        <v>-441956.65469259972</v>
      </c>
      <c r="I200" s="75">
        <f t="shared" si="22"/>
        <v>-1402102.1204772003</v>
      </c>
    </row>
    <row r="201" spans="1:9" hidden="1" outlineLevel="1" x14ac:dyDescent="0.25">
      <c r="A201" s="71">
        <f t="shared" ref="A201:A249" si="25">+A200+1</f>
        <v>194</v>
      </c>
      <c r="B201" s="82">
        <v>44621</v>
      </c>
      <c r="D201" s="67">
        <v>-130502.47979999997</v>
      </c>
      <c r="E201" s="98"/>
      <c r="F201" s="79">
        <v>3.2500000000000001E-2</v>
      </c>
      <c r="G201" s="76">
        <f t="shared" si="24"/>
        <v>-3974.08</v>
      </c>
      <c r="H201" s="67">
        <f t="shared" si="21"/>
        <v>-134476.55979999996</v>
      </c>
      <c r="I201" s="75">
        <f t="shared" si="22"/>
        <v>-1536578.6802772002</v>
      </c>
    </row>
    <row r="202" spans="1:9" hidden="1" outlineLevel="1" x14ac:dyDescent="0.25">
      <c r="A202" s="71">
        <f t="shared" si="25"/>
        <v>195</v>
      </c>
      <c r="B202" s="82">
        <v>44652</v>
      </c>
      <c r="D202" s="67">
        <v>-116061.29160099989</v>
      </c>
      <c r="E202" s="98"/>
      <c r="F202" s="79">
        <v>3.2500000000000001E-2</v>
      </c>
      <c r="G202" s="76">
        <f t="shared" si="24"/>
        <v>-4318.7299999999996</v>
      </c>
      <c r="H202" s="67">
        <f t="shared" si="21"/>
        <v>-120380.02160099988</v>
      </c>
      <c r="I202" s="75">
        <f t="shared" si="22"/>
        <v>-1656958.7018782001</v>
      </c>
    </row>
    <row r="203" spans="1:9" hidden="1" outlineLevel="1" x14ac:dyDescent="0.25">
      <c r="A203" s="71">
        <f t="shared" si="25"/>
        <v>196</v>
      </c>
      <c r="B203" s="82">
        <v>44682</v>
      </c>
      <c r="D203" s="67">
        <v>207744.60292540025</v>
      </c>
      <c r="E203" s="98"/>
      <c r="F203" s="79">
        <v>3.2500000000000001E-2</v>
      </c>
      <c r="G203" s="76">
        <f t="shared" si="24"/>
        <v>-4206.28</v>
      </c>
      <c r="H203" s="67">
        <f t="shared" si="21"/>
        <v>203538.32292540025</v>
      </c>
      <c r="I203" s="75">
        <f t="shared" si="22"/>
        <v>-1453420.3789527998</v>
      </c>
    </row>
    <row r="204" spans="1:9" hidden="1" outlineLevel="1" x14ac:dyDescent="0.25">
      <c r="A204" s="71">
        <f t="shared" si="25"/>
        <v>197</v>
      </c>
      <c r="B204" s="82">
        <v>44713</v>
      </c>
      <c r="D204" s="67">
        <v>424476.19296080008</v>
      </c>
      <c r="E204" s="98"/>
      <c r="F204" s="79">
        <v>3.2500000000000001E-2</v>
      </c>
      <c r="G204" s="76">
        <f t="shared" si="24"/>
        <v>-3361.54</v>
      </c>
      <c r="H204" s="67">
        <f t="shared" si="21"/>
        <v>421114.6529608001</v>
      </c>
      <c r="I204" s="75">
        <f t="shared" si="22"/>
        <v>-1032305.7259919997</v>
      </c>
    </row>
    <row r="205" spans="1:9" hidden="1" outlineLevel="1" x14ac:dyDescent="0.25">
      <c r="A205" s="71">
        <f t="shared" si="25"/>
        <v>198</v>
      </c>
      <c r="B205" s="82">
        <v>44743</v>
      </c>
      <c r="D205" s="67">
        <v>523042.79432320013</v>
      </c>
      <c r="E205" s="98"/>
      <c r="F205" s="79">
        <v>3.5999999999999997E-2</v>
      </c>
      <c r="G205" s="76">
        <f t="shared" si="24"/>
        <v>-2312.35</v>
      </c>
      <c r="H205" s="67">
        <f t="shared" ref="H205:H236" si="26">SUM(D205:E205,G205)</f>
        <v>520730.44432320015</v>
      </c>
      <c r="I205" s="75">
        <f t="shared" si="22"/>
        <v>-511575.28166879958</v>
      </c>
    </row>
    <row r="206" spans="1:9" hidden="1" outlineLevel="1" x14ac:dyDescent="0.25">
      <c r="A206" s="71">
        <f t="shared" si="25"/>
        <v>199</v>
      </c>
      <c r="B206" s="82">
        <v>44774</v>
      </c>
      <c r="D206" s="67">
        <v>531440.50038240035</v>
      </c>
      <c r="E206" s="98"/>
      <c r="F206" s="79">
        <v>3.5999999999999997E-2</v>
      </c>
      <c r="G206" s="76">
        <f t="shared" si="24"/>
        <v>-737.57</v>
      </c>
      <c r="H206" s="67">
        <f t="shared" si="26"/>
        <v>530702.9303824004</v>
      </c>
      <c r="I206" s="75">
        <f t="shared" si="22"/>
        <v>19127.648713600822</v>
      </c>
    </row>
    <row r="207" spans="1:9" hidden="1" outlineLevel="1" x14ac:dyDescent="0.25">
      <c r="A207" s="71">
        <f t="shared" si="25"/>
        <v>200</v>
      </c>
      <c r="B207" s="82">
        <v>44805</v>
      </c>
      <c r="D207" s="67">
        <v>486317.7114066002</v>
      </c>
      <c r="E207" s="98"/>
      <c r="F207" s="79">
        <v>3.5999999999999997E-2</v>
      </c>
      <c r="G207" s="76">
        <f t="shared" si="24"/>
        <v>786.86</v>
      </c>
      <c r="H207" s="67">
        <f t="shared" si="26"/>
        <v>487104.57140660018</v>
      </c>
      <c r="I207" s="75">
        <f t="shared" si="22"/>
        <v>506232.220120201</v>
      </c>
    </row>
    <row r="208" spans="1:9" hidden="1" outlineLevel="1" x14ac:dyDescent="0.25">
      <c r="A208" s="71">
        <f t="shared" si="25"/>
        <v>201</v>
      </c>
      <c r="B208" s="82">
        <v>44835</v>
      </c>
      <c r="D208" s="67">
        <v>334628.92896980006</v>
      </c>
      <c r="E208" s="98"/>
      <c r="F208" s="79">
        <v>4.9099999999999998E-2</v>
      </c>
      <c r="G208" s="76">
        <f t="shared" si="24"/>
        <v>2755.93</v>
      </c>
      <c r="H208" s="67">
        <f t="shared" si="26"/>
        <v>337384.85896980006</v>
      </c>
      <c r="I208" s="75">
        <f t="shared" si="22"/>
        <v>843617.07909000106</v>
      </c>
    </row>
    <row r="209" spans="1:9" hidden="1" outlineLevel="1" x14ac:dyDescent="0.25">
      <c r="A209" s="71">
        <f t="shared" si="25"/>
        <v>202</v>
      </c>
      <c r="B209" s="82">
        <v>44866</v>
      </c>
      <c r="C209" s="81" t="s">
        <v>321</v>
      </c>
      <c r="D209" s="67">
        <v>-2111410.9197881995</v>
      </c>
      <c r="E209" s="102">
        <v>-19242.59</v>
      </c>
      <c r="F209" s="79">
        <v>4.9099999999999998E-2</v>
      </c>
      <c r="G209" s="76">
        <f t="shared" si="24"/>
        <v>-946.53</v>
      </c>
      <c r="H209" s="67">
        <f t="shared" si="26"/>
        <v>-2131600.0397881991</v>
      </c>
      <c r="I209" s="75">
        <f t="shared" si="22"/>
        <v>-1287982.9606981981</v>
      </c>
    </row>
    <row r="210" spans="1:9" hidden="1" outlineLevel="1" x14ac:dyDescent="0.25">
      <c r="A210" s="71">
        <f t="shared" si="25"/>
        <v>203</v>
      </c>
      <c r="B210" s="82">
        <v>44896</v>
      </c>
      <c r="D210" s="67">
        <v>-453605.35018700024</v>
      </c>
      <c r="E210" s="98"/>
      <c r="F210" s="79">
        <v>4.9099999999999998E-2</v>
      </c>
      <c r="G210" s="76">
        <f t="shared" si="24"/>
        <v>-6198</v>
      </c>
      <c r="H210" s="67">
        <f t="shared" si="26"/>
        <v>-459803.35018700024</v>
      </c>
      <c r="I210" s="75">
        <f t="shared" si="22"/>
        <v>-1747786.3108851984</v>
      </c>
    </row>
    <row r="211" spans="1:9" hidden="1" outlineLevel="1" x14ac:dyDescent="0.25">
      <c r="A211" s="71">
        <f t="shared" si="25"/>
        <v>204</v>
      </c>
      <c r="B211" s="82">
        <v>44927</v>
      </c>
      <c r="D211" s="67">
        <v>-348080.40431719995</v>
      </c>
      <c r="E211" s="98"/>
      <c r="F211" s="79">
        <v>6.3100000000000003E-2</v>
      </c>
      <c r="G211" s="76">
        <f t="shared" si="24"/>
        <v>-10105.6</v>
      </c>
      <c r="H211" s="67">
        <f t="shared" si="26"/>
        <v>-358186.00431719993</v>
      </c>
      <c r="I211" s="75">
        <f t="shared" si="22"/>
        <v>-2105972.3152023982</v>
      </c>
    </row>
    <row r="212" spans="1:9" hidden="1" outlineLevel="1" x14ac:dyDescent="0.25">
      <c r="A212" s="71">
        <f t="shared" si="25"/>
        <v>205</v>
      </c>
      <c r="B212" s="82">
        <v>44958</v>
      </c>
      <c r="D212" s="67">
        <v>-341755.77540215</v>
      </c>
      <c r="E212" s="98"/>
      <c r="F212" s="79">
        <v>6.3100000000000003E-2</v>
      </c>
      <c r="G212" s="76">
        <f t="shared" si="24"/>
        <v>-11972.44</v>
      </c>
      <c r="H212" s="67">
        <f t="shared" si="26"/>
        <v>-353728.21540215</v>
      </c>
      <c r="I212" s="75">
        <f t="shared" si="22"/>
        <v>-2459700.5306045483</v>
      </c>
    </row>
    <row r="213" spans="1:9" hidden="1" outlineLevel="1" x14ac:dyDescent="0.25">
      <c r="A213" s="71">
        <f t="shared" si="25"/>
        <v>206</v>
      </c>
      <c r="B213" s="82">
        <v>44986</v>
      </c>
      <c r="D213" s="67">
        <v>-195464.15292800043</v>
      </c>
      <c r="E213" s="98"/>
      <c r="F213" s="79">
        <v>6.3100000000000003E-2</v>
      </c>
      <c r="G213" s="76">
        <f t="shared" si="24"/>
        <v>-13447.83</v>
      </c>
      <c r="H213" s="67">
        <f t="shared" si="26"/>
        <v>-208911.98292800042</v>
      </c>
      <c r="I213" s="75">
        <f t="shared" si="22"/>
        <v>-2668612.5135325487</v>
      </c>
    </row>
    <row r="214" spans="1:9" hidden="1" outlineLevel="1" x14ac:dyDescent="0.25">
      <c r="A214" s="71">
        <f t="shared" si="25"/>
        <v>207</v>
      </c>
      <c r="B214" s="82">
        <v>45017</v>
      </c>
      <c r="D214" s="67">
        <v>69037.130753599922</v>
      </c>
      <c r="E214" s="98"/>
      <c r="F214" s="79">
        <v>7.4999999999999997E-2</v>
      </c>
      <c r="G214" s="76">
        <f t="shared" si="24"/>
        <v>-16463.09</v>
      </c>
      <c r="H214" s="67">
        <f t="shared" si="26"/>
        <v>52574.040753599926</v>
      </c>
      <c r="I214" s="75">
        <f t="shared" si="22"/>
        <v>-2616038.472778949</v>
      </c>
    </row>
    <row r="215" spans="1:9" hidden="1" outlineLevel="1" x14ac:dyDescent="0.25">
      <c r="A215" s="71">
        <f t="shared" si="25"/>
        <v>208</v>
      </c>
      <c r="B215" s="82">
        <v>45047</v>
      </c>
      <c r="D215" s="67">
        <v>455725.03046820097</v>
      </c>
      <c r="E215" s="98"/>
      <c r="F215" s="79">
        <v>7.4999999999999997E-2</v>
      </c>
      <c r="G215" s="76">
        <f t="shared" si="24"/>
        <v>-14926.1</v>
      </c>
      <c r="H215" s="67">
        <f t="shared" si="26"/>
        <v>440798.930468201</v>
      </c>
      <c r="I215" s="75">
        <f t="shared" si="22"/>
        <v>-2175239.5423107478</v>
      </c>
    </row>
    <row r="216" spans="1:9" hidden="1" outlineLevel="1" collapsed="1" x14ac:dyDescent="0.25">
      <c r="A216" s="71">
        <f t="shared" si="25"/>
        <v>209</v>
      </c>
      <c r="B216" s="82">
        <v>45078</v>
      </c>
      <c r="D216" s="67">
        <v>508417.19351539988</v>
      </c>
      <c r="E216" s="98"/>
      <c r="F216" s="79">
        <v>7.4999999999999997E-2</v>
      </c>
      <c r="G216" s="76">
        <f t="shared" si="24"/>
        <v>-12006.44</v>
      </c>
      <c r="H216" s="67">
        <f t="shared" si="26"/>
        <v>496410.75351539988</v>
      </c>
      <c r="I216" s="75">
        <f t="shared" ref="I216:I244" si="27">+I215+H216</f>
        <v>-1678828.7887953478</v>
      </c>
    </row>
    <row r="217" spans="1:9" hidden="1" outlineLevel="1" x14ac:dyDescent="0.25">
      <c r="A217" s="71">
        <f t="shared" si="25"/>
        <v>210</v>
      </c>
      <c r="B217" s="82">
        <v>45108</v>
      </c>
      <c r="D217" s="67">
        <v>558256.9254786002</v>
      </c>
      <c r="E217" s="98"/>
      <c r="F217" s="79">
        <v>8.0199999999999994E-2</v>
      </c>
      <c r="G217" s="76">
        <f t="shared" si="24"/>
        <v>-9354.66</v>
      </c>
      <c r="H217" s="67">
        <f t="shared" si="26"/>
        <v>548902.26547860017</v>
      </c>
      <c r="I217" s="75">
        <f t="shared" si="27"/>
        <v>-1129926.5233167475</v>
      </c>
    </row>
    <row r="218" spans="1:9" hidden="1" outlineLevel="1" x14ac:dyDescent="0.25">
      <c r="A218" s="71">
        <f t="shared" si="25"/>
        <v>211</v>
      </c>
      <c r="B218" s="82">
        <v>45139</v>
      </c>
      <c r="D218" s="67">
        <v>555298.7954857999</v>
      </c>
      <c r="E218" s="98"/>
      <c r="F218" s="79">
        <v>8.0199999999999994E-2</v>
      </c>
      <c r="G218" s="76">
        <f t="shared" si="24"/>
        <v>-5696.05</v>
      </c>
      <c r="H218" s="67">
        <f t="shared" si="26"/>
        <v>549602.74548579985</v>
      </c>
      <c r="I218" s="75">
        <f t="shared" si="27"/>
        <v>-580323.77783094766</v>
      </c>
    </row>
    <row r="219" spans="1:9" hidden="1" outlineLevel="1" x14ac:dyDescent="0.25">
      <c r="A219" s="71">
        <f t="shared" si="25"/>
        <v>212</v>
      </c>
      <c r="B219" s="82">
        <v>45170</v>
      </c>
      <c r="D219" s="67">
        <v>514955.44346919953</v>
      </c>
      <c r="E219" s="98"/>
      <c r="F219" s="79">
        <v>8.0199999999999994E-2</v>
      </c>
      <c r="G219" s="76">
        <f t="shared" si="24"/>
        <v>-2157.69</v>
      </c>
      <c r="H219" s="67">
        <f t="shared" si="26"/>
        <v>512797.75346919952</v>
      </c>
      <c r="I219" s="75">
        <f t="shared" si="27"/>
        <v>-67526.024361748132</v>
      </c>
    </row>
    <row r="220" spans="1:9" hidden="1" outlineLevel="1" x14ac:dyDescent="0.25">
      <c r="A220" s="71">
        <f t="shared" si="25"/>
        <v>213</v>
      </c>
      <c r="B220" s="82">
        <v>45200</v>
      </c>
      <c r="D220" s="67">
        <v>316268.25851520011</v>
      </c>
      <c r="E220" s="98"/>
      <c r="F220" s="79">
        <v>8.3500000000000005E-2</v>
      </c>
      <c r="G220" s="76">
        <f t="shared" ref="G220:G244" si="28">ROUND((+I219+E220+(D220/2))*F220/12,2)</f>
        <v>630.48</v>
      </c>
      <c r="H220" s="67">
        <f t="shared" si="26"/>
        <v>316898.73851520009</v>
      </c>
      <c r="I220" s="75">
        <f t="shared" si="27"/>
        <v>249372.71415345196</v>
      </c>
    </row>
    <row r="221" spans="1:9" hidden="1" outlineLevel="1" x14ac:dyDescent="0.25">
      <c r="A221" s="71">
        <f t="shared" si="25"/>
        <v>214</v>
      </c>
      <c r="B221" s="82">
        <v>45231</v>
      </c>
      <c r="C221" s="81" t="s">
        <v>321</v>
      </c>
      <c r="D221" s="67">
        <v>-265016.08212669019</v>
      </c>
      <c r="E221" s="98">
        <v>588106.69999999995</v>
      </c>
      <c r="F221" s="79">
        <v>8.3500000000000005E-2</v>
      </c>
      <c r="G221" s="76">
        <f t="shared" si="28"/>
        <v>4905.43</v>
      </c>
      <c r="H221" s="67">
        <f t="shared" si="26"/>
        <v>327996.04787330976</v>
      </c>
      <c r="I221" s="75">
        <f t="shared" si="27"/>
        <v>577368.76202676166</v>
      </c>
    </row>
    <row r="222" spans="1:9" hidden="1" outlineLevel="1" x14ac:dyDescent="0.25">
      <c r="A222" s="71">
        <f t="shared" si="25"/>
        <v>215</v>
      </c>
      <c r="B222" s="82">
        <v>45261</v>
      </c>
      <c r="D222" s="67">
        <v>-393643.70362843026</v>
      </c>
      <c r="E222" s="98"/>
      <c r="F222" s="79">
        <v>8.3500000000000005E-2</v>
      </c>
      <c r="G222" s="76">
        <f t="shared" si="28"/>
        <v>2647.97</v>
      </c>
      <c r="H222" s="67">
        <f t="shared" si="26"/>
        <v>-390995.73362843029</v>
      </c>
      <c r="I222" s="75">
        <f t="shared" si="27"/>
        <v>186373.02839833137</v>
      </c>
    </row>
    <row r="223" spans="1:9" hidden="1" outlineLevel="1" x14ac:dyDescent="0.25">
      <c r="A223" s="71">
        <f t="shared" si="25"/>
        <v>216</v>
      </c>
      <c r="B223" s="82">
        <v>45292</v>
      </c>
      <c r="D223" s="67">
        <v>-659883.45014952007</v>
      </c>
      <c r="E223" s="98"/>
      <c r="F223" s="79">
        <v>8.5000000000000006E-2</v>
      </c>
      <c r="G223" s="76">
        <f t="shared" si="28"/>
        <v>-1016.94</v>
      </c>
      <c r="H223" s="67">
        <f t="shared" si="26"/>
        <v>-660900.39014952001</v>
      </c>
      <c r="I223" s="75">
        <f t="shared" si="27"/>
        <v>-474527.36175118864</v>
      </c>
    </row>
    <row r="224" spans="1:9" hidden="1" outlineLevel="1" x14ac:dyDescent="0.25">
      <c r="A224" s="71">
        <f t="shared" si="25"/>
        <v>217</v>
      </c>
      <c r="B224" s="82">
        <v>45323</v>
      </c>
      <c r="D224" s="67">
        <v>-362669.72979292041</v>
      </c>
      <c r="E224" s="98"/>
      <c r="F224" s="79">
        <v>8.5000000000000006E-2</v>
      </c>
      <c r="G224" s="76">
        <f t="shared" si="28"/>
        <v>-4645.6899999999996</v>
      </c>
      <c r="H224" s="67">
        <f t="shared" si="26"/>
        <v>-367315.41979292041</v>
      </c>
      <c r="I224" s="75">
        <f t="shared" si="27"/>
        <v>-841842.78154410911</v>
      </c>
    </row>
    <row r="225" spans="1:9" hidden="1" outlineLevel="1" x14ac:dyDescent="0.25">
      <c r="A225" s="71">
        <f t="shared" si="25"/>
        <v>218</v>
      </c>
      <c r="B225" s="82">
        <v>45352</v>
      </c>
      <c r="D225" s="67">
        <v>-165045.47123795026</v>
      </c>
      <c r="E225" s="98"/>
      <c r="F225" s="79">
        <v>8.5000000000000006E-2</v>
      </c>
      <c r="G225" s="76">
        <f t="shared" si="28"/>
        <v>-6547.59</v>
      </c>
      <c r="H225" s="67">
        <f t="shared" si="26"/>
        <v>-171593.06123795026</v>
      </c>
      <c r="I225" s="75">
        <f t="shared" si="27"/>
        <v>-1013435.8427820593</v>
      </c>
    </row>
    <row r="226" spans="1:9" hidden="1" outlineLevel="1" x14ac:dyDescent="0.25">
      <c r="A226" s="71">
        <f t="shared" si="25"/>
        <v>219</v>
      </c>
      <c r="B226" s="82">
        <v>45383</v>
      </c>
      <c r="D226" s="67">
        <v>102636.82016472972</v>
      </c>
      <c r="E226" s="98"/>
      <c r="F226" s="79">
        <v>8.5000000000000006E-2</v>
      </c>
      <c r="G226" s="76">
        <f t="shared" si="28"/>
        <v>-6815</v>
      </c>
      <c r="H226" s="67">
        <f t="shared" si="26"/>
        <v>95821.820164729725</v>
      </c>
      <c r="I226" s="75">
        <f t="shared" si="27"/>
        <v>-917614.02261732961</v>
      </c>
    </row>
    <row r="227" spans="1:9" hidden="1" outlineLevel="1" x14ac:dyDescent="0.25">
      <c r="A227" s="71">
        <f t="shared" si="25"/>
        <v>220</v>
      </c>
      <c r="B227" s="82">
        <v>45413</v>
      </c>
      <c r="D227" s="67">
        <v>284011.45459477953</v>
      </c>
      <c r="E227" s="98"/>
      <c r="F227" s="79">
        <v>8.5000000000000006E-2</v>
      </c>
      <c r="G227" s="76">
        <f t="shared" si="28"/>
        <v>-5493.89</v>
      </c>
      <c r="H227" s="67">
        <f t="shared" si="26"/>
        <v>278517.56459477951</v>
      </c>
      <c r="I227" s="75">
        <f t="shared" si="27"/>
        <v>-639096.4580225501</v>
      </c>
    </row>
    <row r="228" spans="1:9" hidden="1" outlineLevel="1" x14ac:dyDescent="0.25">
      <c r="A228" s="71">
        <f t="shared" si="25"/>
        <v>221</v>
      </c>
      <c r="B228" s="82">
        <v>45444</v>
      </c>
      <c r="D228" s="67">
        <v>418177.56708429969</v>
      </c>
      <c r="E228" s="98"/>
      <c r="F228" s="79">
        <v>8.5000000000000006E-2</v>
      </c>
      <c r="G228" s="76">
        <f t="shared" si="28"/>
        <v>-3045.89</v>
      </c>
      <c r="H228" s="67">
        <f t="shared" si="26"/>
        <v>415131.67708429968</v>
      </c>
      <c r="I228" s="75">
        <f t="shared" si="27"/>
        <v>-223964.78093825042</v>
      </c>
    </row>
    <row r="229" spans="1:9" hidden="1" outlineLevel="1" x14ac:dyDescent="0.25">
      <c r="A229" s="71">
        <f t="shared" si="25"/>
        <v>222</v>
      </c>
      <c r="B229" s="82">
        <v>45474</v>
      </c>
      <c r="D229" s="67">
        <v>489607.14356594987</v>
      </c>
      <c r="E229" s="98"/>
      <c r="F229" s="79">
        <v>8.5000000000000006E-2</v>
      </c>
      <c r="G229" s="76">
        <f t="shared" si="28"/>
        <v>147.61000000000001</v>
      </c>
      <c r="H229" s="67">
        <f t="shared" si="26"/>
        <v>489754.75356594985</v>
      </c>
      <c r="I229" s="75">
        <f t="shared" si="27"/>
        <v>265789.97262769943</v>
      </c>
    </row>
    <row r="230" spans="1:9" hidden="1" outlineLevel="1" x14ac:dyDescent="0.25">
      <c r="A230" s="71">
        <f t="shared" si="25"/>
        <v>223</v>
      </c>
      <c r="B230" s="82">
        <v>45505</v>
      </c>
      <c r="D230" s="67">
        <v>480536.60101338988</v>
      </c>
      <c r="E230" s="98"/>
      <c r="F230" s="79">
        <v>8.5000000000000006E-2</v>
      </c>
      <c r="G230" s="76">
        <f t="shared" si="28"/>
        <v>3584.58</v>
      </c>
      <c r="H230" s="67">
        <f t="shared" si="26"/>
        <v>484121.1810133899</v>
      </c>
      <c r="I230" s="75">
        <f t="shared" si="27"/>
        <v>749911.15364108933</v>
      </c>
    </row>
    <row r="231" spans="1:9" hidden="1" outlineLevel="1" x14ac:dyDescent="0.25">
      <c r="A231" s="71">
        <f t="shared" si="25"/>
        <v>224</v>
      </c>
      <c r="B231" s="82">
        <v>45536</v>
      </c>
      <c r="D231" s="67">
        <v>443515.99322472967</v>
      </c>
      <c r="E231" s="98"/>
      <c r="F231" s="79">
        <v>8.5000000000000006E-2</v>
      </c>
      <c r="G231" s="76">
        <f t="shared" si="28"/>
        <v>6882.66</v>
      </c>
      <c r="H231" s="67">
        <f t="shared" si="26"/>
        <v>450398.65322472964</v>
      </c>
      <c r="I231" s="75">
        <f t="shared" si="27"/>
        <v>1200309.806865819</v>
      </c>
    </row>
    <row r="232" spans="1:9" hidden="1" outlineLevel="1" x14ac:dyDescent="0.25">
      <c r="A232" s="71">
        <f t="shared" si="25"/>
        <v>225</v>
      </c>
      <c r="B232" s="82">
        <v>45566</v>
      </c>
      <c r="D232" s="67">
        <v>217665.58424313972</v>
      </c>
      <c r="E232" s="98"/>
      <c r="F232" s="79">
        <v>8.5000000000000006E-2</v>
      </c>
      <c r="G232" s="76">
        <f t="shared" si="28"/>
        <v>9273.09</v>
      </c>
      <c r="H232" s="67">
        <f t="shared" si="26"/>
        <v>226938.67424313971</v>
      </c>
      <c r="I232" s="75">
        <f t="shared" si="27"/>
        <v>1427248.4811089588</v>
      </c>
    </row>
    <row r="233" spans="1:9" collapsed="1" x14ac:dyDescent="0.25">
      <c r="A233" s="71">
        <f t="shared" si="25"/>
        <v>226</v>
      </c>
      <c r="B233" s="82">
        <v>45597</v>
      </c>
      <c r="D233" s="67">
        <v>-229928.46672846994</v>
      </c>
      <c r="E233" s="98">
        <v>-760572.52364108933</v>
      </c>
      <c r="F233" s="79">
        <v>8.5000000000000006E-2</v>
      </c>
      <c r="G233" s="76">
        <f t="shared" si="28"/>
        <v>3907.96</v>
      </c>
      <c r="H233" s="67">
        <f t="shared" si="26"/>
        <v>-986593.0303695593</v>
      </c>
      <c r="I233" s="75">
        <f t="shared" si="27"/>
        <v>440655.45073939953</v>
      </c>
    </row>
    <row r="234" spans="1:9" x14ac:dyDescent="0.25">
      <c r="A234" s="71">
        <f t="shared" si="25"/>
        <v>227</v>
      </c>
      <c r="B234" s="82">
        <v>45627</v>
      </c>
      <c r="D234" s="67">
        <v>-499434.87816914974</v>
      </c>
      <c r="E234" s="98"/>
      <c r="F234" s="79">
        <v>8.5000000000000006E-2</v>
      </c>
      <c r="G234" s="76">
        <f t="shared" si="28"/>
        <v>1352.48</v>
      </c>
      <c r="H234" s="67">
        <f t="shared" si="26"/>
        <v>-498082.39816914976</v>
      </c>
      <c r="I234" s="75">
        <f t="shared" si="27"/>
        <v>-57426.947429750231</v>
      </c>
    </row>
    <row r="235" spans="1:9" x14ac:dyDescent="0.25">
      <c r="A235" s="71">
        <f t="shared" si="25"/>
        <v>228</v>
      </c>
      <c r="B235" s="82">
        <v>45658</v>
      </c>
      <c r="D235" s="67">
        <v>-706235.9048833499</v>
      </c>
      <c r="E235" s="98"/>
      <c r="F235" s="79">
        <v>8.0399999999999999E-2</v>
      </c>
      <c r="G235" s="76">
        <f t="shared" si="28"/>
        <v>-2750.65</v>
      </c>
      <c r="H235" s="67">
        <f t="shared" si="26"/>
        <v>-708986.55488334992</v>
      </c>
      <c r="I235" s="75">
        <f t="shared" si="27"/>
        <v>-766413.50231310015</v>
      </c>
    </row>
    <row r="236" spans="1:9" x14ac:dyDescent="0.25">
      <c r="A236" s="71">
        <f t="shared" si="25"/>
        <v>229</v>
      </c>
      <c r="B236" s="82">
        <v>45689</v>
      </c>
      <c r="D236" s="67">
        <v>-530044.18907207972</v>
      </c>
      <c r="E236" s="98"/>
      <c r="F236" s="79">
        <v>8.0399999999999999E-2</v>
      </c>
      <c r="G236" s="76">
        <f t="shared" si="28"/>
        <v>-6910.62</v>
      </c>
      <c r="H236" s="67">
        <f t="shared" si="26"/>
        <v>-536954.80907207972</v>
      </c>
      <c r="I236" s="75">
        <f t="shared" si="27"/>
        <v>-1303368.3113851799</v>
      </c>
    </row>
    <row r="237" spans="1:9" x14ac:dyDescent="0.25">
      <c r="A237" s="71">
        <f t="shared" si="25"/>
        <v>230</v>
      </c>
      <c r="B237" s="82">
        <v>45717</v>
      </c>
      <c r="D237" s="67">
        <v>-104328.28289509984</v>
      </c>
      <c r="E237" s="98"/>
      <c r="F237" s="79">
        <v>8.0399999999999999E-2</v>
      </c>
      <c r="G237" s="76">
        <f t="shared" si="28"/>
        <v>-9082.07</v>
      </c>
      <c r="H237" s="67">
        <f t="shared" ref="H237:H244" si="29">SUM(D237:E237,G237)</f>
        <v>-113410.35289509984</v>
      </c>
      <c r="I237" s="75">
        <f t="shared" si="27"/>
        <v>-1416778.6642802798</v>
      </c>
    </row>
    <row r="238" spans="1:9" x14ac:dyDescent="0.25">
      <c r="A238" s="71">
        <f t="shared" si="25"/>
        <v>231</v>
      </c>
      <c r="B238" s="82">
        <v>45748</v>
      </c>
      <c r="D238" s="67">
        <v>197873.22721882013</v>
      </c>
      <c r="E238" s="98"/>
      <c r="F238" s="79">
        <v>7.5499999999999998E-2</v>
      </c>
      <c r="G238" s="76">
        <f t="shared" si="28"/>
        <v>-8291.42</v>
      </c>
      <c r="H238" s="67">
        <f t="shared" si="29"/>
        <v>189581.80721882012</v>
      </c>
      <c r="I238" s="75">
        <f t="shared" si="27"/>
        <v>-1227196.8570614597</v>
      </c>
    </row>
    <row r="239" spans="1:9" x14ac:dyDescent="0.25">
      <c r="A239" s="71">
        <f t="shared" si="25"/>
        <v>232</v>
      </c>
      <c r="B239" s="82">
        <v>45778</v>
      </c>
      <c r="D239" s="67">
        <v>402647.66838721029</v>
      </c>
      <c r="E239" s="98"/>
      <c r="F239" s="79">
        <v>7.5499999999999998E-2</v>
      </c>
      <c r="G239" s="76">
        <f t="shared" si="28"/>
        <v>-6454.45</v>
      </c>
      <c r="H239" s="67">
        <f t="shared" si="29"/>
        <v>396193.21838721028</v>
      </c>
      <c r="I239" s="75">
        <f t="shared" si="27"/>
        <v>-831003.63867424941</v>
      </c>
    </row>
    <row r="240" spans="1:9" x14ac:dyDescent="0.25">
      <c r="A240" s="71">
        <f t="shared" si="25"/>
        <v>233</v>
      </c>
      <c r="B240" s="82">
        <v>45809</v>
      </c>
      <c r="D240" s="67">
        <v>457483.87680838001</v>
      </c>
      <c r="E240" s="98"/>
      <c r="F240" s="79">
        <v>7.5499999999999998E-2</v>
      </c>
      <c r="G240" s="76">
        <f t="shared" si="28"/>
        <v>-3789.23</v>
      </c>
      <c r="H240" s="67">
        <f t="shared" si="29"/>
        <v>453694.64680838003</v>
      </c>
      <c r="I240" s="75">
        <f t="shared" si="27"/>
        <v>-377308.99186586938</v>
      </c>
    </row>
    <row r="241" spans="1:12" x14ac:dyDescent="0.25">
      <c r="A241" s="71">
        <f t="shared" si="25"/>
        <v>234</v>
      </c>
      <c r="B241" s="82">
        <v>45839</v>
      </c>
      <c r="D241" s="67">
        <v>516672.2955977302</v>
      </c>
      <c r="E241" s="98"/>
      <c r="F241" s="83">
        <v>7.4999999999999997E-2</v>
      </c>
      <c r="G241" s="76">
        <f t="shared" si="28"/>
        <v>-743.58</v>
      </c>
      <c r="H241" s="67">
        <f t="shared" si="29"/>
        <v>515928.71559773019</v>
      </c>
      <c r="I241" s="75">
        <f t="shared" si="27"/>
        <v>138619.72373186081</v>
      </c>
    </row>
    <row r="242" spans="1:12" x14ac:dyDescent="0.25">
      <c r="A242" s="71">
        <f t="shared" si="25"/>
        <v>235</v>
      </c>
      <c r="B242" s="82">
        <v>45870</v>
      </c>
      <c r="D242" s="67">
        <v>528471.11786576011</v>
      </c>
      <c r="E242" s="98"/>
      <c r="F242" s="79">
        <v>7.4999999999999997E-2</v>
      </c>
      <c r="G242" s="76">
        <f t="shared" si="28"/>
        <v>2517.85</v>
      </c>
      <c r="H242" s="67">
        <f t="shared" si="29"/>
        <v>530988.96786576009</v>
      </c>
      <c r="I242" s="75">
        <f t="shared" si="27"/>
        <v>669608.69159762096</v>
      </c>
    </row>
    <row r="243" spans="1:12" x14ac:dyDescent="0.25">
      <c r="A243" s="71">
        <f t="shared" si="25"/>
        <v>236</v>
      </c>
      <c r="B243" s="82">
        <v>45901</v>
      </c>
      <c r="E243" s="98"/>
      <c r="F243" s="79">
        <v>7.4999999999999997E-2</v>
      </c>
      <c r="G243" s="76">
        <f t="shared" si="28"/>
        <v>4185.05</v>
      </c>
      <c r="H243" s="67">
        <f t="shared" si="29"/>
        <v>4185.05</v>
      </c>
      <c r="I243" s="75">
        <f t="shared" si="27"/>
        <v>673793.741597621</v>
      </c>
    </row>
    <row r="244" spans="1:12" x14ac:dyDescent="0.25">
      <c r="A244" s="71">
        <f t="shared" si="25"/>
        <v>237</v>
      </c>
      <c r="B244" s="82">
        <v>45931</v>
      </c>
      <c r="E244" s="98"/>
      <c r="F244" s="79">
        <v>7.4999999999999997E-2</v>
      </c>
      <c r="G244" s="76">
        <f t="shared" si="28"/>
        <v>4211.21</v>
      </c>
      <c r="H244" s="67">
        <f t="shared" si="29"/>
        <v>4211.21</v>
      </c>
      <c r="I244" s="75">
        <f t="shared" si="27"/>
        <v>678004.95159762097</v>
      </c>
    </row>
    <row r="245" spans="1:12" x14ac:dyDescent="0.25">
      <c r="A245" s="71">
        <f t="shared" si="25"/>
        <v>238</v>
      </c>
      <c r="B245" s="82"/>
      <c r="E245" s="98"/>
      <c r="F245" s="77"/>
      <c r="G245" s="76"/>
      <c r="I245" s="75"/>
    </row>
    <row r="246" spans="1:12" x14ac:dyDescent="0.25">
      <c r="A246" s="71">
        <f t="shared" si="25"/>
        <v>239</v>
      </c>
      <c r="B246" s="74" t="s">
        <v>320</v>
      </c>
      <c r="E246" s="98"/>
      <c r="F246" s="98"/>
      <c r="G246" s="76"/>
      <c r="I246" s="75"/>
      <c r="L246" s="86"/>
    </row>
    <row r="247" spans="1:12" x14ac:dyDescent="0.25">
      <c r="A247" s="71">
        <f t="shared" si="25"/>
        <v>240</v>
      </c>
      <c r="B247" s="73"/>
      <c r="E247" s="98"/>
      <c r="F247" s="98"/>
      <c r="G247" s="76"/>
      <c r="H247" s="76"/>
      <c r="J247" s="75">
        <f>+J246+I247</f>
        <v>0</v>
      </c>
    </row>
    <row r="248" spans="1:12" x14ac:dyDescent="0.25">
      <c r="A248" s="71">
        <f t="shared" si="25"/>
        <v>241</v>
      </c>
      <c r="B248" s="72" t="s">
        <v>318</v>
      </c>
      <c r="E248" s="98"/>
      <c r="F248" s="98"/>
      <c r="G248" s="98"/>
      <c r="H248" s="98"/>
      <c r="I248" s="98"/>
    </row>
    <row r="249" spans="1:12" x14ac:dyDescent="0.25">
      <c r="A249" s="71">
        <f t="shared" si="25"/>
        <v>242</v>
      </c>
      <c r="B249" s="70" t="s">
        <v>357</v>
      </c>
      <c r="E249" s="98"/>
      <c r="F249" s="98"/>
      <c r="G249" s="98"/>
      <c r="H249" s="98"/>
      <c r="I249" s="98"/>
    </row>
    <row r="250" spans="1:12" x14ac:dyDescent="0.25">
      <c r="B250" s="70"/>
      <c r="C250" s="86"/>
      <c r="E250" s="98"/>
      <c r="F250" s="98"/>
      <c r="G250" s="98"/>
      <c r="H250" s="98"/>
      <c r="I250" s="98"/>
    </row>
    <row r="251" spans="1:12" x14ac:dyDescent="0.25">
      <c r="C251" s="86"/>
      <c r="E251" s="98"/>
      <c r="F251" s="98"/>
      <c r="G251" s="98"/>
      <c r="H251" s="98"/>
      <c r="I251" s="98"/>
    </row>
    <row r="252" spans="1:12" x14ac:dyDescent="0.25">
      <c r="E252" s="98"/>
      <c r="F252" s="98"/>
      <c r="G252" s="98"/>
      <c r="H252" s="98"/>
      <c r="I252" s="98"/>
    </row>
  </sheetData>
  <pageMargins left="0.7" right="0.7" top="0.75" bottom="0.75" header="0.3" footer="0.3"/>
  <pageSetup scale="74" orientation="portrait" r:id="rId1"/>
  <headerFooter alignWithMargins="0">
    <oddHeader>&amp;R&amp;"Arial,Regular"UG-250717 - NWN WUTC Advice 25-08A
Exhibit A - Supporting Materials
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AE90C-F226-4417-8D6B-DE30B076C168}">
  <sheetPr>
    <tabColor theme="0" tint="-0.14999847407452621"/>
    <pageSetUpPr fitToPage="1"/>
  </sheetPr>
  <dimension ref="A1:O277"/>
  <sheetViews>
    <sheetView tabSelected="1" view="pageBreakPreview" zoomScaleNormal="90" zoomScaleSheetLayoutView="100" workbookViewId="0">
      <pane xSplit="1" ySplit="11" topLeftCell="B12" activePane="bottomRight" state="frozen"/>
      <selection activeCell="I13" sqref="I13:I80"/>
      <selection pane="topRight" activeCell="I13" sqref="I13:I80"/>
      <selection pane="bottomLeft" activeCell="I13" sqref="I13:I80"/>
      <selection pane="bottomRight" activeCell="I13" sqref="I13:I80"/>
    </sheetView>
  </sheetViews>
  <sheetFormatPr defaultColWidth="9.19921875" defaultRowHeight="12.5" outlineLevelRow="1" x14ac:dyDescent="0.25"/>
  <cols>
    <col min="1" max="1" width="4.69921875" style="68" customWidth="1"/>
    <col min="2" max="2" width="15.69921875" style="66" customWidth="1"/>
    <col min="3" max="3" width="14.796875" style="66" customWidth="1"/>
    <col min="4" max="4" width="15.69921875" style="67" customWidth="1"/>
    <col min="5" max="5" width="17.19921875" style="67" customWidth="1"/>
    <col min="6" max="7" width="15.69921875" style="67" customWidth="1"/>
    <col min="8" max="8" width="16.796875" style="67" customWidth="1"/>
    <col min="9" max="9" width="21.796875" style="67" customWidth="1"/>
    <col min="10" max="20" width="15.69921875" style="66" customWidth="1"/>
    <col min="21" max="16384" width="9.19921875" style="66"/>
  </cols>
  <sheetData>
    <row r="1" spans="1:15" x14ac:dyDescent="0.25">
      <c r="B1" s="66" t="s">
        <v>345</v>
      </c>
      <c r="D1" s="67" t="s">
        <v>344</v>
      </c>
    </row>
    <row r="2" spans="1:15" x14ac:dyDescent="0.25">
      <c r="B2" s="66" t="s">
        <v>343</v>
      </c>
      <c r="D2" s="67" t="s">
        <v>2</v>
      </c>
    </row>
    <row r="3" spans="1:15" x14ac:dyDescent="0.25">
      <c r="B3" s="66" t="s">
        <v>342</v>
      </c>
      <c r="D3" s="97" t="s">
        <v>368</v>
      </c>
      <c r="O3" s="66" t="s">
        <v>367</v>
      </c>
    </row>
    <row r="4" spans="1:15" x14ac:dyDescent="0.25">
      <c r="B4" s="66" t="s">
        <v>340</v>
      </c>
      <c r="D4" s="96">
        <v>151555</v>
      </c>
    </row>
    <row r="5" spans="1:15" x14ac:dyDescent="0.25">
      <c r="D5" s="66" t="s">
        <v>339</v>
      </c>
    </row>
    <row r="6" spans="1:15" x14ac:dyDescent="0.25">
      <c r="D6" s="66" t="s">
        <v>338</v>
      </c>
    </row>
    <row r="8" spans="1:15" x14ac:dyDescent="0.25">
      <c r="A8" s="71">
        <v>1</v>
      </c>
      <c r="B8" s="66" t="s">
        <v>337</v>
      </c>
      <c r="G8" s="92"/>
    </row>
    <row r="9" spans="1:15" x14ac:dyDescent="0.25">
      <c r="A9" s="71">
        <f t="shared" ref="A9:A72" si="0">+A8+1</f>
        <v>2</v>
      </c>
      <c r="G9" s="92"/>
    </row>
    <row r="10" spans="1:15" x14ac:dyDescent="0.25">
      <c r="A10" s="71">
        <f t="shared" si="0"/>
        <v>3</v>
      </c>
      <c r="B10" s="93"/>
      <c r="C10" s="93"/>
      <c r="D10" s="92"/>
      <c r="E10" s="92"/>
      <c r="F10" s="92"/>
      <c r="G10" s="92"/>
      <c r="H10" s="92"/>
      <c r="I10" s="92"/>
    </row>
    <row r="11" spans="1:15" x14ac:dyDescent="0.25">
      <c r="A11" s="71">
        <f t="shared" si="0"/>
        <v>4</v>
      </c>
      <c r="B11" s="95" t="s">
        <v>336</v>
      </c>
      <c r="C11" s="95" t="s">
        <v>335</v>
      </c>
      <c r="D11" s="94" t="s">
        <v>276</v>
      </c>
      <c r="E11" s="94" t="s">
        <v>333</v>
      </c>
      <c r="F11" s="94" t="s">
        <v>332</v>
      </c>
      <c r="G11" s="94" t="s">
        <v>263</v>
      </c>
      <c r="H11" s="94" t="s">
        <v>275</v>
      </c>
      <c r="I11" s="94" t="s">
        <v>267</v>
      </c>
    </row>
    <row r="12" spans="1:15" x14ac:dyDescent="0.25">
      <c r="A12" s="71">
        <f t="shared" si="0"/>
        <v>5</v>
      </c>
      <c r="B12" s="93" t="s">
        <v>331</v>
      </c>
      <c r="C12" s="93" t="s">
        <v>330</v>
      </c>
      <c r="D12" s="92" t="s">
        <v>329</v>
      </c>
      <c r="E12" s="92" t="s">
        <v>328</v>
      </c>
      <c r="F12" s="92" t="s">
        <v>366</v>
      </c>
      <c r="G12" s="92" t="s">
        <v>325</v>
      </c>
      <c r="H12" s="92" t="s">
        <v>324</v>
      </c>
      <c r="I12" s="92" t="s">
        <v>365</v>
      </c>
      <c r="J12" s="93"/>
    </row>
    <row r="13" spans="1:15" x14ac:dyDescent="0.25">
      <c r="A13" s="71">
        <f t="shared" si="0"/>
        <v>6</v>
      </c>
      <c r="G13" s="92"/>
    </row>
    <row r="14" spans="1:15" hidden="1" outlineLevel="1" x14ac:dyDescent="0.25">
      <c r="A14" s="71">
        <f t="shared" si="0"/>
        <v>7</v>
      </c>
      <c r="B14" s="70" t="s">
        <v>323</v>
      </c>
    </row>
    <row r="15" spans="1:15" hidden="1" outlineLevel="1" x14ac:dyDescent="0.25">
      <c r="A15" s="71">
        <f t="shared" si="0"/>
        <v>8</v>
      </c>
      <c r="B15" s="66">
        <v>39021</v>
      </c>
      <c r="G15" s="75"/>
      <c r="I15" s="67">
        <v>-462588.19</v>
      </c>
    </row>
    <row r="16" spans="1:15" hidden="1" outlineLevel="1" x14ac:dyDescent="0.25">
      <c r="A16" s="71">
        <f t="shared" si="0"/>
        <v>9</v>
      </c>
      <c r="B16" s="66">
        <f>+B15+30</f>
        <v>39051</v>
      </c>
      <c r="D16" s="67">
        <f>12716.63+44380.4</f>
        <v>57097.03</v>
      </c>
      <c r="E16" s="67">
        <f>-'151550 Demand Accrual'!E16-'[34]191432'!E16</f>
        <v>-73630.66</v>
      </c>
      <c r="G16" s="75">
        <f>-2942.68-3252.44</f>
        <v>-6195.12</v>
      </c>
      <c r="H16" s="67">
        <f t="shared" ref="H16:H53" si="1">SUM(D16:G16)</f>
        <v>-22728.750000000004</v>
      </c>
      <c r="I16" s="75">
        <f t="shared" ref="I16:I53" si="2">+I15+H16</f>
        <v>-485316.94</v>
      </c>
    </row>
    <row r="17" spans="1:10" hidden="1" outlineLevel="1" x14ac:dyDescent="0.25">
      <c r="A17" s="71">
        <f t="shared" si="0"/>
        <v>10</v>
      </c>
      <c r="B17" s="66">
        <f>+B16+31</f>
        <v>39082</v>
      </c>
      <c r="D17" s="67">
        <v>126678.92</v>
      </c>
      <c r="G17" s="75">
        <v>-2721.75</v>
      </c>
      <c r="H17" s="67">
        <f t="shared" si="1"/>
        <v>123957.17</v>
      </c>
      <c r="I17" s="75">
        <f t="shared" si="2"/>
        <v>-361359.77</v>
      </c>
    </row>
    <row r="18" spans="1:10" hidden="1" outlineLevel="1" x14ac:dyDescent="0.25">
      <c r="A18" s="71">
        <f t="shared" si="0"/>
        <v>11</v>
      </c>
      <c r="B18" s="66">
        <f>+B17+31</f>
        <v>39113</v>
      </c>
      <c r="D18" s="67">
        <v>166860.57</v>
      </c>
      <c r="G18" s="75">
        <v>-1792.65</v>
      </c>
      <c r="H18" s="67">
        <f t="shared" si="1"/>
        <v>165067.92000000001</v>
      </c>
      <c r="I18" s="75">
        <f t="shared" si="2"/>
        <v>-196291.85</v>
      </c>
    </row>
    <row r="19" spans="1:10" hidden="1" outlineLevel="1" x14ac:dyDescent="0.25">
      <c r="A19" s="71">
        <f t="shared" si="0"/>
        <v>12</v>
      </c>
      <c r="B19" s="66">
        <f>+B18+28</f>
        <v>39141</v>
      </c>
      <c r="D19" s="67">
        <v>149593.87</v>
      </c>
      <c r="G19" s="75">
        <v>-827.18</v>
      </c>
      <c r="H19" s="67">
        <f t="shared" si="1"/>
        <v>148766.69</v>
      </c>
      <c r="I19" s="75">
        <f t="shared" si="2"/>
        <v>-47525.16</v>
      </c>
    </row>
    <row r="20" spans="1:10" hidden="1" outlineLevel="1" x14ac:dyDescent="0.25">
      <c r="A20" s="71">
        <f t="shared" si="0"/>
        <v>13</v>
      </c>
      <c r="B20" s="66">
        <f>+B19+31</f>
        <v>39172</v>
      </c>
      <c r="D20" s="67">
        <v>109334.88</v>
      </c>
      <c r="E20" s="67">
        <f>-'232035 Storage Sharing'!E20</f>
        <v>-826323.97</v>
      </c>
      <c r="G20" s="75">
        <v>-5577.26</v>
      </c>
      <c r="H20" s="67">
        <f t="shared" si="1"/>
        <v>-722566.35</v>
      </c>
      <c r="I20" s="75">
        <f t="shared" si="2"/>
        <v>-770091.51</v>
      </c>
    </row>
    <row r="21" spans="1:10" hidden="1" outlineLevel="1" x14ac:dyDescent="0.25">
      <c r="A21" s="71">
        <f t="shared" si="0"/>
        <v>14</v>
      </c>
      <c r="B21" s="66">
        <f>+B20+30</f>
        <v>39202</v>
      </c>
      <c r="D21" s="67">
        <v>77021.66</v>
      </c>
      <c r="G21" s="75">
        <v>-4980.8500000000004</v>
      </c>
      <c r="H21" s="67">
        <f t="shared" si="1"/>
        <v>72040.81</v>
      </c>
      <c r="I21" s="75">
        <f t="shared" si="2"/>
        <v>-698050.7</v>
      </c>
    </row>
    <row r="22" spans="1:10" hidden="1" outlineLevel="1" x14ac:dyDescent="0.25">
      <c r="A22" s="71">
        <f t="shared" si="0"/>
        <v>15</v>
      </c>
      <c r="B22" s="66">
        <f>+B21+31</f>
        <v>39233</v>
      </c>
      <c r="D22" s="67">
        <v>58816.21</v>
      </c>
      <c r="G22" s="75">
        <v>-4552.34</v>
      </c>
      <c r="H22" s="67">
        <f t="shared" si="1"/>
        <v>54263.869999999995</v>
      </c>
      <c r="I22" s="75">
        <f t="shared" si="2"/>
        <v>-643786.82999999996</v>
      </c>
    </row>
    <row r="23" spans="1:10" hidden="1" outlineLevel="1" x14ac:dyDescent="0.25">
      <c r="A23" s="71">
        <f t="shared" si="0"/>
        <v>16</v>
      </c>
      <c r="B23" s="66">
        <f>+B22+30</f>
        <v>39263</v>
      </c>
      <c r="D23" s="67">
        <v>39825.46</v>
      </c>
      <c r="G23" s="75">
        <v>-4382.4799999999996</v>
      </c>
      <c r="H23" s="67">
        <f t="shared" si="1"/>
        <v>35442.979999999996</v>
      </c>
      <c r="I23" s="75">
        <f t="shared" si="2"/>
        <v>-608343.85</v>
      </c>
      <c r="J23" s="116"/>
    </row>
    <row r="24" spans="1:10" hidden="1" outlineLevel="1" x14ac:dyDescent="0.25">
      <c r="A24" s="71">
        <f t="shared" si="0"/>
        <v>17</v>
      </c>
      <c r="B24" s="66">
        <f>+B23+31</f>
        <v>39294</v>
      </c>
      <c r="D24" s="67">
        <v>32365.08</v>
      </c>
      <c r="G24" s="75">
        <f>ROUND((+I23+E24+(D24/2))*0.0825/12,2)</f>
        <v>-4071.11</v>
      </c>
      <c r="H24" s="67">
        <f t="shared" si="1"/>
        <v>28293.97</v>
      </c>
      <c r="I24" s="75">
        <f t="shared" si="2"/>
        <v>-580049.88</v>
      </c>
      <c r="J24" s="116"/>
    </row>
    <row r="25" spans="1:10" hidden="1" outlineLevel="1" x14ac:dyDescent="0.25">
      <c r="A25" s="71">
        <f t="shared" si="0"/>
        <v>18</v>
      </c>
      <c r="B25" s="66">
        <f>+B24+30</f>
        <v>39324</v>
      </c>
      <c r="D25" s="67">
        <v>29625.25</v>
      </c>
      <c r="G25" s="75">
        <f>ROUND((+I24+E25+(D25/2))*0.0825/12,2)</f>
        <v>-3886.01</v>
      </c>
      <c r="H25" s="67">
        <f t="shared" si="1"/>
        <v>25739.239999999998</v>
      </c>
      <c r="I25" s="75">
        <f t="shared" si="2"/>
        <v>-554310.64</v>
      </c>
    </row>
    <row r="26" spans="1:10" hidden="1" outlineLevel="1" x14ac:dyDescent="0.25">
      <c r="A26" s="71">
        <f t="shared" si="0"/>
        <v>19</v>
      </c>
      <c r="B26" s="66">
        <f>+B25+30</f>
        <v>39354</v>
      </c>
      <c r="D26" s="67">
        <v>32436.1</v>
      </c>
      <c r="G26" s="75">
        <f>ROUND((+I25+E26+(D26/2))*0.0825/12,2)</f>
        <v>-3699.39</v>
      </c>
      <c r="H26" s="67">
        <f t="shared" si="1"/>
        <v>28736.71</v>
      </c>
      <c r="I26" s="75">
        <f t="shared" si="2"/>
        <v>-525573.93000000005</v>
      </c>
    </row>
    <row r="27" spans="1:10" hidden="1" outlineLevel="1" x14ac:dyDescent="0.25">
      <c r="A27" s="71">
        <f t="shared" si="0"/>
        <v>20</v>
      </c>
      <c r="B27" s="66">
        <f>+B26+31</f>
        <v>39385</v>
      </c>
      <c r="D27" s="67">
        <v>50256.92</v>
      </c>
      <c r="G27" s="76">
        <f>ROUND((+I26+E27+(D27/2))*0.0825/12,2)</f>
        <v>-3440.56</v>
      </c>
      <c r="H27" s="67">
        <f t="shared" si="1"/>
        <v>46816.36</v>
      </c>
      <c r="I27" s="75">
        <f t="shared" si="2"/>
        <v>-478757.57000000007</v>
      </c>
    </row>
    <row r="28" spans="1:10" hidden="1" outlineLevel="1" x14ac:dyDescent="0.25">
      <c r="A28" s="71">
        <f t="shared" si="0"/>
        <v>21</v>
      </c>
      <c r="B28" s="66">
        <f>+B27+30</f>
        <v>39415</v>
      </c>
      <c r="C28" s="66" t="s">
        <v>355</v>
      </c>
      <c r="D28" s="67">
        <v>41604.15</v>
      </c>
      <c r="E28" s="67">
        <f>-'151550 Demand Accrual'!E28-'[34]191432'!E28</f>
        <v>111970.47999999998</v>
      </c>
      <c r="G28" s="76">
        <f>ROUND((+I27+E28+(D28/2))*0.0825/12,2)</f>
        <v>-2378.65</v>
      </c>
      <c r="H28" s="67">
        <f t="shared" si="1"/>
        <v>151195.97999999998</v>
      </c>
      <c r="I28" s="75">
        <f t="shared" si="2"/>
        <v>-327561.59000000008</v>
      </c>
    </row>
    <row r="29" spans="1:10" hidden="1" outlineLevel="1" x14ac:dyDescent="0.25">
      <c r="A29" s="71">
        <f t="shared" si="0"/>
        <v>22</v>
      </c>
      <c r="C29" s="66" t="s">
        <v>354</v>
      </c>
      <c r="D29" s="67">
        <v>96535.53</v>
      </c>
      <c r="G29" s="76">
        <f>ROUND((++(D29/2))*0.0825/12,2)</f>
        <v>331.84</v>
      </c>
      <c r="H29" s="67">
        <f t="shared" si="1"/>
        <v>96867.37</v>
      </c>
      <c r="I29" s="75">
        <f t="shared" si="2"/>
        <v>-230694.22000000009</v>
      </c>
    </row>
    <row r="30" spans="1:10" hidden="1" outlineLevel="1" x14ac:dyDescent="0.25">
      <c r="A30" s="71">
        <f t="shared" si="0"/>
        <v>23</v>
      </c>
      <c r="B30" s="66">
        <f>+B28+31</f>
        <v>39446</v>
      </c>
      <c r="D30" s="67">
        <v>309515.02</v>
      </c>
      <c r="G30" s="76">
        <f>ROUND((+I29+E30+(D30/2))*0.0825/12,2)</f>
        <v>-522.05999999999995</v>
      </c>
      <c r="H30" s="67">
        <f t="shared" si="1"/>
        <v>308992.96000000002</v>
      </c>
      <c r="I30" s="75">
        <f t="shared" si="2"/>
        <v>78298.739999999932</v>
      </c>
    </row>
    <row r="31" spans="1:10" hidden="1" outlineLevel="1" x14ac:dyDescent="0.25">
      <c r="A31" s="71">
        <f t="shared" si="0"/>
        <v>24</v>
      </c>
      <c r="B31" s="66">
        <f>+B30+31</f>
        <v>39477</v>
      </c>
      <c r="D31" s="67">
        <v>376578.37</v>
      </c>
      <c r="G31" s="76">
        <f>ROUND((+I30+E31+(D31/2))*0.0776/12,2)</f>
        <v>1723.94</v>
      </c>
      <c r="H31" s="67">
        <f t="shared" si="1"/>
        <v>378302.31</v>
      </c>
      <c r="I31" s="75">
        <f t="shared" si="2"/>
        <v>456601.04999999993</v>
      </c>
    </row>
    <row r="32" spans="1:10" hidden="1" outlineLevel="1" x14ac:dyDescent="0.25">
      <c r="A32" s="71">
        <f t="shared" si="0"/>
        <v>25</v>
      </c>
      <c r="B32" s="66">
        <f>+B31+29</f>
        <v>39506</v>
      </c>
      <c r="D32" s="67">
        <v>358641.65</v>
      </c>
      <c r="G32" s="76">
        <f>ROUND((+I31+E32+(D32/2))*0.0776/12,2)</f>
        <v>4112.29</v>
      </c>
      <c r="H32" s="67">
        <f t="shared" si="1"/>
        <v>362753.94</v>
      </c>
      <c r="I32" s="75">
        <f t="shared" si="2"/>
        <v>819354.99</v>
      </c>
    </row>
    <row r="33" spans="1:9" hidden="1" outlineLevel="1" x14ac:dyDescent="0.25">
      <c r="A33" s="71">
        <f t="shared" si="0"/>
        <v>26</v>
      </c>
      <c r="B33" s="66">
        <f>+B32+31</f>
        <v>39537</v>
      </c>
      <c r="D33" s="67">
        <v>258896.75</v>
      </c>
      <c r="E33" s="67">
        <f>-'232035 Storage Sharing'!E32</f>
        <v>-1219943.5699999998</v>
      </c>
      <c r="G33" s="76">
        <v>-6012.74</v>
      </c>
      <c r="H33" s="67">
        <f t="shared" si="1"/>
        <v>-967059.55999999982</v>
      </c>
      <c r="I33" s="75">
        <f t="shared" si="2"/>
        <v>-147704.56999999983</v>
      </c>
    </row>
    <row r="34" spans="1:9" hidden="1" outlineLevel="1" x14ac:dyDescent="0.25">
      <c r="A34" s="71">
        <f t="shared" si="0"/>
        <v>27</v>
      </c>
      <c r="B34" s="66">
        <f>+B33+30</f>
        <v>39567</v>
      </c>
      <c r="D34" s="67">
        <v>261330.88</v>
      </c>
      <c r="G34" s="76">
        <v>-161.99</v>
      </c>
      <c r="H34" s="67">
        <f t="shared" si="1"/>
        <v>261168.89</v>
      </c>
      <c r="I34" s="75">
        <f t="shared" si="2"/>
        <v>113464.32000000018</v>
      </c>
    </row>
    <row r="35" spans="1:9" hidden="1" outlineLevel="1" x14ac:dyDescent="0.25">
      <c r="A35" s="71">
        <f t="shared" si="0"/>
        <v>28</v>
      </c>
      <c r="B35" s="66">
        <f>+B34+31</f>
        <v>39598</v>
      </c>
      <c r="D35" s="67">
        <v>174280.63</v>
      </c>
      <c r="G35" s="76">
        <v>1065.8900000000001</v>
      </c>
      <c r="H35" s="67">
        <f t="shared" si="1"/>
        <v>175346.52000000002</v>
      </c>
      <c r="I35" s="75">
        <f t="shared" si="2"/>
        <v>288810.8400000002</v>
      </c>
    </row>
    <row r="36" spans="1:9" hidden="1" outlineLevel="1" x14ac:dyDescent="0.25">
      <c r="A36" s="71">
        <f t="shared" si="0"/>
        <v>29</v>
      </c>
      <c r="B36" s="66">
        <f>+B35+30</f>
        <v>39628</v>
      </c>
      <c r="D36" s="67">
        <v>114030.74</v>
      </c>
      <c r="G36" s="76">
        <v>1885.18</v>
      </c>
      <c r="H36" s="67">
        <f t="shared" si="1"/>
        <v>115915.92</v>
      </c>
      <c r="I36" s="75">
        <f t="shared" si="2"/>
        <v>404726.76000000018</v>
      </c>
    </row>
    <row r="37" spans="1:9" hidden="1" outlineLevel="1" x14ac:dyDescent="0.25">
      <c r="A37" s="71">
        <f t="shared" si="0"/>
        <v>30</v>
      </c>
      <c r="B37" s="66">
        <f>+B36+31</f>
        <v>39659</v>
      </c>
      <c r="D37" s="67">
        <v>83527.44</v>
      </c>
      <c r="G37" s="76">
        <f>ROUND((+I36+E37+(D37/2))*0.053/12,2)</f>
        <v>1972</v>
      </c>
      <c r="H37" s="67">
        <f t="shared" si="1"/>
        <v>85499.44</v>
      </c>
      <c r="I37" s="75">
        <f t="shared" si="2"/>
        <v>490226.20000000019</v>
      </c>
    </row>
    <row r="38" spans="1:9" hidden="1" outlineLevel="1" x14ac:dyDescent="0.25">
      <c r="A38" s="71">
        <f t="shared" si="0"/>
        <v>31</v>
      </c>
      <c r="B38" s="66">
        <f>+B37+30</f>
        <v>39689</v>
      </c>
      <c r="D38" s="67">
        <v>70173.45</v>
      </c>
      <c r="G38" s="76">
        <f>ROUND((+I37+E38+(D38/2))*0.053/12,2)</f>
        <v>2320.13</v>
      </c>
      <c r="H38" s="67">
        <f t="shared" si="1"/>
        <v>72493.58</v>
      </c>
      <c r="I38" s="75">
        <f t="shared" si="2"/>
        <v>562719.78000000014</v>
      </c>
    </row>
    <row r="39" spans="1:9" hidden="1" outlineLevel="1" x14ac:dyDescent="0.25">
      <c r="A39" s="71">
        <f t="shared" si="0"/>
        <v>32</v>
      </c>
      <c r="B39" s="66">
        <f>+B38+30</f>
        <v>39719</v>
      </c>
      <c r="D39" s="67">
        <v>73732.47</v>
      </c>
      <c r="G39" s="76">
        <f>ROUND((+I38+E39+(D39/2))*0.053/12,2)</f>
        <v>2648.17</v>
      </c>
      <c r="H39" s="67">
        <f t="shared" si="1"/>
        <v>76380.639999999999</v>
      </c>
      <c r="I39" s="75">
        <f t="shared" si="2"/>
        <v>639100.42000000016</v>
      </c>
    </row>
    <row r="40" spans="1:9" hidden="1" outlineLevel="1" x14ac:dyDescent="0.25">
      <c r="A40" s="71">
        <f t="shared" si="0"/>
        <v>33</v>
      </c>
      <c r="B40" s="66">
        <f>+B39+31</f>
        <v>39750</v>
      </c>
      <c r="D40" s="67">
        <v>101874.03</v>
      </c>
      <c r="G40" s="76">
        <f>ROUND((+I39+E40+(D40/2))*0.05/12,2)</f>
        <v>2875.16</v>
      </c>
      <c r="H40" s="67">
        <f t="shared" si="1"/>
        <v>104749.19</v>
      </c>
      <c r="I40" s="75">
        <f t="shared" si="2"/>
        <v>743849.6100000001</v>
      </c>
    </row>
    <row r="41" spans="1:9" hidden="1" outlineLevel="1" x14ac:dyDescent="0.25">
      <c r="A41" s="71">
        <f t="shared" si="0"/>
        <v>34</v>
      </c>
      <c r="B41" s="66">
        <f>+B40+30</f>
        <v>39780</v>
      </c>
      <c r="D41" s="67">
        <v>120008.16</v>
      </c>
      <c r="E41" s="67">
        <f>-'151550 Demand Accrual'!E40-'[34]191432'!E40</f>
        <v>-698110.63000000035</v>
      </c>
      <c r="G41" s="76">
        <f>ROUND((+I40+E41+(D41/2))*0.05/12,2)</f>
        <v>440.6</v>
      </c>
      <c r="H41" s="67">
        <f t="shared" si="1"/>
        <v>-577661.87000000034</v>
      </c>
      <c r="I41" s="75">
        <f t="shared" si="2"/>
        <v>166187.73999999976</v>
      </c>
    </row>
    <row r="42" spans="1:9" hidden="1" outlineLevel="1" x14ac:dyDescent="0.25">
      <c r="A42" s="71">
        <f t="shared" si="0"/>
        <v>35</v>
      </c>
      <c r="B42" s="66">
        <f>+B41+31</f>
        <v>39811</v>
      </c>
      <c r="D42" s="67">
        <v>119493</v>
      </c>
      <c r="E42" s="123"/>
      <c r="F42" s="123"/>
      <c r="G42" s="76">
        <f>ROUND((+I41+E42+(D42/2))*0.05/12,2)</f>
        <v>941.39</v>
      </c>
      <c r="H42" s="67">
        <f t="shared" si="1"/>
        <v>120434.39</v>
      </c>
      <c r="I42" s="75">
        <f t="shared" si="2"/>
        <v>286622.12999999977</v>
      </c>
    </row>
    <row r="43" spans="1:9" hidden="1" outlineLevel="1" x14ac:dyDescent="0.25">
      <c r="A43" s="71">
        <f t="shared" si="0"/>
        <v>36</v>
      </c>
      <c r="B43" s="66">
        <f>+B42+31</f>
        <v>39842</v>
      </c>
      <c r="D43" s="67">
        <v>169859.49</v>
      </c>
      <c r="E43" s="123">
        <f>-'232035 Storage Sharing'!E42</f>
        <v>-1233337.7</v>
      </c>
      <c r="F43" s="123"/>
      <c r="G43" s="76">
        <f>ROUND((+I42+E43+(D43/2))*0.0452/12,2)</f>
        <v>-3246.06</v>
      </c>
      <c r="H43" s="67">
        <f t="shared" si="1"/>
        <v>-1066724.27</v>
      </c>
      <c r="I43" s="75">
        <f t="shared" si="2"/>
        <v>-780102.14000000025</v>
      </c>
    </row>
    <row r="44" spans="1:9" hidden="1" outlineLevel="1" x14ac:dyDescent="0.25">
      <c r="A44" s="71">
        <f t="shared" si="0"/>
        <v>37</v>
      </c>
      <c r="B44" s="66">
        <f>+B43+28</f>
        <v>39870</v>
      </c>
      <c r="D44" s="67">
        <v>148817.25</v>
      </c>
      <c r="E44" s="66"/>
      <c r="F44" s="66"/>
      <c r="G44" s="76">
        <f>ROUND((+I43+E44+(D44/2))*0.0452/12,2)</f>
        <v>-2658.11</v>
      </c>
      <c r="H44" s="67">
        <f t="shared" si="1"/>
        <v>146159.14000000001</v>
      </c>
      <c r="I44" s="75">
        <f t="shared" si="2"/>
        <v>-633943.00000000023</v>
      </c>
    </row>
    <row r="45" spans="1:9" hidden="1" outlineLevel="1" x14ac:dyDescent="0.25">
      <c r="A45" s="71">
        <f t="shared" si="0"/>
        <v>38</v>
      </c>
      <c r="B45" s="66">
        <f>+B44+31</f>
        <v>39901</v>
      </c>
      <c r="D45" s="67">
        <v>132740.76</v>
      </c>
      <c r="G45" s="76">
        <v>-2102.8000000000002</v>
      </c>
      <c r="H45" s="67">
        <f t="shared" si="1"/>
        <v>130637.96</v>
      </c>
      <c r="I45" s="75">
        <f t="shared" si="2"/>
        <v>-503305.04000000021</v>
      </c>
    </row>
    <row r="46" spans="1:9" hidden="1" outlineLevel="1" x14ac:dyDescent="0.25">
      <c r="A46" s="71">
        <f t="shared" si="0"/>
        <v>39</v>
      </c>
      <c r="B46" s="66">
        <f>+B45+30</f>
        <v>39931</v>
      </c>
      <c r="D46" s="67">
        <v>97745</v>
      </c>
      <c r="G46" s="76">
        <f>ROUND((+I45+E46+(D46/2))*0.0337/12,2)</f>
        <v>-1276.2</v>
      </c>
      <c r="H46" s="67">
        <f t="shared" si="1"/>
        <v>96468.800000000003</v>
      </c>
      <c r="I46" s="75">
        <f t="shared" si="2"/>
        <v>-406836.24000000022</v>
      </c>
    </row>
    <row r="47" spans="1:9" hidden="1" outlineLevel="1" x14ac:dyDescent="0.25">
      <c r="A47" s="71">
        <f t="shared" si="0"/>
        <v>40</v>
      </c>
      <c r="B47" s="66">
        <f>+B46+31</f>
        <v>39962</v>
      </c>
      <c r="D47" s="67">
        <v>61019</v>
      </c>
      <c r="G47" s="76">
        <f>ROUND((+I46+E47+(D47/2))*0.0337/12,2)</f>
        <v>-1056.8499999999999</v>
      </c>
      <c r="H47" s="67">
        <f t="shared" si="1"/>
        <v>59962.15</v>
      </c>
      <c r="I47" s="75">
        <f t="shared" si="2"/>
        <v>-346874.0900000002</v>
      </c>
    </row>
    <row r="48" spans="1:9" hidden="1" outlineLevel="1" x14ac:dyDescent="0.25">
      <c r="A48" s="71">
        <f t="shared" si="0"/>
        <v>41</v>
      </c>
      <c r="B48" s="66">
        <f>+B47+30</f>
        <v>39992</v>
      </c>
      <c r="D48" s="67">
        <v>37407.94</v>
      </c>
      <c r="G48" s="76">
        <f>ROUND((+I47+E48+(D48/2))*0.0337/12,2)</f>
        <v>-921.61</v>
      </c>
      <c r="H48" s="67">
        <f t="shared" si="1"/>
        <v>36486.33</v>
      </c>
      <c r="I48" s="75">
        <f t="shared" si="2"/>
        <v>-310387.76000000018</v>
      </c>
    </row>
    <row r="49" spans="1:15" hidden="1" outlineLevel="1" x14ac:dyDescent="0.25">
      <c r="A49" s="71">
        <f t="shared" si="0"/>
        <v>42</v>
      </c>
      <c r="B49" s="66">
        <f>+B48+31</f>
        <v>40023</v>
      </c>
      <c r="D49" s="67">
        <v>30607.25</v>
      </c>
      <c r="G49" s="76">
        <f>ROUND((+I48+E49+(D49/2))*0.0325/12,2)</f>
        <v>-799.19</v>
      </c>
      <c r="H49" s="67">
        <f t="shared" si="1"/>
        <v>29808.06</v>
      </c>
      <c r="I49" s="75">
        <f t="shared" si="2"/>
        <v>-280579.70000000019</v>
      </c>
    </row>
    <row r="50" spans="1:15" hidden="1" outlineLevel="1" x14ac:dyDescent="0.25">
      <c r="A50" s="71">
        <f t="shared" si="0"/>
        <v>43</v>
      </c>
      <c r="B50" s="66">
        <f>+B49+30</f>
        <v>40053</v>
      </c>
      <c r="D50" s="67">
        <v>27538.92</v>
      </c>
      <c r="G50" s="76">
        <f>ROUND((+I49+E50+(D50/2))*0.0325/12,2)</f>
        <v>-722.61</v>
      </c>
      <c r="H50" s="67">
        <f t="shared" si="1"/>
        <v>26816.309999999998</v>
      </c>
      <c r="I50" s="75">
        <f t="shared" si="2"/>
        <v>-253763.39000000019</v>
      </c>
    </row>
    <row r="51" spans="1:15" hidden="1" outlineLevel="1" x14ac:dyDescent="0.25">
      <c r="A51" s="71">
        <f t="shared" si="0"/>
        <v>44</v>
      </c>
      <c r="B51" s="66">
        <f>+B50+30</f>
        <v>40083</v>
      </c>
      <c r="D51" s="67">
        <f>29881.14+1281.86</f>
        <v>31163</v>
      </c>
      <c r="G51" s="76">
        <f>ROUND((+I50+E51+(D51/2))*0.0325/12,2)</f>
        <v>-645.08000000000004</v>
      </c>
      <c r="H51" s="67">
        <f t="shared" si="1"/>
        <v>30517.919999999998</v>
      </c>
      <c r="I51" s="75">
        <f t="shared" si="2"/>
        <v>-223245.4700000002</v>
      </c>
      <c r="J51" s="116"/>
      <c r="K51" s="122"/>
    </row>
    <row r="52" spans="1:15" hidden="1" outlineLevel="1" x14ac:dyDescent="0.25">
      <c r="A52" s="71">
        <f t="shared" si="0"/>
        <v>45</v>
      </c>
      <c r="B52" s="66">
        <f>+B51+31</f>
        <v>40114</v>
      </c>
      <c r="D52" s="116">
        <v>43020.28</v>
      </c>
      <c r="G52" s="76">
        <f>ROUND((+I51+E52+(D52/2))*0.0325/12,2)</f>
        <v>-546.37</v>
      </c>
      <c r="H52" s="67">
        <f t="shared" si="1"/>
        <v>42473.909999999996</v>
      </c>
      <c r="I52" s="75">
        <f t="shared" si="2"/>
        <v>-180771.5600000002</v>
      </c>
    </row>
    <row r="53" spans="1:15" hidden="1" outlineLevel="1" x14ac:dyDescent="0.25">
      <c r="A53" s="71">
        <f t="shared" si="0"/>
        <v>46</v>
      </c>
      <c r="B53" s="66">
        <f>+B52+30</f>
        <v>40144</v>
      </c>
      <c r="D53" s="67">
        <v>40281.33</v>
      </c>
      <c r="G53" s="76">
        <f>ROUND((+I52+E53+(D53/2))*0.0325/12,2)</f>
        <v>-435.04</v>
      </c>
      <c r="H53" s="67">
        <f t="shared" si="1"/>
        <v>39846.29</v>
      </c>
      <c r="I53" s="75">
        <f t="shared" si="2"/>
        <v>-140925.27000000019</v>
      </c>
      <c r="J53" s="67"/>
      <c r="K53" s="67"/>
      <c r="L53" s="67"/>
      <c r="M53" s="67"/>
      <c r="N53" s="67"/>
      <c r="O53" s="67"/>
    </row>
    <row r="54" spans="1:15" hidden="1" outlineLevel="1" x14ac:dyDescent="0.25">
      <c r="A54" s="71">
        <f t="shared" si="0"/>
        <v>47</v>
      </c>
      <c r="B54" s="66">
        <f>+B53+30</f>
        <v>40174</v>
      </c>
      <c r="G54" s="76"/>
      <c r="I54" s="75"/>
      <c r="J54" s="67"/>
      <c r="K54" s="67"/>
      <c r="L54" s="67"/>
      <c r="M54" s="67"/>
      <c r="N54" s="67"/>
      <c r="O54" s="67"/>
    </row>
    <row r="55" spans="1:15" hidden="1" outlineLevel="1" x14ac:dyDescent="0.25">
      <c r="A55" s="71">
        <f t="shared" si="0"/>
        <v>48</v>
      </c>
      <c r="C55" s="66" t="s">
        <v>354</v>
      </c>
      <c r="D55" s="67">
        <v>49042.39</v>
      </c>
      <c r="E55" s="67">
        <f>-'151550 Demand Accrual'!E52</f>
        <v>-165202.62999999966</v>
      </c>
      <c r="G55" s="76">
        <f>ROUND((+E55+(D55/2))*0.0325/12,2)</f>
        <v>-381.01</v>
      </c>
      <c r="H55" s="67">
        <f t="shared" ref="H55:H79" si="3">SUM(D55:G55)</f>
        <v>-116541.24999999965</v>
      </c>
      <c r="I55" s="75">
        <f>+I53+H55</f>
        <v>-257466.51999999984</v>
      </c>
      <c r="J55" s="67"/>
      <c r="K55" s="67"/>
      <c r="L55" s="67"/>
      <c r="M55" s="67"/>
      <c r="N55" s="67"/>
      <c r="O55" s="67"/>
    </row>
    <row r="56" spans="1:15" hidden="1" outlineLevel="1" x14ac:dyDescent="0.25">
      <c r="A56" s="71">
        <f t="shared" si="0"/>
        <v>49</v>
      </c>
      <c r="B56" s="66">
        <f>+B53+31</f>
        <v>40175</v>
      </c>
      <c r="D56" s="67">
        <f>172726.54+4000</f>
        <v>176726.54</v>
      </c>
      <c r="E56" s="67">
        <f>-'232035 Storage Sharing'!E54</f>
        <v>-1500827.06</v>
      </c>
      <c r="G56" s="76">
        <f t="shared" ref="G56:G67" si="4">ROUND((+I55+E56+(D56/2))*0.0325/12,2)</f>
        <v>-4522.7299999999996</v>
      </c>
      <c r="H56" s="67">
        <f t="shared" si="3"/>
        <v>-1328623.25</v>
      </c>
      <c r="I56" s="75">
        <f t="shared" ref="I56:I87" si="5">+I55+H56</f>
        <v>-1586089.7699999998</v>
      </c>
      <c r="J56" s="67"/>
      <c r="K56" s="67"/>
      <c r="L56" s="67"/>
      <c r="M56" s="67"/>
      <c r="N56" s="67"/>
      <c r="O56" s="67"/>
    </row>
    <row r="57" spans="1:15" hidden="1" outlineLevel="1" x14ac:dyDescent="0.25">
      <c r="A57" s="71">
        <f t="shared" si="0"/>
        <v>50</v>
      </c>
      <c r="B57" s="66">
        <f>+B56+31</f>
        <v>40206</v>
      </c>
      <c r="D57" s="67">
        <f>196159.8855411-364</f>
        <v>195795.8855411</v>
      </c>
      <c r="G57" s="76">
        <f t="shared" si="4"/>
        <v>-4030.52</v>
      </c>
      <c r="H57" s="67">
        <f t="shared" si="3"/>
        <v>191765.36554110001</v>
      </c>
      <c r="I57" s="75">
        <f t="shared" si="5"/>
        <v>-1394324.4044588997</v>
      </c>
      <c r="J57" s="67"/>
      <c r="K57" s="67"/>
      <c r="L57" s="67"/>
      <c r="M57" s="67"/>
      <c r="N57" s="67"/>
      <c r="O57" s="67"/>
    </row>
    <row r="58" spans="1:15" hidden="1" outlineLevel="1" x14ac:dyDescent="0.25">
      <c r="A58" s="71">
        <f t="shared" si="0"/>
        <v>51</v>
      </c>
      <c r="B58" s="66">
        <f>+B57+28</f>
        <v>40234</v>
      </c>
      <c r="D58" s="67">
        <v>134231.97466529999</v>
      </c>
      <c r="G58" s="76">
        <f t="shared" si="4"/>
        <v>-3594.52</v>
      </c>
      <c r="H58" s="67">
        <f t="shared" si="3"/>
        <v>130637.45466529999</v>
      </c>
      <c r="I58" s="75">
        <f t="shared" si="5"/>
        <v>-1263686.9497935998</v>
      </c>
      <c r="J58" s="67"/>
      <c r="K58" s="67"/>
      <c r="L58" s="67"/>
      <c r="M58" s="67"/>
      <c r="N58" s="67"/>
      <c r="O58" s="67"/>
    </row>
    <row r="59" spans="1:15" hidden="1" outlineLevel="1" x14ac:dyDescent="0.25">
      <c r="A59" s="71">
        <f t="shared" si="0"/>
        <v>52</v>
      </c>
      <c r="B59" s="66">
        <f>+B58+31</f>
        <v>40265</v>
      </c>
      <c r="D59" s="67">
        <v>115691.45</v>
      </c>
      <c r="G59" s="76">
        <f t="shared" si="4"/>
        <v>-3265.82</v>
      </c>
      <c r="H59" s="67">
        <f t="shared" si="3"/>
        <v>112425.62999999999</v>
      </c>
      <c r="I59" s="75">
        <f t="shared" si="5"/>
        <v>-1151261.3197935999</v>
      </c>
      <c r="J59" s="67"/>
      <c r="K59" s="67"/>
      <c r="L59" s="67"/>
      <c r="M59" s="67"/>
      <c r="N59" s="67"/>
      <c r="O59" s="67"/>
    </row>
    <row r="60" spans="1:15" hidden="1" outlineLevel="1" x14ac:dyDescent="0.25">
      <c r="A60" s="71">
        <f t="shared" si="0"/>
        <v>53</v>
      </c>
      <c r="B60" s="66">
        <f>+B59+30</f>
        <v>40295</v>
      </c>
      <c r="D60" s="67">
        <v>107425.63</v>
      </c>
      <c r="G60" s="76">
        <f t="shared" si="4"/>
        <v>-2972.53</v>
      </c>
      <c r="H60" s="67">
        <f t="shared" si="3"/>
        <v>104453.1</v>
      </c>
      <c r="I60" s="75">
        <f t="shared" si="5"/>
        <v>-1046808.2197935999</v>
      </c>
      <c r="J60" s="67"/>
      <c r="K60" s="67"/>
      <c r="L60" s="67"/>
      <c r="M60" s="67"/>
      <c r="N60" s="67"/>
      <c r="O60" s="67"/>
    </row>
    <row r="61" spans="1:15" hidden="1" outlineLevel="1" x14ac:dyDescent="0.25">
      <c r="A61" s="71">
        <f t="shared" si="0"/>
        <v>54</v>
      </c>
      <c r="B61" s="66">
        <f>+B60+31</f>
        <v>40326</v>
      </c>
      <c r="D61" s="67">
        <v>82462.66</v>
      </c>
      <c r="G61" s="76">
        <f t="shared" si="4"/>
        <v>-2723.44</v>
      </c>
      <c r="H61" s="67">
        <f t="shared" si="3"/>
        <v>79739.22</v>
      </c>
      <c r="I61" s="75">
        <f t="shared" si="5"/>
        <v>-967068.99979359994</v>
      </c>
      <c r="J61" s="67"/>
      <c r="K61" s="67"/>
      <c r="L61" s="67"/>
      <c r="M61" s="67"/>
      <c r="N61" s="67"/>
      <c r="O61" s="67"/>
    </row>
    <row r="62" spans="1:15" hidden="1" outlineLevel="1" x14ac:dyDescent="0.25">
      <c r="A62" s="71">
        <f t="shared" si="0"/>
        <v>55</v>
      </c>
      <c r="B62" s="66">
        <f>+B61+30</f>
        <v>40356</v>
      </c>
      <c r="D62" s="67">
        <v>63760.959999999999</v>
      </c>
      <c r="G62" s="76">
        <f t="shared" si="4"/>
        <v>-2532.8000000000002</v>
      </c>
      <c r="H62" s="67">
        <f t="shared" si="3"/>
        <v>61228.159999999996</v>
      </c>
      <c r="I62" s="75">
        <f t="shared" si="5"/>
        <v>-905840.83979359991</v>
      </c>
      <c r="J62" s="67"/>
      <c r="K62" s="67"/>
      <c r="L62" s="67"/>
      <c r="M62" s="67"/>
      <c r="N62" s="67"/>
      <c r="O62" s="67"/>
    </row>
    <row r="63" spans="1:15" hidden="1" outlineLevel="1" x14ac:dyDescent="0.25">
      <c r="A63" s="71">
        <f t="shared" si="0"/>
        <v>56</v>
      </c>
      <c r="B63" s="66">
        <f>+B62+31</f>
        <v>40387</v>
      </c>
      <c r="D63" s="67">
        <v>44458.49</v>
      </c>
      <c r="G63" s="76">
        <f t="shared" si="4"/>
        <v>-2393.11</v>
      </c>
      <c r="H63" s="67">
        <f t="shared" si="3"/>
        <v>42065.38</v>
      </c>
      <c r="I63" s="75">
        <f t="shared" si="5"/>
        <v>-863775.4597935999</v>
      </c>
      <c r="J63" s="67"/>
      <c r="K63" s="67"/>
      <c r="L63" s="67"/>
      <c r="M63" s="67"/>
      <c r="N63" s="67"/>
      <c r="O63" s="67"/>
    </row>
    <row r="64" spans="1:15" hidden="1" outlineLevel="1" x14ac:dyDescent="0.25">
      <c r="A64" s="71">
        <f t="shared" si="0"/>
        <v>57</v>
      </c>
      <c r="B64" s="66">
        <f>+B63+30</f>
        <v>40417</v>
      </c>
      <c r="D64" s="67">
        <v>37504.778165299998</v>
      </c>
      <c r="G64" s="76">
        <f t="shared" si="4"/>
        <v>-2288.6</v>
      </c>
      <c r="H64" s="67">
        <f t="shared" si="3"/>
        <v>35216.1781653</v>
      </c>
      <c r="I64" s="75">
        <f t="shared" si="5"/>
        <v>-828559.28162829985</v>
      </c>
      <c r="J64" s="67"/>
      <c r="K64" s="67"/>
      <c r="L64" s="67"/>
      <c r="M64" s="67"/>
      <c r="N64" s="67"/>
      <c r="O64" s="67"/>
    </row>
    <row r="65" spans="1:15" hidden="1" outlineLevel="1" x14ac:dyDescent="0.25">
      <c r="A65" s="71">
        <f t="shared" si="0"/>
        <v>58</v>
      </c>
      <c r="B65" s="66">
        <f>+B64+30</f>
        <v>40447</v>
      </c>
      <c r="D65" s="67">
        <v>39387.321849900021</v>
      </c>
      <c r="G65" s="76">
        <f t="shared" si="4"/>
        <v>-2190.6799999999998</v>
      </c>
      <c r="H65" s="67">
        <f t="shared" si="3"/>
        <v>37196.641849900021</v>
      </c>
      <c r="I65" s="75">
        <f t="shared" si="5"/>
        <v>-791362.63977839984</v>
      </c>
      <c r="J65" s="67"/>
      <c r="K65" s="67"/>
      <c r="L65" s="67"/>
      <c r="M65" s="67"/>
      <c r="N65" s="67"/>
      <c r="O65" s="67"/>
    </row>
    <row r="66" spans="1:15" hidden="1" outlineLevel="1" x14ac:dyDescent="0.25">
      <c r="A66" s="71">
        <f t="shared" si="0"/>
        <v>59</v>
      </c>
      <c r="B66" s="66">
        <f>+B65+31</f>
        <v>40478</v>
      </c>
      <c r="D66" s="67">
        <v>48588.43</v>
      </c>
      <c r="G66" s="76">
        <f t="shared" si="4"/>
        <v>-2077.48</v>
      </c>
      <c r="H66" s="67">
        <f t="shared" si="3"/>
        <v>46510.95</v>
      </c>
      <c r="I66" s="75">
        <f t="shared" si="5"/>
        <v>-744851.68977839989</v>
      </c>
      <c r="J66" s="67"/>
      <c r="K66" s="67"/>
      <c r="L66" s="67"/>
      <c r="M66" s="67"/>
      <c r="N66" s="67"/>
      <c r="O66" s="67"/>
    </row>
    <row r="67" spans="1:15" hidden="1" outlineLevel="1" x14ac:dyDescent="0.25">
      <c r="A67" s="71">
        <f t="shared" si="0"/>
        <v>60</v>
      </c>
      <c r="B67" s="66">
        <f>+B66+30</f>
        <v>40508</v>
      </c>
      <c r="C67" s="66" t="s">
        <v>355</v>
      </c>
      <c r="D67" s="67">
        <v>44311.93</v>
      </c>
      <c r="G67" s="76">
        <f t="shared" si="4"/>
        <v>-1957.3</v>
      </c>
      <c r="H67" s="67">
        <f t="shared" si="3"/>
        <v>42354.63</v>
      </c>
      <c r="I67" s="75">
        <f t="shared" si="5"/>
        <v>-702497.05977839988</v>
      </c>
      <c r="J67" s="67"/>
      <c r="K67" s="67"/>
      <c r="L67" s="67"/>
      <c r="M67" s="67"/>
      <c r="N67" s="67"/>
      <c r="O67" s="67"/>
    </row>
    <row r="68" spans="1:15" hidden="1" outlineLevel="1" x14ac:dyDescent="0.25">
      <c r="A68" s="71">
        <f t="shared" si="0"/>
        <v>61</v>
      </c>
      <c r="C68" s="66" t="s">
        <v>354</v>
      </c>
      <c r="D68" s="67">
        <v>49288.36</v>
      </c>
      <c r="E68" s="67">
        <f>-'151550 Demand Accrual'!E65</f>
        <v>679617.74000000011</v>
      </c>
      <c r="G68" s="76">
        <f>ROUND((+E68+(D68/2))*0.0325/12,2)</f>
        <v>1907.38</v>
      </c>
      <c r="H68" s="67">
        <f t="shared" si="3"/>
        <v>730813.4800000001</v>
      </c>
      <c r="I68" s="75">
        <f t="shared" si="5"/>
        <v>28316.420221600216</v>
      </c>
      <c r="J68" s="67"/>
      <c r="K68" s="67"/>
      <c r="L68" s="67"/>
      <c r="M68" s="67"/>
      <c r="N68" s="67"/>
      <c r="O68" s="67"/>
    </row>
    <row r="69" spans="1:15" hidden="1" outlineLevel="1" x14ac:dyDescent="0.25">
      <c r="A69" s="71">
        <f t="shared" si="0"/>
        <v>62</v>
      </c>
      <c r="B69" s="66">
        <f>+B67+31</f>
        <v>40539</v>
      </c>
      <c r="D69" s="67">
        <v>212690.81</v>
      </c>
      <c r="G69" s="76">
        <f>ROUND((+I68+E69+(D69/2))*0.0325/12,2)</f>
        <v>364.71</v>
      </c>
      <c r="H69" s="67">
        <f t="shared" si="3"/>
        <v>213055.52</v>
      </c>
      <c r="I69" s="75">
        <f t="shared" si="5"/>
        <v>241371.94022160021</v>
      </c>
      <c r="J69" s="67"/>
      <c r="K69" s="67"/>
      <c r="L69" s="67"/>
      <c r="M69" s="67"/>
      <c r="N69" s="67"/>
      <c r="O69" s="67"/>
    </row>
    <row r="70" spans="1:15" hidden="1" outlineLevel="1" x14ac:dyDescent="0.25">
      <c r="A70" s="71">
        <f t="shared" si="0"/>
        <v>63</v>
      </c>
      <c r="B70" s="66">
        <f>+B69+31</f>
        <v>40570</v>
      </c>
      <c r="C70" s="87">
        <v>2</v>
      </c>
      <c r="D70" s="67">
        <v>250648.39</v>
      </c>
      <c r="E70" s="67">
        <f>-'232035 Storage Sharing'!E66*1</f>
        <v>-1611884.3800000001</v>
      </c>
      <c r="F70" s="77">
        <v>3.2500000000000001E-2</v>
      </c>
      <c r="G70" s="76">
        <f t="shared" ref="G70:G80" si="6">ROUND((+I69+E70+(D70/2))*F70/12,2)</f>
        <v>-3372.38</v>
      </c>
      <c r="H70" s="67">
        <f t="shared" si="3"/>
        <v>-1364608.3375000001</v>
      </c>
      <c r="I70" s="75">
        <f t="shared" si="5"/>
        <v>-1123236.3972783999</v>
      </c>
      <c r="J70" s="67"/>
      <c r="K70" s="67"/>
      <c r="L70" s="67"/>
      <c r="M70" s="67"/>
      <c r="N70" s="67"/>
      <c r="O70" s="67"/>
    </row>
    <row r="71" spans="1:15" hidden="1" outlineLevel="1" x14ac:dyDescent="0.25">
      <c r="A71" s="71">
        <f t="shared" si="0"/>
        <v>64</v>
      </c>
      <c r="B71" s="66">
        <f>+B70+28</f>
        <v>40598</v>
      </c>
      <c r="D71" s="67">
        <v>199873.38</v>
      </c>
      <c r="F71" s="77">
        <v>3.2500000000000001E-2</v>
      </c>
      <c r="G71" s="76">
        <f t="shared" si="6"/>
        <v>-2771.44</v>
      </c>
      <c r="H71" s="67">
        <f t="shared" si="3"/>
        <v>197101.9725</v>
      </c>
      <c r="I71" s="75">
        <f t="shared" si="5"/>
        <v>-926134.42477839987</v>
      </c>
      <c r="J71" s="67"/>
      <c r="K71" s="67"/>
      <c r="L71" s="67"/>
      <c r="M71" s="67"/>
      <c r="N71" s="67"/>
      <c r="O71" s="67"/>
    </row>
    <row r="72" spans="1:15" hidden="1" outlineLevel="1" x14ac:dyDescent="0.25">
      <c r="A72" s="71">
        <f t="shared" si="0"/>
        <v>65</v>
      </c>
      <c r="B72" s="66">
        <f>+B71+31</f>
        <v>40629</v>
      </c>
      <c r="D72" s="67">
        <v>209576.7</v>
      </c>
      <c r="F72" s="77">
        <v>3.2500000000000001E-2</v>
      </c>
      <c r="G72" s="76">
        <f t="shared" si="6"/>
        <v>-2224.48</v>
      </c>
      <c r="H72" s="67">
        <f t="shared" si="3"/>
        <v>207352.2525</v>
      </c>
      <c r="I72" s="75">
        <f t="shared" si="5"/>
        <v>-718782.17227839981</v>
      </c>
      <c r="J72" s="67"/>
      <c r="K72" s="67"/>
      <c r="L72" s="67"/>
      <c r="M72" s="67"/>
      <c r="N72" s="67"/>
      <c r="O72" s="67"/>
    </row>
    <row r="73" spans="1:15" hidden="1" outlineLevel="1" x14ac:dyDescent="0.25">
      <c r="A73" s="71">
        <f t="shared" ref="A73:A136" si="7">+A72+1</f>
        <v>66</v>
      </c>
      <c r="B73" s="66">
        <f>+B72+30</f>
        <v>40659</v>
      </c>
      <c r="D73" s="67">
        <v>157190.43</v>
      </c>
      <c r="F73" s="77">
        <v>3.2500000000000001E-2</v>
      </c>
      <c r="G73" s="76">
        <f t="shared" si="6"/>
        <v>-1733.84</v>
      </c>
      <c r="H73" s="67">
        <f t="shared" si="3"/>
        <v>155456.6225</v>
      </c>
      <c r="I73" s="75">
        <f t="shared" si="5"/>
        <v>-563325.54977839976</v>
      </c>
      <c r="J73" s="67"/>
      <c r="K73" s="67"/>
      <c r="L73" s="67"/>
      <c r="M73" s="67"/>
      <c r="N73" s="67"/>
      <c r="O73" s="67"/>
    </row>
    <row r="74" spans="1:15" hidden="1" outlineLevel="1" x14ac:dyDescent="0.25">
      <c r="A74" s="71">
        <f t="shared" si="7"/>
        <v>67</v>
      </c>
      <c r="B74" s="66">
        <f>+B73+31</f>
        <v>40690</v>
      </c>
      <c r="D74" s="67">
        <v>123390</v>
      </c>
      <c r="F74" s="77">
        <v>3.2500000000000001E-2</v>
      </c>
      <c r="G74" s="76">
        <f t="shared" si="6"/>
        <v>-1358.58</v>
      </c>
      <c r="H74" s="67">
        <f t="shared" si="3"/>
        <v>122031.4525</v>
      </c>
      <c r="I74" s="75">
        <f t="shared" si="5"/>
        <v>-441294.09727839974</v>
      </c>
      <c r="J74" s="67"/>
      <c r="K74" s="67"/>
      <c r="L74" s="67"/>
      <c r="M74" s="67"/>
      <c r="N74" s="67"/>
      <c r="O74" s="67"/>
    </row>
    <row r="75" spans="1:15" hidden="1" outlineLevel="1" x14ac:dyDescent="0.25">
      <c r="A75" s="71">
        <f t="shared" si="7"/>
        <v>68</v>
      </c>
      <c r="B75" s="66">
        <f>+B74+30</f>
        <v>40720</v>
      </c>
      <c r="D75" s="67">
        <v>77454.81</v>
      </c>
      <c r="F75" s="77">
        <v>3.2500000000000001E-2</v>
      </c>
      <c r="G75" s="76">
        <f t="shared" si="6"/>
        <v>-1090.28</v>
      </c>
      <c r="H75" s="67">
        <f t="shared" si="3"/>
        <v>76364.5625</v>
      </c>
      <c r="I75" s="75">
        <f t="shared" si="5"/>
        <v>-364929.53477839974</v>
      </c>
      <c r="J75" s="67"/>
      <c r="K75" s="67"/>
      <c r="L75" s="67"/>
      <c r="M75" s="67"/>
      <c r="N75" s="67"/>
      <c r="O75" s="67"/>
    </row>
    <row r="76" spans="1:15" hidden="1" outlineLevel="1" x14ac:dyDescent="0.25">
      <c r="A76" s="71">
        <f t="shared" si="7"/>
        <v>69</v>
      </c>
      <c r="B76" s="66">
        <f>+B75+31</f>
        <v>40751</v>
      </c>
      <c r="D76" s="67">
        <v>52163.06</v>
      </c>
      <c r="F76" s="77">
        <v>3.2500000000000001E-2</v>
      </c>
      <c r="G76" s="76">
        <f t="shared" si="6"/>
        <v>-917.71</v>
      </c>
      <c r="H76" s="67">
        <f t="shared" si="3"/>
        <v>51245.3825</v>
      </c>
      <c r="I76" s="75">
        <f t="shared" si="5"/>
        <v>-313684.15227839974</v>
      </c>
      <c r="J76" s="67"/>
      <c r="K76" s="67"/>
      <c r="L76" s="67"/>
      <c r="M76" s="67"/>
      <c r="N76" s="67"/>
      <c r="O76" s="67"/>
    </row>
    <row r="77" spans="1:15" hidden="1" outlineLevel="1" x14ac:dyDescent="0.25">
      <c r="A77" s="71">
        <f t="shared" si="7"/>
        <v>70</v>
      </c>
      <c r="B77" s="66">
        <f>+B76+30</f>
        <v>40781</v>
      </c>
      <c r="D77" s="67">
        <v>43969.43</v>
      </c>
      <c r="F77" s="77">
        <v>3.2500000000000001E-2</v>
      </c>
      <c r="G77" s="76">
        <f t="shared" si="6"/>
        <v>-790.02</v>
      </c>
      <c r="H77" s="67">
        <f t="shared" si="3"/>
        <v>43179.442500000005</v>
      </c>
      <c r="I77" s="75">
        <f t="shared" si="5"/>
        <v>-270504.70977839973</v>
      </c>
      <c r="J77" s="67"/>
      <c r="K77" s="67"/>
      <c r="L77" s="67"/>
      <c r="M77" s="67"/>
      <c r="N77" s="67"/>
      <c r="O77" s="67"/>
    </row>
    <row r="78" spans="1:15" hidden="1" outlineLevel="1" x14ac:dyDescent="0.25">
      <c r="A78" s="71">
        <f t="shared" si="7"/>
        <v>71</v>
      </c>
      <c r="B78" s="66">
        <f>+B77+30</f>
        <v>40811</v>
      </c>
      <c r="D78" s="67">
        <v>45031.34</v>
      </c>
      <c r="F78" s="77">
        <v>3.2500000000000001E-2</v>
      </c>
      <c r="G78" s="76">
        <f t="shared" si="6"/>
        <v>-671.64</v>
      </c>
      <c r="H78" s="67">
        <f t="shared" si="3"/>
        <v>44359.732499999998</v>
      </c>
      <c r="I78" s="75">
        <f t="shared" si="5"/>
        <v>-226144.97727839975</v>
      </c>
      <c r="J78" s="67"/>
      <c r="K78" s="67"/>
      <c r="L78" s="67"/>
      <c r="M78" s="67"/>
      <c r="N78" s="67"/>
      <c r="O78" s="67"/>
    </row>
    <row r="79" spans="1:15" hidden="1" outlineLevel="1" x14ac:dyDescent="0.25">
      <c r="A79" s="71">
        <f t="shared" si="7"/>
        <v>72</v>
      </c>
      <c r="B79" s="66">
        <f>+B78+31</f>
        <v>40842</v>
      </c>
      <c r="D79" s="67">
        <v>59963.660169200019</v>
      </c>
      <c r="F79" s="77">
        <v>3.2500000000000001E-2</v>
      </c>
      <c r="G79" s="76">
        <f t="shared" si="6"/>
        <v>-531.28</v>
      </c>
      <c r="H79" s="67">
        <f t="shared" si="3"/>
        <v>59432.412669200021</v>
      </c>
      <c r="I79" s="75">
        <f t="shared" si="5"/>
        <v>-166712.56460919973</v>
      </c>
      <c r="J79" s="67"/>
      <c r="K79" s="67"/>
      <c r="L79" s="67"/>
      <c r="M79" s="67"/>
      <c r="N79" s="67"/>
      <c r="O79" s="67"/>
    </row>
    <row r="80" spans="1:15" hidden="1" outlineLevel="1" x14ac:dyDescent="0.25">
      <c r="A80" s="71">
        <f t="shared" si="7"/>
        <v>73</v>
      </c>
      <c r="B80" s="66">
        <f>+B79+30</f>
        <v>40872</v>
      </c>
      <c r="C80" s="66" t="s">
        <v>351</v>
      </c>
      <c r="D80" s="67">
        <v>64053.52</v>
      </c>
      <c r="F80" s="77">
        <v>3.2500000000000001E-2</v>
      </c>
      <c r="G80" s="76">
        <f t="shared" si="6"/>
        <v>-364.77</v>
      </c>
      <c r="H80" s="67">
        <f t="shared" ref="H80:H111" si="8">SUM(D80:E80,G80)</f>
        <v>63688.75</v>
      </c>
      <c r="I80" s="75">
        <f t="shared" si="5"/>
        <v>-103023.81460919973</v>
      </c>
      <c r="J80" s="67"/>
      <c r="K80" s="67"/>
      <c r="L80" s="67"/>
      <c r="M80" s="67"/>
      <c r="N80" s="67"/>
      <c r="O80" s="67"/>
    </row>
    <row r="81" spans="1:15" hidden="1" outlineLevel="1" x14ac:dyDescent="0.25">
      <c r="A81" s="71">
        <f t="shared" si="7"/>
        <v>74</v>
      </c>
      <c r="B81" s="66">
        <f>+B80</f>
        <v>40872</v>
      </c>
      <c r="C81" s="66" t="s">
        <v>350</v>
      </c>
      <c r="D81" s="67">
        <v>39486.33</v>
      </c>
      <c r="E81" s="67">
        <f>-'151550 Demand Accrual'!E77</f>
        <v>374550.56</v>
      </c>
      <c r="F81" s="77">
        <v>3.2500000000000001E-2</v>
      </c>
      <c r="G81" s="67">
        <f>ROUND((+E81+(D81/2))*F81/12,2)</f>
        <v>1067.8800000000001</v>
      </c>
      <c r="H81" s="67">
        <f t="shared" si="8"/>
        <v>415104.77</v>
      </c>
      <c r="I81" s="75">
        <f t="shared" si="5"/>
        <v>312080.95539080026</v>
      </c>
      <c r="J81" s="67"/>
      <c r="K81" s="67"/>
      <c r="L81" s="67"/>
      <c r="M81" s="67"/>
      <c r="N81" s="67"/>
      <c r="O81" s="67"/>
    </row>
    <row r="82" spans="1:15" hidden="1" outlineLevel="1" x14ac:dyDescent="0.25">
      <c r="A82" s="71">
        <f t="shared" si="7"/>
        <v>75</v>
      </c>
      <c r="B82" s="66">
        <f>+B80+31</f>
        <v>40903</v>
      </c>
      <c r="D82" s="67">
        <v>154108.35999999999</v>
      </c>
      <c r="F82" s="77">
        <v>3.2500000000000001E-2</v>
      </c>
      <c r="G82" s="76">
        <f t="shared" ref="G82:G93" si="9">ROUND((+I81+E82+(D82/2))*F82/12,2)</f>
        <v>1053.9100000000001</v>
      </c>
      <c r="H82" s="67">
        <f t="shared" si="8"/>
        <v>155162.26999999999</v>
      </c>
      <c r="I82" s="75">
        <f t="shared" si="5"/>
        <v>467243.22539080027</v>
      </c>
      <c r="J82" s="67"/>
      <c r="K82" s="67"/>
      <c r="L82" s="67"/>
      <c r="M82" s="67"/>
      <c r="N82" s="67"/>
      <c r="O82" s="67"/>
    </row>
    <row r="83" spans="1:15" hidden="1" outlineLevel="1" x14ac:dyDescent="0.25">
      <c r="A83" s="71">
        <f t="shared" si="7"/>
        <v>76</v>
      </c>
      <c r="B83" s="66">
        <f>+B82+31</f>
        <v>40934</v>
      </c>
      <c r="C83" s="87">
        <v>2</v>
      </c>
      <c r="D83" s="67">
        <v>169800.07</v>
      </c>
      <c r="E83" s="67">
        <f>-'232035 Storage Sharing'!E78</f>
        <v>-1222077.5699999998</v>
      </c>
      <c r="F83" s="77">
        <v>3.2500000000000001E-2</v>
      </c>
      <c r="G83" s="76">
        <f t="shared" si="9"/>
        <v>-1814.41</v>
      </c>
      <c r="H83" s="67">
        <f t="shared" si="8"/>
        <v>-1054091.9099999997</v>
      </c>
      <c r="I83" s="75">
        <f t="shared" si="5"/>
        <v>-586848.68460919941</v>
      </c>
      <c r="J83" s="67"/>
      <c r="K83" s="67"/>
      <c r="L83" s="67"/>
      <c r="M83" s="67"/>
      <c r="N83" s="67"/>
      <c r="O83" s="67"/>
    </row>
    <row r="84" spans="1:15" hidden="1" outlineLevel="1" x14ac:dyDescent="0.25">
      <c r="A84" s="71">
        <f t="shared" si="7"/>
        <v>77</v>
      </c>
      <c r="B84" s="66">
        <f>+B83+29</f>
        <v>40963</v>
      </c>
      <c r="D84" s="67">
        <v>142864.41843600004</v>
      </c>
      <c r="F84" s="77">
        <v>3.2500000000000001E-2</v>
      </c>
      <c r="G84" s="76">
        <f t="shared" si="9"/>
        <v>-1395.92</v>
      </c>
      <c r="H84" s="67">
        <f t="shared" si="8"/>
        <v>141468.49843600002</v>
      </c>
      <c r="I84" s="75">
        <f t="shared" si="5"/>
        <v>-445380.18617319938</v>
      </c>
      <c r="J84" s="67"/>
      <c r="K84" s="67"/>
      <c r="L84" s="67"/>
      <c r="M84" s="67"/>
      <c r="N84" s="67"/>
      <c r="O84" s="67"/>
    </row>
    <row r="85" spans="1:15" hidden="1" outlineLevel="1" x14ac:dyDescent="0.25">
      <c r="A85" s="71">
        <f t="shared" si="7"/>
        <v>78</v>
      </c>
      <c r="B85" s="66">
        <f>+B84+31</f>
        <v>40994</v>
      </c>
      <c r="D85" s="67">
        <v>134423.61981120001</v>
      </c>
      <c r="F85" s="77">
        <v>3.2500000000000001E-2</v>
      </c>
      <c r="G85" s="76">
        <f t="shared" si="9"/>
        <v>-1024.21</v>
      </c>
      <c r="H85" s="67">
        <f t="shared" si="8"/>
        <v>133399.40981120002</v>
      </c>
      <c r="I85" s="75">
        <f t="shared" si="5"/>
        <v>-311980.77636199933</v>
      </c>
      <c r="J85" s="67"/>
      <c r="K85" s="67"/>
      <c r="L85" s="67"/>
      <c r="M85" s="67"/>
      <c r="N85" s="67"/>
      <c r="O85" s="67"/>
    </row>
    <row r="86" spans="1:15" hidden="1" outlineLevel="1" x14ac:dyDescent="0.25">
      <c r="A86" s="71">
        <f t="shared" si="7"/>
        <v>79</v>
      </c>
      <c r="B86" s="66">
        <f>+B85+30</f>
        <v>41024</v>
      </c>
      <c r="D86" s="67">
        <v>103954.3888176</v>
      </c>
      <c r="F86" s="77">
        <v>3.2500000000000001E-2</v>
      </c>
      <c r="G86" s="76">
        <f t="shared" si="9"/>
        <v>-704.18</v>
      </c>
      <c r="H86" s="67">
        <f t="shared" si="8"/>
        <v>103250.20881760001</v>
      </c>
      <c r="I86" s="75">
        <f t="shared" si="5"/>
        <v>-208730.56754439932</v>
      </c>
      <c r="J86" s="67"/>
      <c r="K86" s="67"/>
      <c r="L86" s="67"/>
      <c r="M86" s="67"/>
      <c r="N86" s="67"/>
      <c r="O86" s="67"/>
    </row>
    <row r="87" spans="1:15" hidden="1" outlineLevel="1" x14ac:dyDescent="0.25">
      <c r="A87" s="71">
        <f t="shared" si="7"/>
        <v>80</v>
      </c>
      <c r="B87" s="66">
        <f>+B86+31</f>
        <v>41055</v>
      </c>
      <c r="D87" s="67">
        <v>64066.537579999997</v>
      </c>
      <c r="F87" s="77">
        <v>3.2500000000000001E-2</v>
      </c>
      <c r="G87" s="76">
        <f t="shared" si="9"/>
        <v>-478.56</v>
      </c>
      <c r="H87" s="67">
        <f t="shared" si="8"/>
        <v>63587.977579999999</v>
      </c>
      <c r="I87" s="75">
        <f t="shared" si="5"/>
        <v>-145142.58996439932</v>
      </c>
      <c r="J87" s="67"/>
      <c r="K87" s="67"/>
      <c r="L87" s="67"/>
      <c r="M87" s="67"/>
      <c r="N87" s="67"/>
      <c r="O87" s="67"/>
    </row>
    <row r="88" spans="1:15" hidden="1" outlineLevel="1" x14ac:dyDescent="0.25">
      <c r="A88" s="71">
        <f t="shared" si="7"/>
        <v>81</v>
      </c>
      <c r="B88" s="66">
        <f>+B87+30</f>
        <v>41085</v>
      </c>
      <c r="D88" s="67">
        <v>46682.793437200009</v>
      </c>
      <c r="F88" s="77">
        <v>3.2500000000000001E-2</v>
      </c>
      <c r="G88" s="76">
        <f t="shared" si="9"/>
        <v>-329.88</v>
      </c>
      <c r="H88" s="67">
        <f t="shared" si="8"/>
        <v>46352.913437200012</v>
      </c>
      <c r="I88" s="75">
        <f t="shared" ref="I88:I105" si="10">+I87+H88</f>
        <v>-98789.676527199306</v>
      </c>
      <c r="J88" s="67"/>
      <c r="K88" s="67"/>
      <c r="L88" s="67"/>
      <c r="M88" s="67"/>
      <c r="N88" s="67"/>
      <c r="O88" s="67"/>
    </row>
    <row r="89" spans="1:15" hidden="1" outlineLevel="1" x14ac:dyDescent="0.25">
      <c r="A89" s="71">
        <f t="shared" si="7"/>
        <v>82</v>
      </c>
      <c r="B89" s="66">
        <f>+B88+31</f>
        <v>41116</v>
      </c>
      <c r="D89" s="67">
        <v>35458.939131599996</v>
      </c>
      <c r="F89" s="77">
        <v>3.2500000000000001E-2</v>
      </c>
      <c r="G89" s="76">
        <f t="shared" si="9"/>
        <v>-219.54</v>
      </c>
      <c r="H89" s="67">
        <f t="shared" si="8"/>
        <v>35239.399131599996</v>
      </c>
      <c r="I89" s="75">
        <f t="shared" si="10"/>
        <v>-63550.277395599311</v>
      </c>
      <c r="J89" s="67"/>
      <c r="K89" s="67"/>
      <c r="L89" s="67"/>
      <c r="M89" s="67"/>
      <c r="N89" s="67"/>
      <c r="O89" s="67"/>
    </row>
    <row r="90" spans="1:15" hidden="1" outlineLevel="1" x14ac:dyDescent="0.25">
      <c r="A90" s="71">
        <f t="shared" si="7"/>
        <v>83</v>
      </c>
      <c r="B90" s="66">
        <f>+B89+30</f>
        <v>41146</v>
      </c>
      <c r="D90" s="67">
        <v>29425.683768800001</v>
      </c>
      <c r="F90" s="77">
        <v>3.2500000000000001E-2</v>
      </c>
      <c r="G90" s="76">
        <f t="shared" si="9"/>
        <v>-132.27000000000001</v>
      </c>
      <c r="H90" s="67">
        <f t="shared" si="8"/>
        <v>29293.413768800001</v>
      </c>
      <c r="I90" s="75">
        <f t="shared" si="10"/>
        <v>-34256.863626799313</v>
      </c>
      <c r="J90" s="67"/>
      <c r="K90" s="67"/>
      <c r="L90" s="67"/>
      <c r="M90" s="67"/>
      <c r="N90" s="67"/>
      <c r="O90" s="67"/>
    </row>
    <row r="91" spans="1:15" hidden="1" outlineLevel="1" x14ac:dyDescent="0.25">
      <c r="A91" s="71">
        <f t="shared" si="7"/>
        <v>84</v>
      </c>
      <c r="B91" s="66">
        <f>+B90+30</f>
        <v>41176</v>
      </c>
      <c r="D91" s="67">
        <v>30701.320623599997</v>
      </c>
      <c r="F91" s="77">
        <v>3.2500000000000001E-2</v>
      </c>
      <c r="G91" s="76">
        <f t="shared" si="9"/>
        <v>-51.2</v>
      </c>
      <c r="H91" s="67">
        <f t="shared" si="8"/>
        <v>30650.120623599996</v>
      </c>
      <c r="I91" s="75">
        <f t="shared" si="10"/>
        <v>-3606.7430031993172</v>
      </c>
      <c r="J91" s="67"/>
      <c r="K91" s="67"/>
      <c r="L91" s="67"/>
      <c r="M91" s="67"/>
      <c r="N91" s="67"/>
      <c r="O91" s="67"/>
    </row>
    <row r="92" spans="1:15" hidden="1" outlineLevel="1" x14ac:dyDescent="0.25">
      <c r="A92" s="71">
        <f t="shared" si="7"/>
        <v>85</v>
      </c>
      <c r="B92" s="66">
        <f>+B91+31</f>
        <v>41207</v>
      </c>
      <c r="D92" s="67">
        <v>40006.591534400002</v>
      </c>
      <c r="F92" s="77">
        <v>3.2500000000000001E-2</v>
      </c>
      <c r="G92" s="76">
        <f t="shared" si="9"/>
        <v>44.41</v>
      </c>
      <c r="H92" s="67">
        <f t="shared" si="8"/>
        <v>40051.001534400006</v>
      </c>
      <c r="I92" s="75">
        <f t="shared" si="10"/>
        <v>36444.258531200685</v>
      </c>
      <c r="J92" s="67"/>
      <c r="K92" s="67"/>
      <c r="L92" s="67"/>
      <c r="M92" s="67"/>
      <c r="N92" s="67"/>
      <c r="O92" s="67"/>
    </row>
    <row r="93" spans="1:15" hidden="1" outlineLevel="1" x14ac:dyDescent="0.25">
      <c r="A93" s="71">
        <f t="shared" si="7"/>
        <v>86</v>
      </c>
      <c r="B93" s="66">
        <f>+B92+30</f>
        <v>41237</v>
      </c>
      <c r="C93" s="66" t="s">
        <v>351</v>
      </c>
      <c r="D93" s="67">
        <v>39656.609161600005</v>
      </c>
      <c r="F93" s="77">
        <v>3.2500000000000001E-2</v>
      </c>
      <c r="G93" s="76">
        <f t="shared" si="9"/>
        <v>152.4</v>
      </c>
      <c r="H93" s="67">
        <f t="shared" si="8"/>
        <v>39809.009161600006</v>
      </c>
      <c r="I93" s="75">
        <f t="shared" si="10"/>
        <v>76253.267692800699</v>
      </c>
      <c r="J93" s="67"/>
      <c r="K93" s="67"/>
      <c r="L93" s="67"/>
      <c r="M93" s="67"/>
      <c r="N93" s="67"/>
      <c r="O93" s="67"/>
    </row>
    <row r="94" spans="1:15" hidden="1" outlineLevel="1" x14ac:dyDescent="0.25">
      <c r="A94" s="71">
        <f t="shared" si="7"/>
        <v>87</v>
      </c>
      <c r="B94" s="66">
        <f>+B93</f>
        <v>41237</v>
      </c>
      <c r="C94" s="66" t="s">
        <v>350</v>
      </c>
      <c r="D94" s="67">
        <v>29668.339999999997</v>
      </c>
      <c r="E94" s="67">
        <v>110381.2</v>
      </c>
      <c r="F94" s="77">
        <v>3.2500000000000001E-2</v>
      </c>
      <c r="G94" s="67">
        <f>ROUND((+E94+(D94/2))*F94/12,2)</f>
        <v>339.12</v>
      </c>
      <c r="H94" s="67">
        <f t="shared" si="8"/>
        <v>140388.65999999997</v>
      </c>
      <c r="I94" s="75">
        <f t="shared" si="10"/>
        <v>216641.92769280067</v>
      </c>
      <c r="J94" s="67"/>
      <c r="K94" s="67"/>
      <c r="L94" s="67"/>
      <c r="M94" s="67"/>
      <c r="N94" s="67"/>
      <c r="O94" s="67"/>
    </row>
    <row r="95" spans="1:15" hidden="1" outlineLevel="1" x14ac:dyDescent="0.25">
      <c r="A95" s="71">
        <f t="shared" si="7"/>
        <v>88</v>
      </c>
      <c r="B95" s="66">
        <f>+B94+31</f>
        <v>41268</v>
      </c>
      <c r="D95" s="67">
        <v>116882.78397599999</v>
      </c>
      <c r="E95" s="67">
        <v>0.09</v>
      </c>
      <c r="F95" s="77">
        <v>3.2500000000000001E-2</v>
      </c>
      <c r="G95" s="76">
        <f t="shared" ref="G95:G106" si="11">ROUND((+I94+E95+(D95/2))*F95/12,2)</f>
        <v>745.02</v>
      </c>
      <c r="H95" s="67">
        <f t="shared" si="8"/>
        <v>117627.89397599999</v>
      </c>
      <c r="I95" s="75">
        <f t="shared" si="10"/>
        <v>334269.82166880067</v>
      </c>
      <c r="J95" s="67"/>
      <c r="K95" s="67"/>
      <c r="L95" s="67"/>
      <c r="M95" s="67"/>
      <c r="N95" s="67"/>
      <c r="O95" s="67"/>
    </row>
    <row r="96" spans="1:15" hidden="1" outlineLevel="1" x14ac:dyDescent="0.25">
      <c r="A96" s="71">
        <f t="shared" si="7"/>
        <v>89</v>
      </c>
      <c r="B96" s="66">
        <f>+B95+31</f>
        <v>41299</v>
      </c>
      <c r="D96" s="67">
        <v>174481.68933799997</v>
      </c>
      <c r="E96" s="67">
        <v>-1199549.8400000001</v>
      </c>
      <c r="F96" s="77">
        <v>3.2500000000000001E-2</v>
      </c>
      <c r="G96" s="76">
        <f t="shared" si="11"/>
        <v>-2107.19</v>
      </c>
      <c r="H96" s="67">
        <f t="shared" si="8"/>
        <v>-1027175.340662</v>
      </c>
      <c r="I96" s="75">
        <f t="shared" si="10"/>
        <v>-692905.51899319934</v>
      </c>
      <c r="J96" s="67"/>
      <c r="K96" s="67"/>
      <c r="L96" s="67"/>
      <c r="M96" s="67"/>
      <c r="N96" s="67"/>
      <c r="O96" s="67"/>
    </row>
    <row r="97" spans="1:15" hidden="1" outlineLevel="1" x14ac:dyDescent="0.25">
      <c r="A97" s="71">
        <f t="shared" si="7"/>
        <v>90</v>
      </c>
      <c r="B97" s="66">
        <f>+B96+28</f>
        <v>41327</v>
      </c>
      <c r="D97" s="67">
        <v>141200.44</v>
      </c>
      <c r="F97" s="77">
        <v>3.2500000000000001E-2</v>
      </c>
      <c r="G97" s="76">
        <f t="shared" si="11"/>
        <v>-1685.41</v>
      </c>
      <c r="H97" s="67">
        <f t="shared" si="8"/>
        <v>139515.03</v>
      </c>
      <c r="I97" s="75">
        <f t="shared" si="10"/>
        <v>-553390.48899319931</v>
      </c>
      <c r="J97" s="67"/>
      <c r="K97" s="67"/>
      <c r="L97" s="67"/>
      <c r="M97" s="67"/>
      <c r="N97" s="67"/>
      <c r="O97" s="67"/>
    </row>
    <row r="98" spans="1:15" hidden="1" outlineLevel="1" x14ac:dyDescent="0.25">
      <c r="A98" s="71">
        <f t="shared" si="7"/>
        <v>91</v>
      </c>
      <c r="B98" s="66">
        <f>+B97+31</f>
        <v>41358</v>
      </c>
      <c r="D98" s="121">
        <v>111051.98</v>
      </c>
      <c r="F98" s="77">
        <v>3.2500000000000001E-2</v>
      </c>
      <c r="G98" s="76">
        <f t="shared" si="11"/>
        <v>-1348.38</v>
      </c>
      <c r="H98" s="67">
        <f t="shared" si="8"/>
        <v>109703.59999999999</v>
      </c>
      <c r="I98" s="75">
        <f t="shared" si="10"/>
        <v>-443686.88899319933</v>
      </c>
      <c r="J98" s="67"/>
      <c r="K98" s="67"/>
      <c r="L98" s="67"/>
      <c r="M98" s="67"/>
      <c r="N98" s="67"/>
      <c r="O98" s="67"/>
    </row>
    <row r="99" spans="1:15" hidden="1" outlineLevel="1" x14ac:dyDescent="0.25">
      <c r="A99" s="71">
        <f t="shared" si="7"/>
        <v>92</v>
      </c>
      <c r="B99" s="66">
        <f>+B98+30</f>
        <v>41388</v>
      </c>
      <c r="D99" s="121">
        <v>79957.56</v>
      </c>
      <c r="F99" s="77">
        <v>3.2500000000000001E-2</v>
      </c>
      <c r="G99" s="76">
        <f t="shared" si="11"/>
        <v>-1093.3800000000001</v>
      </c>
      <c r="H99" s="67">
        <f t="shared" si="8"/>
        <v>78864.179999999993</v>
      </c>
      <c r="I99" s="75">
        <f t="shared" si="10"/>
        <v>-364822.70899319934</v>
      </c>
      <c r="J99" s="67"/>
      <c r="K99" s="67"/>
      <c r="L99" s="67"/>
      <c r="M99" s="67"/>
      <c r="N99" s="67"/>
      <c r="O99" s="67"/>
    </row>
    <row r="100" spans="1:15" hidden="1" outlineLevel="1" x14ac:dyDescent="0.25">
      <c r="A100" s="71">
        <f t="shared" si="7"/>
        <v>93</v>
      </c>
      <c r="B100" s="66">
        <f>+B99+31</f>
        <v>41419</v>
      </c>
      <c r="D100" s="121">
        <v>54181.19</v>
      </c>
      <c r="F100" s="77">
        <v>3.2500000000000001E-2</v>
      </c>
      <c r="G100" s="76">
        <f t="shared" si="11"/>
        <v>-914.69</v>
      </c>
      <c r="H100" s="67">
        <f t="shared" si="8"/>
        <v>53266.5</v>
      </c>
      <c r="I100" s="75">
        <f t="shared" si="10"/>
        <v>-311556.20899319934</v>
      </c>
      <c r="J100" s="67"/>
      <c r="K100" s="67"/>
      <c r="L100" s="67"/>
      <c r="M100" s="67"/>
      <c r="N100" s="67"/>
      <c r="O100" s="67"/>
    </row>
    <row r="101" spans="1:15" hidden="1" outlineLevel="1" x14ac:dyDescent="0.25">
      <c r="A101" s="71">
        <f t="shared" si="7"/>
        <v>94</v>
      </c>
      <c r="B101" s="66">
        <f>+B100+30</f>
        <v>41449</v>
      </c>
      <c r="D101" s="67">
        <v>42582.89</v>
      </c>
      <c r="F101" s="77">
        <v>3.2500000000000001E-2</v>
      </c>
      <c r="G101" s="76">
        <f t="shared" si="11"/>
        <v>-786.13</v>
      </c>
      <c r="H101" s="67">
        <f t="shared" si="8"/>
        <v>41796.76</v>
      </c>
      <c r="I101" s="75">
        <f t="shared" si="10"/>
        <v>-269759.44899319933</v>
      </c>
      <c r="J101" s="67"/>
      <c r="K101" s="67"/>
      <c r="L101" s="67"/>
      <c r="M101" s="67"/>
      <c r="N101" s="67"/>
      <c r="O101" s="67"/>
    </row>
    <row r="102" spans="1:15" hidden="1" outlineLevel="1" x14ac:dyDescent="0.25">
      <c r="A102" s="71">
        <f t="shared" si="7"/>
        <v>95</v>
      </c>
      <c r="B102" s="66">
        <f>+B101+31</f>
        <v>41480</v>
      </c>
      <c r="D102" s="67">
        <v>31608.781048000001</v>
      </c>
      <c r="F102" s="77">
        <v>3.2500000000000001E-2</v>
      </c>
      <c r="G102" s="76">
        <f t="shared" si="11"/>
        <v>-687.79</v>
      </c>
      <c r="H102" s="67">
        <f t="shared" si="8"/>
        <v>30920.991048</v>
      </c>
      <c r="I102" s="75">
        <f t="shared" si="10"/>
        <v>-238838.45794519933</v>
      </c>
      <c r="J102" s="67"/>
      <c r="K102" s="67"/>
      <c r="L102" s="67"/>
      <c r="M102" s="67"/>
      <c r="N102" s="67"/>
      <c r="O102" s="67"/>
    </row>
    <row r="103" spans="1:15" hidden="1" outlineLevel="1" x14ac:dyDescent="0.25">
      <c r="A103" s="71">
        <f t="shared" si="7"/>
        <v>96</v>
      </c>
      <c r="B103" s="66">
        <f>+B102+31</f>
        <v>41511</v>
      </c>
      <c r="D103" s="67">
        <v>27844.936365599991</v>
      </c>
      <c r="F103" s="77">
        <v>3.2500000000000001E-2</v>
      </c>
      <c r="G103" s="76">
        <f t="shared" si="11"/>
        <v>-609.15</v>
      </c>
      <c r="H103" s="67">
        <f t="shared" si="8"/>
        <v>27235.78636559999</v>
      </c>
      <c r="I103" s="75">
        <f t="shared" si="10"/>
        <v>-211602.67157959935</v>
      </c>
      <c r="J103" s="67"/>
      <c r="K103" s="67"/>
      <c r="L103" s="67"/>
      <c r="M103" s="67"/>
      <c r="N103" s="67"/>
      <c r="O103" s="67"/>
    </row>
    <row r="104" spans="1:15" hidden="1" outlineLevel="1" x14ac:dyDescent="0.25">
      <c r="A104" s="71">
        <f t="shared" si="7"/>
        <v>97</v>
      </c>
      <c r="B104" s="66">
        <f>+B103+30</f>
        <v>41541</v>
      </c>
      <c r="D104" s="67">
        <v>28243.863404399999</v>
      </c>
      <c r="F104" s="77">
        <v>3.2500000000000001E-2</v>
      </c>
      <c r="G104" s="76">
        <f t="shared" si="11"/>
        <v>-534.84</v>
      </c>
      <c r="H104" s="67">
        <f t="shared" si="8"/>
        <v>27709.023404399999</v>
      </c>
      <c r="I104" s="75">
        <f t="shared" si="10"/>
        <v>-183893.64817519934</v>
      </c>
      <c r="J104" s="67"/>
      <c r="K104" s="67"/>
      <c r="L104" s="67"/>
      <c r="M104" s="67"/>
      <c r="N104" s="67"/>
      <c r="O104" s="67"/>
    </row>
    <row r="105" spans="1:15" hidden="1" outlineLevel="1" x14ac:dyDescent="0.25">
      <c r="A105" s="71">
        <f t="shared" si="7"/>
        <v>98</v>
      </c>
      <c r="B105" s="66">
        <f>+B104+31</f>
        <v>41572</v>
      </c>
      <c r="D105" s="67">
        <v>50884.719323200006</v>
      </c>
      <c r="F105" s="77">
        <v>3.2500000000000001E-2</v>
      </c>
      <c r="G105" s="76">
        <f t="shared" si="11"/>
        <v>-429.14</v>
      </c>
      <c r="H105" s="67">
        <f t="shared" si="8"/>
        <v>50455.579323200007</v>
      </c>
      <c r="I105" s="75">
        <f t="shared" si="10"/>
        <v>-133438.06885199933</v>
      </c>
      <c r="J105" s="67"/>
      <c r="K105" s="67"/>
      <c r="L105" s="67"/>
      <c r="M105" s="67"/>
      <c r="N105" s="67"/>
      <c r="O105" s="67"/>
    </row>
    <row r="106" spans="1:15" hidden="1" outlineLevel="1" x14ac:dyDescent="0.25">
      <c r="A106" s="71">
        <f t="shared" si="7"/>
        <v>99</v>
      </c>
      <c r="B106" s="66">
        <f>+B105+30</f>
        <v>41602</v>
      </c>
      <c r="C106" s="66" t="s">
        <v>351</v>
      </c>
      <c r="D106" s="67">
        <v>42170.873038799989</v>
      </c>
      <c r="F106" s="77">
        <v>3.2500000000000001E-2</v>
      </c>
      <c r="G106" s="76">
        <f t="shared" si="11"/>
        <v>-304.29000000000002</v>
      </c>
      <c r="H106" s="67">
        <f t="shared" si="8"/>
        <v>41866.583038799989</v>
      </c>
      <c r="I106" s="75">
        <f>+I105+H106+0.02</f>
        <v>-91571.465813199335</v>
      </c>
      <c r="J106" s="67"/>
      <c r="K106" s="67"/>
      <c r="L106" s="67"/>
      <c r="M106" s="67"/>
      <c r="N106" s="67"/>
      <c r="O106" s="67"/>
    </row>
    <row r="107" spans="1:15" hidden="1" outlineLevel="1" x14ac:dyDescent="0.25">
      <c r="A107" s="71">
        <f t="shared" si="7"/>
        <v>100</v>
      </c>
      <c r="B107" s="66">
        <f>+B106</f>
        <v>41602</v>
      </c>
      <c r="C107" s="66" t="s">
        <v>350</v>
      </c>
      <c r="D107" s="67">
        <v>42321.210000000006</v>
      </c>
      <c r="E107" s="67">
        <f>-'151550 Demand Accrual'!E101</f>
        <v>-3932.9151639997581</v>
      </c>
      <c r="F107" s="77">
        <v>3.2500000000000001E-2</v>
      </c>
      <c r="G107" s="76">
        <f>ROUND((E107+(D107/2))*F107/12,2)</f>
        <v>46.66</v>
      </c>
      <c r="H107" s="67">
        <f t="shared" si="8"/>
        <v>38434.954836000252</v>
      </c>
      <c r="I107" s="75">
        <f t="shared" ref="I107:I118" si="12">+I106+H107</f>
        <v>-53136.510977199083</v>
      </c>
      <c r="J107" s="67"/>
      <c r="K107" s="67"/>
      <c r="L107" s="67"/>
      <c r="M107" s="67"/>
      <c r="N107" s="67"/>
      <c r="O107" s="67"/>
    </row>
    <row r="108" spans="1:15" hidden="1" outlineLevel="1" x14ac:dyDescent="0.25">
      <c r="A108" s="71">
        <f t="shared" si="7"/>
        <v>101</v>
      </c>
      <c r="B108" s="111">
        <f>+B107+31</f>
        <v>41633</v>
      </c>
      <c r="D108" s="67">
        <v>206825.53339639996</v>
      </c>
      <c r="F108" s="77">
        <v>3.2500000000000001E-2</v>
      </c>
      <c r="G108" s="76">
        <f t="shared" ref="G108:G119" si="13">ROUND((+I107+E108+(D108/2))*F108/12,2)</f>
        <v>136.16</v>
      </c>
      <c r="H108" s="67">
        <f t="shared" si="8"/>
        <v>206961.69339639996</v>
      </c>
      <c r="I108" s="75">
        <f t="shared" si="12"/>
        <v>153825.18241920089</v>
      </c>
      <c r="J108" s="67"/>
      <c r="K108" s="67"/>
      <c r="L108" s="67"/>
      <c r="M108" s="67"/>
      <c r="N108" s="67"/>
      <c r="O108" s="67"/>
    </row>
    <row r="109" spans="1:15" hidden="1" outlineLevel="1" x14ac:dyDescent="0.25">
      <c r="A109" s="71">
        <f t="shared" si="7"/>
        <v>102</v>
      </c>
      <c r="B109" s="111">
        <f>+B108+31</f>
        <v>41664</v>
      </c>
      <c r="D109" s="67">
        <v>227367.5928484</v>
      </c>
      <c r="E109" s="67">
        <f>-1378053.37-0.02</f>
        <v>-1378053.3900000001</v>
      </c>
      <c r="F109" s="77">
        <v>3.2500000000000001E-2</v>
      </c>
      <c r="G109" s="76">
        <f t="shared" si="13"/>
        <v>-3007.72</v>
      </c>
      <c r="H109" s="67">
        <f t="shared" si="8"/>
        <v>-1153693.5171516</v>
      </c>
      <c r="I109" s="75">
        <f t="shared" si="12"/>
        <v>-999868.33473239909</v>
      </c>
      <c r="J109" s="67"/>
      <c r="K109" s="67"/>
      <c r="L109" s="67"/>
      <c r="M109" s="67"/>
      <c r="N109" s="67"/>
      <c r="O109" s="67"/>
    </row>
    <row r="110" spans="1:15" hidden="1" outlineLevel="1" x14ac:dyDescent="0.25">
      <c r="A110" s="71">
        <f t="shared" si="7"/>
        <v>103</v>
      </c>
      <c r="B110" s="110">
        <f>+B109+28</f>
        <v>41692</v>
      </c>
      <c r="D110" s="67">
        <v>208971.25481479996</v>
      </c>
      <c r="F110" s="77">
        <v>3.2500000000000001E-2</v>
      </c>
      <c r="G110" s="76">
        <f t="shared" si="13"/>
        <v>-2424.9899999999998</v>
      </c>
      <c r="H110" s="67">
        <f t="shared" si="8"/>
        <v>206546.26481479997</v>
      </c>
      <c r="I110" s="75">
        <f t="shared" si="12"/>
        <v>-793322.06991759909</v>
      </c>
      <c r="J110" s="67"/>
      <c r="K110" s="67"/>
      <c r="L110" s="67"/>
      <c r="M110" s="67"/>
      <c r="N110" s="67"/>
      <c r="O110" s="67"/>
    </row>
    <row r="111" spans="1:15" hidden="1" outlineLevel="1" x14ac:dyDescent="0.25">
      <c r="A111" s="71">
        <f t="shared" si="7"/>
        <v>104</v>
      </c>
      <c r="B111" s="110">
        <f>+B110+31</f>
        <v>41723</v>
      </c>
      <c r="D111" s="67">
        <v>150621.04866960004</v>
      </c>
      <c r="F111" s="77">
        <v>3.2500000000000001E-2</v>
      </c>
      <c r="G111" s="76">
        <f t="shared" si="13"/>
        <v>-1944.61</v>
      </c>
      <c r="H111" s="67">
        <f t="shared" si="8"/>
        <v>148676.43866960006</v>
      </c>
      <c r="I111" s="75">
        <f t="shared" si="12"/>
        <v>-644645.63124799903</v>
      </c>
      <c r="J111" s="67"/>
      <c r="K111" s="67"/>
      <c r="L111" s="67"/>
      <c r="M111" s="67"/>
      <c r="N111" s="67"/>
      <c r="O111" s="67"/>
    </row>
    <row r="112" spans="1:15" hidden="1" outlineLevel="1" x14ac:dyDescent="0.25">
      <c r="A112" s="71">
        <f t="shared" si="7"/>
        <v>105</v>
      </c>
      <c r="B112" s="110">
        <f>+B111+30</f>
        <v>41753</v>
      </c>
      <c r="D112" s="67">
        <v>105675.31438160001</v>
      </c>
      <c r="F112" s="77">
        <v>3.2500000000000001E-2</v>
      </c>
      <c r="G112" s="76">
        <f t="shared" si="13"/>
        <v>-1602.81</v>
      </c>
      <c r="H112" s="67">
        <f t="shared" ref="H112:H142" si="14">SUM(D112:E112,G112)</f>
        <v>104072.50438160001</v>
      </c>
      <c r="I112" s="75">
        <f t="shared" si="12"/>
        <v>-540573.12686639908</v>
      </c>
      <c r="J112" s="67"/>
      <c r="K112" s="67"/>
      <c r="L112" s="67"/>
      <c r="M112" s="67"/>
      <c r="N112" s="67"/>
      <c r="O112" s="67"/>
    </row>
    <row r="113" spans="1:15" hidden="1" outlineLevel="1" x14ac:dyDescent="0.25">
      <c r="A113" s="71">
        <f t="shared" si="7"/>
        <v>106</v>
      </c>
      <c r="B113" s="66">
        <f>+B112+31</f>
        <v>41784</v>
      </c>
      <c r="D113" s="67">
        <v>70728.81</v>
      </c>
      <c r="F113" s="77">
        <v>3.2500000000000001E-2</v>
      </c>
      <c r="G113" s="76">
        <f t="shared" si="13"/>
        <v>-1368.27</v>
      </c>
      <c r="H113" s="67">
        <f t="shared" si="14"/>
        <v>69360.539999999994</v>
      </c>
      <c r="I113" s="75">
        <f t="shared" si="12"/>
        <v>-471212.5868663991</v>
      </c>
      <c r="J113" s="67"/>
      <c r="K113" s="67"/>
      <c r="L113" s="67"/>
      <c r="M113" s="67"/>
      <c r="N113" s="67"/>
      <c r="O113" s="67"/>
    </row>
    <row r="114" spans="1:15" hidden="1" outlineLevel="1" x14ac:dyDescent="0.25">
      <c r="A114" s="71">
        <f t="shared" si="7"/>
        <v>107</v>
      </c>
      <c r="B114" s="66">
        <f>+B113+30</f>
        <v>41814</v>
      </c>
      <c r="D114" s="67">
        <v>47938.33</v>
      </c>
      <c r="F114" s="77">
        <v>3.2500000000000001E-2</v>
      </c>
      <c r="G114" s="76">
        <f t="shared" si="13"/>
        <v>-1211.28</v>
      </c>
      <c r="H114" s="67">
        <f t="shared" si="14"/>
        <v>46727.05</v>
      </c>
      <c r="I114" s="75">
        <f t="shared" si="12"/>
        <v>-424485.53686639911</v>
      </c>
      <c r="J114" s="67"/>
      <c r="K114" s="67"/>
      <c r="L114" s="67"/>
      <c r="M114" s="67"/>
      <c r="N114" s="67"/>
      <c r="O114" s="67"/>
    </row>
    <row r="115" spans="1:15" hidden="1" outlineLevel="1" x14ac:dyDescent="0.25">
      <c r="A115" s="71">
        <f t="shared" si="7"/>
        <v>108</v>
      </c>
      <c r="B115" s="66">
        <f>+B114+31</f>
        <v>41845</v>
      </c>
      <c r="D115" s="67">
        <v>41747.286422000005</v>
      </c>
      <c r="F115" s="77">
        <v>3.2500000000000001E-2</v>
      </c>
      <c r="G115" s="76">
        <f t="shared" si="13"/>
        <v>-1093.1199999999999</v>
      </c>
      <c r="H115" s="67">
        <f t="shared" si="14"/>
        <v>40654.166422000002</v>
      </c>
      <c r="I115" s="75">
        <f t="shared" si="12"/>
        <v>-383831.37044439913</v>
      </c>
      <c r="J115" s="67"/>
      <c r="K115" s="67"/>
      <c r="L115" s="67"/>
      <c r="M115" s="67"/>
      <c r="N115" s="67"/>
      <c r="O115" s="67"/>
    </row>
    <row r="116" spans="1:15" hidden="1" outlineLevel="1" x14ac:dyDescent="0.25">
      <c r="A116" s="71">
        <f t="shared" si="7"/>
        <v>109</v>
      </c>
      <c r="B116" s="66">
        <f>+B115+31</f>
        <v>41876</v>
      </c>
      <c r="D116" s="67">
        <v>34021.339999999997</v>
      </c>
      <c r="F116" s="77">
        <v>3.2500000000000001E-2</v>
      </c>
      <c r="G116" s="76">
        <f t="shared" si="13"/>
        <v>-993.47</v>
      </c>
      <c r="H116" s="67">
        <f t="shared" si="14"/>
        <v>33027.869999999995</v>
      </c>
      <c r="I116" s="75">
        <f t="shared" si="12"/>
        <v>-350803.50044439913</v>
      </c>
      <c r="J116" s="67"/>
      <c r="K116" s="67"/>
      <c r="L116" s="67"/>
      <c r="M116" s="67"/>
      <c r="N116" s="67"/>
      <c r="O116" s="67"/>
    </row>
    <row r="117" spans="1:15" hidden="1" outlineLevel="1" x14ac:dyDescent="0.25">
      <c r="A117" s="71">
        <f t="shared" si="7"/>
        <v>110</v>
      </c>
      <c r="B117" s="66">
        <f>+B116+30</f>
        <v>41906</v>
      </c>
      <c r="D117" s="67">
        <v>35615.938585200005</v>
      </c>
      <c r="F117" s="77">
        <v>3.2500000000000001E-2</v>
      </c>
      <c r="G117" s="76">
        <f t="shared" si="13"/>
        <v>-901.86</v>
      </c>
      <c r="H117" s="67">
        <f t="shared" si="14"/>
        <v>34714.078585200004</v>
      </c>
      <c r="I117" s="75">
        <f t="shared" si="12"/>
        <v>-316089.42185919912</v>
      </c>
      <c r="J117" s="67"/>
      <c r="K117" s="67"/>
      <c r="L117" s="67"/>
      <c r="M117" s="67"/>
      <c r="N117" s="67"/>
      <c r="O117" s="67"/>
    </row>
    <row r="118" spans="1:15" hidden="1" outlineLevel="1" x14ac:dyDescent="0.25">
      <c r="A118" s="71">
        <f t="shared" si="7"/>
        <v>111</v>
      </c>
      <c r="B118" s="66">
        <f>+B117+31</f>
        <v>41937</v>
      </c>
      <c r="D118" s="67">
        <v>42013.47</v>
      </c>
      <c r="F118" s="77">
        <v>3.2500000000000001E-2</v>
      </c>
      <c r="G118" s="76">
        <f t="shared" si="13"/>
        <v>-799.18</v>
      </c>
      <c r="H118" s="67">
        <f t="shared" si="14"/>
        <v>41214.29</v>
      </c>
      <c r="I118" s="75">
        <f t="shared" si="12"/>
        <v>-274875.13185919914</v>
      </c>
      <c r="J118" s="67"/>
      <c r="K118" s="67"/>
      <c r="L118" s="67"/>
      <c r="M118" s="67"/>
      <c r="N118" s="67"/>
      <c r="O118" s="67"/>
    </row>
    <row r="119" spans="1:15" hidden="1" outlineLevel="1" x14ac:dyDescent="0.25">
      <c r="A119" s="71">
        <f t="shared" si="7"/>
        <v>112</v>
      </c>
      <c r="B119" s="66">
        <f>+B118+30</f>
        <v>41967</v>
      </c>
      <c r="C119" s="66" t="s">
        <v>351</v>
      </c>
      <c r="D119" s="67">
        <v>43975.02</v>
      </c>
      <c r="F119" s="77">
        <v>3.2500000000000001E-2</v>
      </c>
      <c r="G119" s="76">
        <f t="shared" si="13"/>
        <v>-684.9</v>
      </c>
      <c r="H119" s="67">
        <f t="shared" si="14"/>
        <v>43290.119999999995</v>
      </c>
      <c r="I119" s="75">
        <f>+I118+H119+0.02</f>
        <v>-231584.99185919916</v>
      </c>
      <c r="J119" s="67"/>
      <c r="K119" s="67"/>
      <c r="L119" s="67"/>
      <c r="M119" s="67"/>
      <c r="N119" s="67"/>
      <c r="O119" s="67"/>
    </row>
    <row r="120" spans="1:15" hidden="1" outlineLevel="1" x14ac:dyDescent="0.25">
      <c r="A120" s="71">
        <f t="shared" si="7"/>
        <v>113</v>
      </c>
      <c r="B120" s="66">
        <f>+B119</f>
        <v>41967</v>
      </c>
      <c r="C120" s="66" t="s">
        <v>350</v>
      </c>
      <c r="D120" s="67">
        <v>69576.300000000017</v>
      </c>
      <c r="E120" s="67">
        <f>-'151550 Demand Accrual'!E113</f>
        <v>-919526.23519000201</v>
      </c>
      <c r="F120" s="77">
        <v>3.2500000000000001E-2</v>
      </c>
      <c r="G120" s="76">
        <f>ROUND((E120+(D120/2))*F120/12,2)</f>
        <v>-2396.17</v>
      </c>
      <c r="H120" s="67">
        <f t="shared" si="14"/>
        <v>-852346.10519000201</v>
      </c>
      <c r="I120" s="75">
        <f t="shared" ref="I120:I131" si="15">+I119+H120</f>
        <v>-1083931.0970492011</v>
      </c>
      <c r="J120" s="67"/>
      <c r="K120" s="67"/>
      <c r="L120" s="67"/>
      <c r="M120" s="67"/>
      <c r="N120" s="67"/>
      <c r="O120" s="67"/>
    </row>
    <row r="121" spans="1:15" hidden="1" outlineLevel="1" x14ac:dyDescent="0.25">
      <c r="A121" s="71">
        <f t="shared" si="7"/>
        <v>114</v>
      </c>
      <c r="B121" s="111">
        <f>+B120+31</f>
        <v>41998</v>
      </c>
      <c r="D121" s="67">
        <v>271345.02316320007</v>
      </c>
      <c r="F121" s="77">
        <v>3.2500000000000001E-2</v>
      </c>
      <c r="G121" s="76">
        <f t="shared" ref="G121:G132" si="16">ROUND((+I120+E121+(D121/2))*F121/12,2)</f>
        <v>-2568.1999999999998</v>
      </c>
      <c r="H121" s="67">
        <f t="shared" si="14"/>
        <v>268776.82316320005</v>
      </c>
      <c r="I121" s="75">
        <f t="shared" si="15"/>
        <v>-815154.27388600109</v>
      </c>
      <c r="J121" s="67"/>
      <c r="K121" s="67"/>
      <c r="L121" s="67"/>
      <c r="M121" s="67"/>
      <c r="N121" s="67"/>
      <c r="O121" s="67"/>
    </row>
    <row r="122" spans="1:15" hidden="1" outlineLevel="1" x14ac:dyDescent="0.25">
      <c r="A122" s="71">
        <f t="shared" si="7"/>
        <v>115</v>
      </c>
      <c r="B122" s="66">
        <f>+B121+31</f>
        <v>42029</v>
      </c>
      <c r="C122" s="87">
        <v>2</v>
      </c>
      <c r="D122" s="67">
        <v>296523.03498399997</v>
      </c>
      <c r="E122" s="67">
        <v>-1223450.71</v>
      </c>
      <c r="F122" s="77">
        <v>3.2500000000000001E-2</v>
      </c>
      <c r="G122" s="76">
        <f t="shared" si="16"/>
        <v>-5119.68</v>
      </c>
      <c r="H122" s="67">
        <f t="shared" si="14"/>
        <v>-932047.35501599999</v>
      </c>
      <c r="I122" s="75">
        <f t="shared" si="15"/>
        <v>-1747201.6289020011</v>
      </c>
      <c r="J122" s="67"/>
      <c r="K122" s="67"/>
      <c r="L122" s="67"/>
      <c r="M122" s="67"/>
      <c r="N122" s="67"/>
      <c r="O122" s="67"/>
    </row>
    <row r="123" spans="1:15" hidden="1" outlineLevel="1" x14ac:dyDescent="0.25">
      <c r="A123" s="71">
        <f t="shared" si="7"/>
        <v>116</v>
      </c>
      <c r="B123" s="66">
        <f>+B122+28</f>
        <v>42057</v>
      </c>
      <c r="D123" s="67">
        <v>219881.29156680004</v>
      </c>
      <c r="F123" s="77">
        <v>3.2500000000000001E-2</v>
      </c>
      <c r="G123" s="76">
        <f t="shared" si="16"/>
        <v>-4434.25</v>
      </c>
      <c r="H123" s="67">
        <f t="shared" si="14"/>
        <v>215447.04156680004</v>
      </c>
      <c r="I123" s="75">
        <f t="shared" si="15"/>
        <v>-1531754.587335201</v>
      </c>
      <c r="J123" s="67"/>
      <c r="K123" s="67"/>
      <c r="L123" s="67"/>
      <c r="M123" s="67"/>
      <c r="N123" s="67"/>
      <c r="O123" s="67"/>
    </row>
    <row r="124" spans="1:15" hidden="1" outlineLevel="1" x14ac:dyDescent="0.25">
      <c r="A124" s="71">
        <f t="shared" si="7"/>
        <v>117</v>
      </c>
      <c r="B124" s="66">
        <f>+B123+31</f>
        <v>42088</v>
      </c>
      <c r="D124" s="67">
        <v>174927.660072</v>
      </c>
      <c r="F124" s="77">
        <v>3.2500000000000001E-2</v>
      </c>
      <c r="G124" s="76">
        <f t="shared" si="16"/>
        <v>-3911.62</v>
      </c>
      <c r="H124" s="67">
        <f t="shared" si="14"/>
        <v>171016.040072</v>
      </c>
      <c r="I124" s="75">
        <f t="shared" si="15"/>
        <v>-1360738.5472632009</v>
      </c>
      <c r="J124" s="67"/>
      <c r="K124" s="67"/>
      <c r="L124" s="67"/>
      <c r="M124" s="67"/>
      <c r="N124" s="67"/>
      <c r="O124" s="67"/>
    </row>
    <row r="125" spans="1:15" hidden="1" outlineLevel="1" x14ac:dyDescent="0.25">
      <c r="A125" s="71">
        <f t="shared" si="7"/>
        <v>118</v>
      </c>
      <c r="B125" s="66">
        <f>+B124+30</f>
        <v>42118</v>
      </c>
      <c r="D125" s="67">
        <v>142929.00378279999</v>
      </c>
      <c r="F125" s="77">
        <v>3.2500000000000001E-2</v>
      </c>
      <c r="G125" s="76">
        <f t="shared" si="16"/>
        <v>-3491.78</v>
      </c>
      <c r="H125" s="67">
        <f t="shared" si="14"/>
        <v>139437.22378279999</v>
      </c>
      <c r="I125" s="75">
        <f t="shared" si="15"/>
        <v>-1221301.323480401</v>
      </c>
      <c r="J125" s="67"/>
      <c r="K125" s="67"/>
      <c r="L125" s="67"/>
      <c r="M125" s="67"/>
      <c r="N125" s="67"/>
      <c r="O125" s="67"/>
    </row>
    <row r="126" spans="1:15" hidden="1" outlineLevel="1" x14ac:dyDescent="0.25">
      <c r="A126" s="71">
        <f t="shared" si="7"/>
        <v>119</v>
      </c>
      <c r="B126" s="66">
        <f>+B125+31</f>
        <v>42149</v>
      </c>
      <c r="D126" s="67">
        <v>106927.32056559999</v>
      </c>
      <c r="F126" s="77">
        <v>3.2500000000000001E-2</v>
      </c>
      <c r="G126" s="76">
        <f t="shared" si="16"/>
        <v>-3162.89</v>
      </c>
      <c r="H126" s="67">
        <f t="shared" si="14"/>
        <v>103764.43056559999</v>
      </c>
      <c r="I126" s="75">
        <f t="shared" si="15"/>
        <v>-1117536.8929148009</v>
      </c>
      <c r="J126" s="67"/>
      <c r="K126" s="67"/>
      <c r="L126" s="67"/>
      <c r="M126" s="67"/>
      <c r="N126" s="67"/>
      <c r="O126" s="67"/>
    </row>
    <row r="127" spans="1:15" hidden="1" outlineLevel="1" x14ac:dyDescent="0.25">
      <c r="A127" s="71">
        <f t="shared" si="7"/>
        <v>120</v>
      </c>
      <c r="B127" s="66">
        <f>+B126+30</f>
        <v>42179</v>
      </c>
      <c r="D127" s="67">
        <v>73276.011610800007</v>
      </c>
      <c r="F127" s="77">
        <v>3.2500000000000001E-2</v>
      </c>
      <c r="G127" s="76">
        <f t="shared" si="16"/>
        <v>-2927.43</v>
      </c>
      <c r="H127" s="67">
        <f t="shared" si="14"/>
        <v>70348.581610800014</v>
      </c>
      <c r="I127" s="75">
        <f t="shared" si="15"/>
        <v>-1047188.3113040009</v>
      </c>
      <c r="J127" s="67"/>
      <c r="K127" s="67"/>
      <c r="L127" s="67"/>
      <c r="M127" s="67"/>
      <c r="N127" s="67"/>
      <c r="O127" s="67"/>
    </row>
    <row r="128" spans="1:15" hidden="1" outlineLevel="1" x14ac:dyDescent="0.25">
      <c r="A128" s="71">
        <f t="shared" si="7"/>
        <v>121</v>
      </c>
      <c r="B128" s="66">
        <f>+B127+31</f>
        <v>42210</v>
      </c>
      <c r="D128" s="67">
        <v>55029.960870800009</v>
      </c>
      <c r="F128" s="77">
        <v>3.2500000000000001E-2</v>
      </c>
      <c r="G128" s="76">
        <f t="shared" si="16"/>
        <v>-2761.62</v>
      </c>
      <c r="H128" s="67">
        <f t="shared" si="14"/>
        <v>52268.340870800006</v>
      </c>
      <c r="I128" s="75">
        <f t="shared" si="15"/>
        <v>-994919.97043320094</v>
      </c>
      <c r="J128" s="67"/>
      <c r="K128" s="67"/>
      <c r="L128" s="67"/>
      <c r="M128" s="67"/>
      <c r="N128" s="67"/>
      <c r="O128" s="67"/>
    </row>
    <row r="129" spans="1:15" hidden="1" outlineLevel="1" x14ac:dyDescent="0.25">
      <c r="A129" s="71">
        <f t="shared" si="7"/>
        <v>122</v>
      </c>
      <c r="B129" s="66">
        <f>+B128+31</f>
        <v>42241</v>
      </c>
      <c r="D129" s="67">
        <v>52097.98</v>
      </c>
      <c r="E129" s="67">
        <v>-0.06</v>
      </c>
      <c r="F129" s="77">
        <v>3.2500000000000001E-2</v>
      </c>
      <c r="G129" s="76">
        <f t="shared" si="16"/>
        <v>-2624.03</v>
      </c>
      <c r="H129" s="67">
        <f t="shared" si="14"/>
        <v>49473.890000000007</v>
      </c>
      <c r="I129" s="75">
        <f t="shared" si="15"/>
        <v>-945446.08043320093</v>
      </c>
      <c r="J129" s="67"/>
      <c r="K129" s="67"/>
      <c r="L129" s="67"/>
      <c r="M129" s="67"/>
      <c r="N129" s="67"/>
      <c r="O129" s="67"/>
    </row>
    <row r="130" spans="1:15" hidden="1" outlineLevel="1" x14ac:dyDescent="0.25">
      <c r="A130" s="71">
        <f t="shared" si="7"/>
        <v>123</v>
      </c>
      <c r="B130" s="66">
        <f>+B129+30</f>
        <v>42271</v>
      </c>
      <c r="C130" s="89"/>
      <c r="D130" s="67">
        <v>60049.7</v>
      </c>
      <c r="F130" s="77">
        <v>3.2500000000000001E-2</v>
      </c>
      <c r="G130" s="101">
        <f t="shared" si="16"/>
        <v>-2479.27</v>
      </c>
      <c r="H130" s="67">
        <f t="shared" si="14"/>
        <v>57570.43</v>
      </c>
      <c r="I130" s="109">
        <f t="shared" si="15"/>
        <v>-887875.65043320088</v>
      </c>
      <c r="J130" s="67"/>
      <c r="K130" s="67"/>
      <c r="L130" s="67"/>
      <c r="M130" s="67"/>
      <c r="N130" s="67"/>
      <c r="O130" s="67"/>
    </row>
    <row r="131" spans="1:15" hidden="1" outlineLevel="1" x14ac:dyDescent="0.25">
      <c r="A131" s="71">
        <f t="shared" si="7"/>
        <v>124</v>
      </c>
      <c r="B131" s="66">
        <f>+B130+31</f>
        <v>42302</v>
      </c>
      <c r="C131" s="89"/>
      <c r="D131" s="67">
        <v>71429.55</v>
      </c>
      <c r="F131" s="77">
        <v>3.2500000000000001E-2</v>
      </c>
      <c r="G131" s="101">
        <f t="shared" si="16"/>
        <v>-2307.94</v>
      </c>
      <c r="H131" s="67">
        <f t="shared" si="14"/>
        <v>69121.61</v>
      </c>
      <c r="I131" s="109">
        <f t="shared" si="15"/>
        <v>-818754.04043320089</v>
      </c>
      <c r="J131" s="67"/>
      <c r="K131" s="67"/>
      <c r="L131" s="67"/>
      <c r="M131" s="67"/>
      <c r="N131" s="67"/>
      <c r="O131" s="67"/>
    </row>
    <row r="132" spans="1:15" hidden="1" outlineLevel="1" x14ac:dyDescent="0.25">
      <c r="A132" s="71">
        <f t="shared" si="7"/>
        <v>125</v>
      </c>
      <c r="B132" s="66">
        <f>+B131+30</f>
        <v>42332</v>
      </c>
      <c r="C132" s="66" t="s">
        <v>351</v>
      </c>
      <c r="D132" s="67">
        <v>62539.66</v>
      </c>
      <c r="F132" s="77">
        <v>3.2500000000000001E-2</v>
      </c>
      <c r="G132" s="76">
        <f t="shared" si="16"/>
        <v>-2132.77</v>
      </c>
      <c r="H132" s="67">
        <f t="shared" si="14"/>
        <v>60406.890000000007</v>
      </c>
      <c r="I132" s="75">
        <f>+I131+H132+0.02</f>
        <v>-758347.13043320086</v>
      </c>
      <c r="J132" s="67"/>
      <c r="K132" s="67"/>
      <c r="L132" s="67"/>
      <c r="M132" s="67"/>
      <c r="N132" s="67"/>
      <c r="O132" s="67"/>
    </row>
    <row r="133" spans="1:15" hidden="1" outlineLevel="1" x14ac:dyDescent="0.25">
      <c r="A133" s="71">
        <f t="shared" si="7"/>
        <v>126</v>
      </c>
      <c r="B133" s="66">
        <f>+B132</f>
        <v>42332</v>
      </c>
      <c r="C133" s="66" t="s">
        <v>350</v>
      </c>
      <c r="D133" s="67">
        <v>912.95</v>
      </c>
      <c r="E133" s="67">
        <v>1505925.8</v>
      </c>
      <c r="F133" s="77">
        <v>3.2500000000000001E-2</v>
      </c>
      <c r="G133" s="76">
        <f>ROUND((E133+(D133/2))*F133/12,2)</f>
        <v>4079.79</v>
      </c>
      <c r="H133" s="67">
        <f t="shared" si="14"/>
        <v>1510918.54</v>
      </c>
      <c r="I133" s="75">
        <f t="shared" ref="I133:I142" si="17">+I132+H133</f>
        <v>752571.40956679918</v>
      </c>
      <c r="J133" s="67"/>
      <c r="K133" s="67"/>
      <c r="L133" s="67"/>
      <c r="M133" s="67"/>
      <c r="N133" s="67"/>
      <c r="O133" s="67"/>
    </row>
    <row r="134" spans="1:15" hidden="1" outlineLevel="1" x14ac:dyDescent="0.25">
      <c r="A134" s="71">
        <f t="shared" si="7"/>
        <v>127</v>
      </c>
      <c r="B134" s="66">
        <f>B132+31</f>
        <v>42363</v>
      </c>
      <c r="C134" s="89"/>
      <c r="D134" s="67">
        <v>4293.7700000000004</v>
      </c>
      <c r="F134" s="77">
        <v>3.2500000000000001E-2</v>
      </c>
      <c r="G134" s="76">
        <f>ROUND((+I133+E134+(D134/2))*F134/12,2)</f>
        <v>2044.03</v>
      </c>
      <c r="H134" s="67">
        <f t="shared" si="14"/>
        <v>6337.8</v>
      </c>
      <c r="I134" s="75">
        <f t="shared" si="17"/>
        <v>758909.20956679923</v>
      </c>
      <c r="J134" s="67"/>
      <c r="K134" s="67"/>
      <c r="L134" s="67"/>
      <c r="M134" s="67"/>
      <c r="N134" s="67"/>
      <c r="O134" s="67"/>
    </row>
    <row r="135" spans="1:15" hidden="1" outlineLevel="1" x14ac:dyDescent="0.25">
      <c r="A135" s="71">
        <f t="shared" si="7"/>
        <v>128</v>
      </c>
      <c r="B135" s="66">
        <f>B134+30</f>
        <v>42393</v>
      </c>
      <c r="C135" s="87">
        <v>2</v>
      </c>
      <c r="D135" s="67">
        <v>5152.8900000000003</v>
      </c>
      <c r="E135" s="67">
        <v>-1218806.32</v>
      </c>
      <c r="F135" s="77">
        <v>3.2500000000000001E-2</v>
      </c>
      <c r="G135" s="76">
        <f>ROUND((+I134+(D135/2))*F135/12,2)</f>
        <v>2062.36</v>
      </c>
      <c r="H135" s="67">
        <f t="shared" si="14"/>
        <v>-1211591.07</v>
      </c>
      <c r="I135" s="75">
        <f t="shared" si="17"/>
        <v>-452681.86043320084</v>
      </c>
      <c r="J135" s="67"/>
      <c r="K135" s="67"/>
      <c r="L135" s="67"/>
      <c r="M135" s="67"/>
      <c r="N135" s="67"/>
      <c r="O135" s="67"/>
    </row>
    <row r="136" spans="1:15" hidden="1" outlineLevel="1" x14ac:dyDescent="0.25">
      <c r="A136" s="71">
        <f t="shared" si="7"/>
        <v>129</v>
      </c>
      <c r="B136" s="66">
        <f>B135+29</f>
        <v>42422</v>
      </c>
      <c r="C136" s="89"/>
      <c r="D136" s="67">
        <v>136.73000000000002</v>
      </c>
      <c r="E136" s="67">
        <v>-4.46</v>
      </c>
      <c r="F136" s="77">
        <v>3.2500000000000001E-2</v>
      </c>
      <c r="G136" s="101">
        <f t="shared" ref="G136:G145" si="18">ROUND((+I135+E136+(D136/2))*F136/12,2)</f>
        <v>-1225.8399999999999</v>
      </c>
      <c r="H136" s="67">
        <f t="shared" si="14"/>
        <v>-1093.57</v>
      </c>
      <c r="I136" s="75">
        <f t="shared" si="17"/>
        <v>-453775.43043320085</v>
      </c>
      <c r="J136" s="67"/>
      <c r="K136" s="67"/>
      <c r="L136" s="67"/>
      <c r="M136" s="67"/>
      <c r="N136" s="67"/>
      <c r="O136" s="67"/>
    </row>
    <row r="137" spans="1:15" hidden="1" outlineLevel="1" x14ac:dyDescent="0.25">
      <c r="A137" s="71">
        <f t="shared" ref="A137:A200" si="19">+A136+1</f>
        <v>130</v>
      </c>
      <c r="B137" s="66">
        <f>B136+31</f>
        <v>42453</v>
      </c>
      <c r="C137" s="89"/>
      <c r="D137" s="67">
        <v>2933.12</v>
      </c>
      <c r="F137" s="77">
        <v>3.2500000000000001E-2</v>
      </c>
      <c r="G137" s="101">
        <f t="shared" si="18"/>
        <v>-1225</v>
      </c>
      <c r="H137" s="67">
        <f t="shared" si="14"/>
        <v>1708.12</v>
      </c>
      <c r="I137" s="75">
        <f t="shared" si="17"/>
        <v>-452067.31043320085</v>
      </c>
      <c r="J137" s="67"/>
      <c r="K137" s="67"/>
      <c r="L137" s="67"/>
      <c r="M137" s="67"/>
      <c r="N137" s="67"/>
      <c r="O137" s="67"/>
    </row>
    <row r="138" spans="1:15" hidden="1" outlineLevel="1" x14ac:dyDescent="0.25">
      <c r="A138" s="71">
        <f t="shared" si="19"/>
        <v>131</v>
      </c>
      <c r="B138" s="66">
        <f>B137+30</f>
        <v>42483</v>
      </c>
      <c r="C138" s="89"/>
      <c r="D138" s="67">
        <v>2167.46</v>
      </c>
      <c r="F138" s="77">
        <v>3.4599999999999999E-2</v>
      </c>
      <c r="G138" s="101">
        <f t="shared" si="18"/>
        <v>-1300.3399999999999</v>
      </c>
      <c r="H138" s="67">
        <f t="shared" si="14"/>
        <v>867.12000000000012</v>
      </c>
      <c r="I138" s="75">
        <f t="shared" si="17"/>
        <v>-451200.19043320086</v>
      </c>
      <c r="J138" s="67"/>
      <c r="K138" s="67"/>
      <c r="L138" s="67"/>
      <c r="M138" s="67"/>
      <c r="N138" s="67"/>
      <c r="O138" s="67"/>
    </row>
    <row r="139" spans="1:15" hidden="1" outlineLevel="1" x14ac:dyDescent="0.25">
      <c r="A139" s="71">
        <f t="shared" si="19"/>
        <v>132</v>
      </c>
      <c r="B139" s="66">
        <f>B138+31</f>
        <v>42514</v>
      </c>
      <c r="C139" s="89"/>
      <c r="D139" s="67">
        <v>1345.37</v>
      </c>
      <c r="F139" s="77">
        <v>3.4599999999999999E-2</v>
      </c>
      <c r="G139" s="101">
        <f t="shared" si="18"/>
        <v>-1299.02</v>
      </c>
      <c r="H139" s="67">
        <f t="shared" si="14"/>
        <v>46.349999999999909</v>
      </c>
      <c r="I139" s="75">
        <f t="shared" si="17"/>
        <v>-451153.84043320088</v>
      </c>
      <c r="J139" s="67"/>
      <c r="K139" s="67"/>
      <c r="L139" s="67"/>
      <c r="M139" s="67"/>
      <c r="N139" s="67"/>
      <c r="O139" s="67"/>
    </row>
    <row r="140" spans="1:15" hidden="1" outlineLevel="1" x14ac:dyDescent="0.25">
      <c r="A140" s="71">
        <f t="shared" si="19"/>
        <v>133</v>
      </c>
      <c r="B140" s="66">
        <f>B139+30</f>
        <v>42544</v>
      </c>
      <c r="C140" s="89"/>
      <c r="D140" s="67">
        <v>1169.57</v>
      </c>
      <c r="F140" s="77">
        <v>3.4599999999999999E-2</v>
      </c>
      <c r="G140" s="101">
        <f t="shared" si="18"/>
        <v>-1299.1400000000001</v>
      </c>
      <c r="H140" s="67">
        <f t="shared" si="14"/>
        <v>-129.57000000000016</v>
      </c>
      <c r="I140" s="75">
        <f t="shared" si="17"/>
        <v>-451283.41043320089</v>
      </c>
      <c r="J140" s="67"/>
      <c r="K140" s="67"/>
      <c r="L140" s="67"/>
      <c r="M140" s="67"/>
      <c r="N140" s="67"/>
      <c r="O140" s="67"/>
    </row>
    <row r="141" spans="1:15" hidden="1" outlineLevel="1" x14ac:dyDescent="0.25">
      <c r="A141" s="71">
        <f t="shared" si="19"/>
        <v>134</v>
      </c>
      <c r="B141" s="66">
        <f>B140+31</f>
        <v>42575</v>
      </c>
      <c r="C141" s="89"/>
      <c r="D141" s="67">
        <v>928.28</v>
      </c>
      <c r="F141" s="77">
        <v>3.5000000000000003E-2</v>
      </c>
      <c r="G141" s="101">
        <f t="shared" si="18"/>
        <v>-1314.89</v>
      </c>
      <c r="H141" s="67">
        <f t="shared" si="14"/>
        <v>-386.61000000000013</v>
      </c>
      <c r="I141" s="75">
        <f t="shared" si="17"/>
        <v>-451670.02043320087</v>
      </c>
      <c r="J141" s="67"/>
      <c r="K141" s="67"/>
      <c r="L141" s="67"/>
      <c r="M141" s="67"/>
      <c r="N141" s="67"/>
      <c r="O141" s="67"/>
    </row>
    <row r="142" spans="1:15" hidden="1" outlineLevel="1" x14ac:dyDescent="0.25">
      <c r="A142" s="71">
        <f t="shared" si="19"/>
        <v>135</v>
      </c>
      <c r="B142" s="66">
        <f>B141+31</f>
        <v>42606</v>
      </c>
      <c r="C142" s="89"/>
      <c r="D142" s="67">
        <v>823.14</v>
      </c>
      <c r="F142" s="77">
        <v>3.5000000000000003E-2</v>
      </c>
      <c r="G142" s="101">
        <f t="shared" si="18"/>
        <v>-1316.17</v>
      </c>
      <c r="H142" s="67">
        <f t="shared" si="14"/>
        <v>-493.03000000000009</v>
      </c>
      <c r="I142" s="75">
        <f t="shared" si="17"/>
        <v>-452163.0504332009</v>
      </c>
      <c r="J142" s="67"/>
      <c r="K142" s="67"/>
      <c r="L142" s="67"/>
      <c r="M142" s="67"/>
      <c r="N142" s="67"/>
      <c r="O142" s="67"/>
    </row>
    <row r="143" spans="1:15" hidden="1" outlineLevel="1" x14ac:dyDescent="0.25">
      <c r="A143" s="71">
        <f t="shared" si="19"/>
        <v>136</v>
      </c>
      <c r="B143" s="66">
        <f>B142+30</f>
        <v>42636</v>
      </c>
      <c r="C143" s="89"/>
      <c r="D143" s="67">
        <v>896.20672720000005</v>
      </c>
      <c r="E143" s="102"/>
      <c r="F143" s="104">
        <v>3.5000000000000003E-2</v>
      </c>
      <c r="G143" s="102">
        <f t="shared" si="18"/>
        <v>-1317.5</v>
      </c>
      <c r="H143" s="102">
        <f t="shared" ref="H143:H174" si="20">D143+E143+G143</f>
        <v>-421.29327279999995</v>
      </c>
      <c r="I143" s="102">
        <f t="shared" ref="I143:I174" si="21">I142+H143</f>
        <v>-452584.34370600089</v>
      </c>
      <c r="J143" s="67"/>
      <c r="K143" s="67"/>
      <c r="L143" s="67"/>
      <c r="M143" s="67"/>
      <c r="N143" s="67"/>
      <c r="O143" s="67"/>
    </row>
    <row r="144" spans="1:15" hidden="1" outlineLevel="1" x14ac:dyDescent="0.25">
      <c r="A144" s="71">
        <f t="shared" si="19"/>
        <v>137</v>
      </c>
      <c r="B144" s="66">
        <f>B143+31</f>
        <v>42667</v>
      </c>
      <c r="C144" s="89"/>
      <c r="D144" s="67">
        <v>1284.1643996</v>
      </c>
      <c r="E144" s="102"/>
      <c r="F144" s="104">
        <v>3.5000000000000003E-2</v>
      </c>
      <c r="G144" s="102">
        <f t="shared" si="18"/>
        <v>-1318.16</v>
      </c>
      <c r="H144" s="102">
        <f t="shared" si="20"/>
        <v>-33.995600400000058</v>
      </c>
      <c r="I144" s="102">
        <f t="shared" si="21"/>
        <v>-452618.33930640091</v>
      </c>
      <c r="J144" s="67"/>
      <c r="K144" s="67"/>
      <c r="L144" s="67"/>
      <c r="M144" s="67"/>
      <c r="N144" s="67"/>
      <c r="O144" s="67"/>
    </row>
    <row r="145" spans="1:15" hidden="1" outlineLevel="1" x14ac:dyDescent="0.25">
      <c r="A145" s="71">
        <f t="shared" si="19"/>
        <v>138</v>
      </c>
      <c r="B145" s="82">
        <f>B144+30</f>
        <v>42697</v>
      </c>
      <c r="C145" s="108" t="s">
        <v>351</v>
      </c>
      <c r="D145" s="67">
        <v>1094.1699999999998</v>
      </c>
      <c r="E145" s="102"/>
      <c r="F145" s="104">
        <v>3.5000000000000003E-2</v>
      </c>
      <c r="G145" s="102">
        <f t="shared" si="18"/>
        <v>-1318.54</v>
      </c>
      <c r="H145" s="102">
        <f t="shared" si="20"/>
        <v>-224.37000000000012</v>
      </c>
      <c r="I145" s="102">
        <f t="shared" si="21"/>
        <v>-452842.70930640091</v>
      </c>
      <c r="J145" s="67"/>
      <c r="K145" s="67"/>
      <c r="L145" s="67"/>
      <c r="M145" s="67"/>
      <c r="N145" s="67"/>
      <c r="O145" s="67"/>
    </row>
    <row r="146" spans="1:15" hidden="1" outlineLevel="1" x14ac:dyDescent="0.25">
      <c r="A146" s="71">
        <f t="shared" si="19"/>
        <v>139</v>
      </c>
      <c r="B146" s="82">
        <f>B145</f>
        <v>42697</v>
      </c>
      <c r="C146" s="66" t="s">
        <v>350</v>
      </c>
      <c r="D146" s="67">
        <v>25673.450000000004</v>
      </c>
      <c r="E146" s="102">
        <v>508349.64</v>
      </c>
      <c r="F146" s="104">
        <v>3.5000000000000003E-2</v>
      </c>
      <c r="G146" s="102">
        <f>ROUND((+E146+(D146/2))*F146/12,2)</f>
        <v>1520.13</v>
      </c>
      <c r="H146" s="102">
        <f t="shared" si="20"/>
        <v>535543.22</v>
      </c>
      <c r="I146" s="102">
        <f t="shared" si="21"/>
        <v>82700.510693599063</v>
      </c>
      <c r="J146" s="67"/>
      <c r="K146" s="67"/>
      <c r="L146" s="67"/>
      <c r="M146" s="67"/>
      <c r="N146" s="67"/>
      <c r="O146" s="67"/>
    </row>
    <row r="147" spans="1:15" hidden="1" outlineLevel="1" x14ac:dyDescent="0.25">
      <c r="A147" s="71">
        <f t="shared" si="19"/>
        <v>140</v>
      </c>
      <c r="B147" s="82">
        <f>B145+31</f>
        <v>42728</v>
      </c>
      <c r="C147" s="108"/>
      <c r="D147" s="67">
        <v>127351.21999999997</v>
      </c>
      <c r="E147" s="102"/>
      <c r="F147" s="104">
        <v>3.5000000000000003E-2</v>
      </c>
      <c r="G147" s="102">
        <f t="shared" ref="G147:G158" si="22">ROUND((+I146+E147+(D147/2))*F147/12,2)</f>
        <v>426.93</v>
      </c>
      <c r="H147" s="102">
        <f t="shared" si="20"/>
        <v>127778.14999999997</v>
      </c>
      <c r="I147" s="102">
        <f t="shared" si="21"/>
        <v>210478.66069359903</v>
      </c>
      <c r="J147" s="67"/>
      <c r="K147" s="67"/>
      <c r="L147" s="67"/>
      <c r="M147" s="67"/>
      <c r="N147" s="67"/>
      <c r="O147" s="67"/>
    </row>
    <row r="148" spans="1:15" hidden="1" outlineLevel="1" x14ac:dyDescent="0.25">
      <c r="A148" s="71">
        <f t="shared" si="19"/>
        <v>141</v>
      </c>
      <c r="B148" s="82">
        <f t="shared" ref="B148:B158" si="23">B147+31</f>
        <v>42759</v>
      </c>
      <c r="C148" s="87">
        <v>2</v>
      </c>
      <c r="D148" s="67">
        <v>218988.16999999995</v>
      </c>
      <c r="E148" s="102">
        <v>-1448926.12</v>
      </c>
      <c r="F148" s="104">
        <v>3.5000000000000003E-2</v>
      </c>
      <c r="G148" s="102">
        <f t="shared" si="22"/>
        <v>-3292.78</v>
      </c>
      <c r="H148" s="102">
        <f t="shared" si="20"/>
        <v>-1233230.7300000002</v>
      </c>
      <c r="I148" s="102">
        <f t="shared" si="21"/>
        <v>-1022752.0693064012</v>
      </c>
      <c r="J148" s="67"/>
      <c r="K148" s="67"/>
      <c r="L148" s="67"/>
      <c r="M148" s="67"/>
      <c r="N148" s="67"/>
      <c r="O148" s="67"/>
    </row>
    <row r="149" spans="1:15" hidden="1" outlineLevel="1" x14ac:dyDescent="0.25">
      <c r="A149" s="71">
        <f t="shared" si="19"/>
        <v>142</v>
      </c>
      <c r="B149" s="82">
        <f t="shared" si="23"/>
        <v>42790</v>
      </c>
      <c r="C149" s="108"/>
      <c r="D149" s="67">
        <v>164790.45000000001</v>
      </c>
      <c r="E149" s="102"/>
      <c r="F149" s="104">
        <v>3.5000000000000003E-2</v>
      </c>
      <c r="G149" s="102">
        <f t="shared" si="22"/>
        <v>-2742.71</v>
      </c>
      <c r="H149" s="102">
        <f t="shared" si="20"/>
        <v>162047.74000000002</v>
      </c>
      <c r="I149" s="102">
        <f t="shared" si="21"/>
        <v>-860704.3293064012</v>
      </c>
      <c r="J149" s="67"/>
      <c r="K149" s="67"/>
      <c r="L149" s="67"/>
      <c r="M149" s="67"/>
      <c r="N149" s="67"/>
      <c r="O149" s="67"/>
    </row>
    <row r="150" spans="1:15" hidden="1" outlineLevel="1" x14ac:dyDescent="0.25">
      <c r="A150" s="71">
        <f t="shared" si="19"/>
        <v>143</v>
      </c>
      <c r="B150" s="82">
        <f t="shared" si="23"/>
        <v>42821</v>
      </c>
      <c r="C150" s="108"/>
      <c r="D150" s="67">
        <v>128463.11</v>
      </c>
      <c r="E150" s="102"/>
      <c r="F150" s="104">
        <v>3.5000000000000003E-2</v>
      </c>
      <c r="G150" s="102">
        <f t="shared" si="22"/>
        <v>-2323.0500000000002</v>
      </c>
      <c r="H150" s="102">
        <f t="shared" si="20"/>
        <v>126140.06</v>
      </c>
      <c r="I150" s="102">
        <f t="shared" si="21"/>
        <v>-734564.26930640126</v>
      </c>
      <c r="J150" s="67"/>
      <c r="K150" s="67"/>
      <c r="L150" s="67"/>
      <c r="M150" s="67"/>
      <c r="N150" s="67"/>
      <c r="O150" s="67"/>
    </row>
    <row r="151" spans="1:15" hidden="1" outlineLevel="1" x14ac:dyDescent="0.25">
      <c r="A151" s="71">
        <f t="shared" si="19"/>
        <v>144</v>
      </c>
      <c r="B151" s="82">
        <f t="shared" si="23"/>
        <v>42852</v>
      </c>
      <c r="C151" s="108"/>
      <c r="D151" s="67">
        <v>92234.73</v>
      </c>
      <c r="E151" s="102"/>
      <c r="F151" s="104">
        <v>3.7100000000000001E-2</v>
      </c>
      <c r="G151" s="102">
        <f t="shared" si="22"/>
        <v>-2128.4499999999998</v>
      </c>
      <c r="H151" s="102">
        <f t="shared" si="20"/>
        <v>90106.28</v>
      </c>
      <c r="I151" s="102">
        <f t="shared" si="21"/>
        <v>-644457.98930640123</v>
      </c>
      <c r="J151" s="67"/>
      <c r="K151" s="67"/>
      <c r="L151" s="67"/>
      <c r="M151" s="67"/>
      <c r="N151" s="67"/>
      <c r="O151" s="67"/>
    </row>
    <row r="152" spans="1:15" hidden="1" outlineLevel="1" x14ac:dyDescent="0.25">
      <c r="A152" s="71">
        <f t="shared" si="19"/>
        <v>145</v>
      </c>
      <c r="B152" s="82">
        <f t="shared" si="23"/>
        <v>42883</v>
      </c>
      <c r="C152" s="108"/>
      <c r="D152" s="67">
        <v>66290.36</v>
      </c>
      <c r="E152" s="102"/>
      <c r="F152" s="104">
        <v>3.7100000000000001E-2</v>
      </c>
      <c r="G152" s="102">
        <f t="shared" si="22"/>
        <v>-1889.98</v>
      </c>
      <c r="H152" s="102">
        <f t="shared" si="20"/>
        <v>64400.38</v>
      </c>
      <c r="I152" s="102">
        <f t="shared" si="21"/>
        <v>-580057.60930640122</v>
      </c>
      <c r="J152" s="67"/>
      <c r="K152" s="67"/>
      <c r="L152" s="67"/>
      <c r="M152" s="67"/>
      <c r="N152" s="67"/>
      <c r="O152" s="67"/>
    </row>
    <row r="153" spans="1:15" hidden="1" outlineLevel="1" x14ac:dyDescent="0.25">
      <c r="A153" s="71">
        <f t="shared" si="19"/>
        <v>146</v>
      </c>
      <c r="B153" s="82">
        <f t="shared" si="23"/>
        <v>42914</v>
      </c>
      <c r="C153" s="108"/>
      <c r="D153" s="67">
        <v>40968.460000000006</v>
      </c>
      <c r="E153" s="102"/>
      <c r="F153" s="104">
        <v>3.7100000000000001E-2</v>
      </c>
      <c r="G153" s="102">
        <f t="shared" si="22"/>
        <v>-1730.01</v>
      </c>
      <c r="H153" s="102">
        <f t="shared" si="20"/>
        <v>39238.450000000004</v>
      </c>
      <c r="I153" s="102">
        <f t="shared" si="21"/>
        <v>-540819.15930640127</v>
      </c>
      <c r="J153" s="67"/>
      <c r="K153" s="67"/>
      <c r="L153" s="67"/>
      <c r="M153" s="67"/>
      <c r="N153" s="67"/>
      <c r="O153" s="67"/>
    </row>
    <row r="154" spans="1:15" hidden="1" outlineLevel="1" x14ac:dyDescent="0.25">
      <c r="A154" s="71">
        <f t="shared" si="19"/>
        <v>147</v>
      </c>
      <c r="B154" s="82">
        <f t="shared" si="23"/>
        <v>42945</v>
      </c>
      <c r="C154" s="108"/>
      <c r="D154" s="67">
        <v>30703.47</v>
      </c>
      <c r="E154" s="102"/>
      <c r="F154" s="104">
        <v>3.9600000000000003E-2</v>
      </c>
      <c r="G154" s="102">
        <f t="shared" si="22"/>
        <v>-1734.04</v>
      </c>
      <c r="H154" s="102">
        <f t="shared" si="20"/>
        <v>28969.43</v>
      </c>
      <c r="I154" s="102">
        <f t="shared" si="21"/>
        <v>-511849.72930640128</v>
      </c>
      <c r="J154" s="67"/>
      <c r="K154" s="67"/>
      <c r="L154" s="67"/>
      <c r="M154" s="67"/>
      <c r="N154" s="67"/>
      <c r="O154" s="67"/>
    </row>
    <row r="155" spans="1:15" hidden="1" outlineLevel="1" x14ac:dyDescent="0.25">
      <c r="A155" s="71">
        <f t="shared" si="19"/>
        <v>148</v>
      </c>
      <c r="B155" s="82">
        <f t="shared" si="23"/>
        <v>42976</v>
      </c>
      <c r="C155" s="108"/>
      <c r="D155" s="67">
        <v>25793.690000000002</v>
      </c>
      <c r="E155" s="102"/>
      <c r="F155" s="104">
        <v>3.9600000000000003E-2</v>
      </c>
      <c r="G155" s="102">
        <f t="shared" si="22"/>
        <v>-1646.54</v>
      </c>
      <c r="H155" s="102">
        <f t="shared" si="20"/>
        <v>24147.15</v>
      </c>
      <c r="I155" s="102">
        <f t="shared" si="21"/>
        <v>-487702.57930640125</v>
      </c>
      <c r="J155" s="67"/>
      <c r="K155" s="67"/>
      <c r="L155" s="67"/>
      <c r="M155" s="67"/>
      <c r="N155" s="67"/>
      <c r="O155" s="67"/>
    </row>
    <row r="156" spans="1:15" hidden="1" outlineLevel="1" x14ac:dyDescent="0.25">
      <c r="A156" s="71">
        <f t="shared" si="19"/>
        <v>149</v>
      </c>
      <c r="B156" s="82">
        <f t="shared" si="23"/>
        <v>43007</v>
      </c>
      <c r="C156" s="108"/>
      <c r="D156" s="67">
        <v>27439.399999999998</v>
      </c>
      <c r="E156" s="102"/>
      <c r="F156" s="104">
        <v>3.9600000000000003E-2</v>
      </c>
      <c r="G156" s="102">
        <f t="shared" si="22"/>
        <v>-1564.14</v>
      </c>
      <c r="H156" s="102">
        <f t="shared" si="20"/>
        <v>25875.26</v>
      </c>
      <c r="I156" s="102">
        <f t="shared" si="21"/>
        <v>-461827.31930640124</v>
      </c>
      <c r="J156" s="67"/>
      <c r="K156" s="67"/>
      <c r="L156" s="67"/>
      <c r="M156" s="67"/>
      <c r="N156" s="67"/>
      <c r="O156" s="67"/>
    </row>
    <row r="157" spans="1:15" hidden="1" outlineLevel="1" x14ac:dyDescent="0.25">
      <c r="A157" s="71">
        <f t="shared" si="19"/>
        <v>150</v>
      </c>
      <c r="B157" s="82">
        <f t="shared" si="23"/>
        <v>43038</v>
      </c>
      <c r="C157" s="108"/>
      <c r="D157" s="67">
        <v>44472.5</v>
      </c>
      <c r="E157" s="102"/>
      <c r="F157" s="104">
        <v>4.2099999999999999E-2</v>
      </c>
      <c r="G157" s="102">
        <f t="shared" si="22"/>
        <v>-1542.23</v>
      </c>
      <c r="H157" s="102">
        <f t="shared" si="20"/>
        <v>42930.27</v>
      </c>
      <c r="I157" s="102">
        <f t="shared" si="21"/>
        <v>-418897.04930640123</v>
      </c>
      <c r="J157" s="67"/>
      <c r="K157" s="67"/>
      <c r="L157" s="67"/>
      <c r="M157" s="67"/>
      <c r="N157" s="67"/>
      <c r="O157" s="67"/>
    </row>
    <row r="158" spans="1:15" hidden="1" outlineLevel="1" x14ac:dyDescent="0.25">
      <c r="A158" s="71">
        <f t="shared" si="19"/>
        <v>151</v>
      </c>
      <c r="B158" s="82">
        <f t="shared" si="23"/>
        <v>43069</v>
      </c>
      <c r="C158" s="108" t="s">
        <v>351</v>
      </c>
      <c r="D158" s="67">
        <v>47523.23000000001</v>
      </c>
      <c r="E158" s="102"/>
      <c r="F158" s="104">
        <v>4.2099999999999999E-2</v>
      </c>
      <c r="G158" s="102">
        <f t="shared" si="22"/>
        <v>-1386.27</v>
      </c>
      <c r="H158" s="102">
        <f t="shared" si="20"/>
        <v>46136.960000000014</v>
      </c>
      <c r="I158" s="102">
        <f t="shared" si="21"/>
        <v>-372760.08930640121</v>
      </c>
      <c r="J158" s="67"/>
      <c r="K158" s="67"/>
      <c r="L158" s="67"/>
      <c r="M158" s="67"/>
      <c r="N158" s="67"/>
      <c r="O158" s="67"/>
    </row>
    <row r="159" spans="1:15" hidden="1" outlineLevel="1" x14ac:dyDescent="0.25">
      <c r="A159" s="71">
        <f t="shared" si="19"/>
        <v>152</v>
      </c>
      <c r="B159" s="82">
        <v>43069</v>
      </c>
      <c r="C159" s="66" t="s">
        <v>350</v>
      </c>
      <c r="D159" s="67">
        <v>89879.390000000029</v>
      </c>
      <c r="E159" s="102">
        <v>-1064137.94</v>
      </c>
      <c r="F159" s="104">
        <v>4.2099999999999999E-2</v>
      </c>
      <c r="G159" s="102">
        <f>ROUND((+E159+(D159/2))*F159/12,2)</f>
        <v>-3575.69</v>
      </c>
      <c r="H159" s="102">
        <f t="shared" si="20"/>
        <v>-977834.23999999987</v>
      </c>
      <c r="I159" s="102">
        <f t="shared" si="21"/>
        <v>-1350594.3293064011</v>
      </c>
      <c r="J159" s="67"/>
      <c r="K159" s="67"/>
      <c r="L159" s="67"/>
      <c r="M159" s="67"/>
      <c r="N159" s="67"/>
      <c r="O159" s="67"/>
    </row>
    <row r="160" spans="1:15" hidden="1" outlineLevel="1" x14ac:dyDescent="0.25">
      <c r="A160" s="71">
        <f t="shared" si="19"/>
        <v>153</v>
      </c>
      <c r="B160" s="82">
        <f>B158+31</f>
        <v>43100</v>
      </c>
      <c r="C160" s="108"/>
      <c r="D160" s="67">
        <v>355819.97000000009</v>
      </c>
      <c r="E160" s="102"/>
      <c r="F160" s="104">
        <v>4.2099999999999999E-2</v>
      </c>
      <c r="G160" s="102">
        <f t="shared" ref="G160:G171" si="24">ROUND((+I159+E160+(D160/2))*F160/12,2)</f>
        <v>-4114.17</v>
      </c>
      <c r="H160" s="102">
        <f t="shared" si="20"/>
        <v>351705.8000000001</v>
      </c>
      <c r="I160" s="102">
        <f t="shared" si="21"/>
        <v>-998888.52930640103</v>
      </c>
      <c r="J160" s="67"/>
      <c r="K160" s="67"/>
      <c r="L160" s="67"/>
      <c r="M160" s="67"/>
      <c r="N160" s="67"/>
      <c r="O160" s="67"/>
    </row>
    <row r="161" spans="1:15" hidden="1" outlineLevel="1" x14ac:dyDescent="0.25">
      <c r="A161" s="71">
        <f t="shared" si="19"/>
        <v>154</v>
      </c>
      <c r="B161" s="82">
        <v>43101</v>
      </c>
      <c r="C161" s="87">
        <v>2</v>
      </c>
      <c r="D161" s="67">
        <v>462131.81</v>
      </c>
      <c r="E161" s="102">
        <v>-1461710.98</v>
      </c>
      <c r="F161" s="104">
        <v>4.2500000000000003E-2</v>
      </c>
      <c r="G161" s="102">
        <f t="shared" si="24"/>
        <v>-7896.26</v>
      </c>
      <c r="H161" s="102">
        <f t="shared" si="20"/>
        <v>-1007475.4299999999</v>
      </c>
      <c r="I161" s="102">
        <f t="shared" si="21"/>
        <v>-2006363.959306401</v>
      </c>
      <c r="J161" s="67"/>
      <c r="K161" s="67"/>
      <c r="L161" s="67"/>
      <c r="M161" s="67"/>
      <c r="N161" s="67"/>
      <c r="O161" s="67"/>
    </row>
    <row r="162" spans="1:15" hidden="1" outlineLevel="1" x14ac:dyDescent="0.25">
      <c r="A162" s="71">
        <f t="shared" si="19"/>
        <v>155</v>
      </c>
      <c r="B162" s="82">
        <v>43132</v>
      </c>
      <c r="C162" s="108"/>
      <c r="D162" s="67">
        <v>331563.43000000005</v>
      </c>
      <c r="E162" s="102"/>
      <c r="F162" s="104">
        <v>4.2500000000000003E-2</v>
      </c>
      <c r="G162" s="102">
        <f t="shared" si="24"/>
        <v>-6518.73</v>
      </c>
      <c r="H162" s="102">
        <f t="shared" si="20"/>
        <v>325044.70000000007</v>
      </c>
      <c r="I162" s="102">
        <f t="shared" si="21"/>
        <v>-1681319.259306401</v>
      </c>
      <c r="J162" s="67"/>
      <c r="K162" s="67"/>
      <c r="L162" s="67"/>
      <c r="M162" s="67"/>
      <c r="N162" s="67"/>
      <c r="O162" s="67"/>
    </row>
    <row r="163" spans="1:15" hidden="1" outlineLevel="1" x14ac:dyDescent="0.25">
      <c r="A163" s="71">
        <f t="shared" si="19"/>
        <v>156</v>
      </c>
      <c r="B163" s="82">
        <v>43160</v>
      </c>
      <c r="C163" s="108"/>
      <c r="D163" s="67">
        <v>366857.62999999995</v>
      </c>
      <c r="E163" s="102"/>
      <c r="F163" s="104">
        <v>4.2500000000000003E-2</v>
      </c>
      <c r="G163" s="102">
        <f t="shared" si="24"/>
        <v>-5305.03</v>
      </c>
      <c r="H163" s="102">
        <f t="shared" si="20"/>
        <v>361552.59999999992</v>
      </c>
      <c r="I163" s="102">
        <f t="shared" si="21"/>
        <v>-1319766.6593064012</v>
      </c>
      <c r="J163" s="67"/>
      <c r="K163" s="67"/>
      <c r="L163" s="67"/>
      <c r="M163" s="67"/>
      <c r="N163" s="67"/>
      <c r="O163" s="67"/>
    </row>
    <row r="164" spans="1:15" hidden="1" outlineLevel="1" x14ac:dyDescent="0.25">
      <c r="A164" s="71">
        <f t="shared" si="19"/>
        <v>157</v>
      </c>
      <c r="B164" s="82">
        <v>43191</v>
      </c>
      <c r="C164" s="108"/>
      <c r="D164" s="67">
        <v>268036.96999999997</v>
      </c>
      <c r="E164" s="102"/>
      <c r="F164" s="104">
        <v>4.4699999999999997E-2</v>
      </c>
      <c r="G164" s="102">
        <f t="shared" si="24"/>
        <v>-4416.91</v>
      </c>
      <c r="H164" s="102">
        <f t="shared" si="20"/>
        <v>263620.06</v>
      </c>
      <c r="I164" s="102">
        <f t="shared" si="21"/>
        <v>-1056146.5993064011</v>
      </c>
      <c r="J164" s="67"/>
      <c r="K164" s="67"/>
      <c r="L164" s="67"/>
      <c r="M164" s="67"/>
      <c r="N164" s="67"/>
      <c r="O164" s="67"/>
    </row>
    <row r="165" spans="1:15" hidden="1" outlineLevel="1" x14ac:dyDescent="0.25">
      <c r="A165" s="71">
        <f t="shared" si="19"/>
        <v>158</v>
      </c>
      <c r="B165" s="82">
        <v>43221</v>
      </c>
      <c r="C165" s="108"/>
      <c r="D165" s="67">
        <v>146130.19</v>
      </c>
      <c r="E165" s="102"/>
      <c r="F165" s="104">
        <v>4.4699999999999997E-2</v>
      </c>
      <c r="G165" s="102">
        <f t="shared" si="24"/>
        <v>-3661.98</v>
      </c>
      <c r="H165" s="102">
        <f t="shared" si="20"/>
        <v>142468.21</v>
      </c>
      <c r="I165" s="102">
        <f t="shared" si="21"/>
        <v>-913678.38930640114</v>
      </c>
      <c r="J165" s="67"/>
      <c r="K165" s="67"/>
      <c r="L165" s="67"/>
      <c r="M165" s="67"/>
      <c r="N165" s="67"/>
      <c r="O165" s="67"/>
    </row>
    <row r="166" spans="1:15" hidden="1" outlineLevel="1" x14ac:dyDescent="0.25">
      <c r="A166" s="71">
        <f t="shared" si="19"/>
        <v>159</v>
      </c>
      <c r="B166" s="82">
        <v>43252</v>
      </c>
      <c r="C166" s="108"/>
      <c r="D166" s="67">
        <v>99918.999999999971</v>
      </c>
      <c r="E166" s="102"/>
      <c r="F166" s="104">
        <v>4.4699999999999997E-2</v>
      </c>
      <c r="G166" s="102">
        <f t="shared" si="24"/>
        <v>-3217.35</v>
      </c>
      <c r="H166" s="102">
        <f t="shared" si="20"/>
        <v>96701.649999999965</v>
      </c>
      <c r="I166" s="102">
        <f t="shared" si="21"/>
        <v>-816976.73930640123</v>
      </c>
      <c r="J166" s="67"/>
      <c r="K166" s="67"/>
      <c r="L166" s="67"/>
      <c r="M166" s="67"/>
      <c r="N166" s="67"/>
      <c r="O166" s="67"/>
    </row>
    <row r="167" spans="1:15" hidden="1" outlineLevel="1" x14ac:dyDescent="0.25">
      <c r="A167" s="71">
        <f t="shared" si="19"/>
        <v>160</v>
      </c>
      <c r="B167" s="82">
        <v>43282</v>
      </c>
      <c r="C167" s="108"/>
      <c r="D167" s="67">
        <v>83289.190000000017</v>
      </c>
      <c r="E167" s="102"/>
      <c r="F167" s="104">
        <v>4.6899999999999997E-2</v>
      </c>
      <c r="G167" s="102">
        <f t="shared" si="24"/>
        <v>-3030.26</v>
      </c>
      <c r="H167" s="102">
        <f t="shared" si="20"/>
        <v>80258.930000000022</v>
      </c>
      <c r="I167" s="102">
        <f t="shared" si="21"/>
        <v>-736717.80930640118</v>
      </c>
      <c r="J167" s="67"/>
      <c r="K167" s="67"/>
      <c r="L167" s="67"/>
      <c r="M167" s="67"/>
      <c r="N167" s="67"/>
      <c r="O167" s="67"/>
    </row>
    <row r="168" spans="1:15" hidden="1" outlineLevel="1" x14ac:dyDescent="0.25">
      <c r="A168" s="71">
        <f t="shared" si="19"/>
        <v>161</v>
      </c>
      <c r="B168" s="82">
        <v>43313</v>
      </c>
      <c r="C168" s="108"/>
      <c r="D168" s="67">
        <v>69999.429999999978</v>
      </c>
      <c r="E168" s="102"/>
      <c r="F168" s="104">
        <v>4.6899999999999997E-2</v>
      </c>
      <c r="G168" s="102">
        <f t="shared" si="24"/>
        <v>-2742.55</v>
      </c>
      <c r="H168" s="102">
        <f t="shared" si="20"/>
        <v>67256.879999999976</v>
      </c>
      <c r="I168" s="102">
        <f t="shared" si="21"/>
        <v>-669460.92930640117</v>
      </c>
      <c r="J168" s="67"/>
      <c r="K168" s="67"/>
      <c r="L168" s="67"/>
      <c r="M168" s="67"/>
      <c r="N168" s="67"/>
      <c r="O168" s="67"/>
    </row>
    <row r="169" spans="1:15" hidden="1" outlineLevel="1" x14ac:dyDescent="0.25">
      <c r="A169" s="71">
        <f t="shared" si="19"/>
        <v>162</v>
      </c>
      <c r="B169" s="82">
        <v>43344</v>
      </c>
      <c r="C169" s="108"/>
      <c r="D169" s="67">
        <v>77949.570000000007</v>
      </c>
      <c r="E169" s="102"/>
      <c r="F169" s="104">
        <v>4.6899999999999997E-2</v>
      </c>
      <c r="G169" s="102">
        <f t="shared" si="24"/>
        <v>-2464.15</v>
      </c>
      <c r="H169" s="102">
        <f t="shared" si="20"/>
        <v>75485.420000000013</v>
      </c>
      <c r="I169" s="102">
        <f t="shared" si="21"/>
        <v>-593975.50930640113</v>
      </c>
      <c r="J169" s="67"/>
      <c r="K169" s="67"/>
      <c r="L169" s="67"/>
      <c r="M169" s="67"/>
      <c r="N169" s="67"/>
      <c r="O169" s="67"/>
    </row>
    <row r="170" spans="1:15" hidden="1" outlineLevel="1" x14ac:dyDescent="0.25">
      <c r="A170" s="71">
        <f t="shared" si="19"/>
        <v>163</v>
      </c>
      <c r="B170" s="82">
        <v>43374</v>
      </c>
      <c r="C170" s="108"/>
      <c r="D170" s="67">
        <v>111250.53</v>
      </c>
      <c r="E170" s="102"/>
      <c r="F170" s="88">
        <v>4.9599999999999998E-2</v>
      </c>
      <c r="G170" s="102">
        <f t="shared" si="24"/>
        <v>-2225.1799999999998</v>
      </c>
      <c r="H170" s="102">
        <f t="shared" si="20"/>
        <v>109025.35</v>
      </c>
      <c r="I170" s="102">
        <f t="shared" si="21"/>
        <v>-484950.15930640115</v>
      </c>
      <c r="J170" s="67"/>
      <c r="K170" s="67"/>
      <c r="L170" s="67"/>
      <c r="M170" s="67"/>
      <c r="N170" s="67"/>
      <c r="O170" s="67"/>
    </row>
    <row r="171" spans="1:15" hidden="1" outlineLevel="1" x14ac:dyDescent="0.25">
      <c r="A171" s="71">
        <f t="shared" si="19"/>
        <v>164</v>
      </c>
      <c r="B171" s="82">
        <v>43405</v>
      </c>
      <c r="C171" s="108" t="s">
        <v>351</v>
      </c>
      <c r="D171" s="67">
        <v>113006.17999999996</v>
      </c>
      <c r="E171" s="102"/>
      <c r="F171" s="88">
        <v>4.9599999999999998E-2</v>
      </c>
      <c r="G171" s="102">
        <f t="shared" si="24"/>
        <v>-1770.91</v>
      </c>
      <c r="H171" s="102">
        <f t="shared" si="20"/>
        <v>111235.26999999996</v>
      </c>
      <c r="I171" s="102">
        <f t="shared" si="21"/>
        <v>-373714.88930640119</v>
      </c>
      <c r="J171" s="67"/>
      <c r="K171" s="67"/>
      <c r="L171" s="67"/>
      <c r="M171" s="67"/>
      <c r="N171" s="67"/>
      <c r="O171" s="67"/>
    </row>
    <row r="172" spans="1:15" hidden="1" outlineLevel="1" x14ac:dyDescent="0.25">
      <c r="A172" s="71">
        <f t="shared" si="19"/>
        <v>165</v>
      </c>
      <c r="B172" s="82">
        <v>43405</v>
      </c>
      <c r="C172" s="66" t="s">
        <v>350</v>
      </c>
      <c r="D172" s="67">
        <v>60620.570000000007</v>
      </c>
      <c r="E172" s="102">
        <v>-522600.12438439886</v>
      </c>
      <c r="F172" s="88">
        <v>4.9599999999999998E-2</v>
      </c>
      <c r="G172" s="102">
        <f>ROUND((+E172+(D172/2))*F172/12,2)</f>
        <v>-2034.8</v>
      </c>
      <c r="H172" s="102">
        <f t="shared" si="20"/>
        <v>-464014.35438439884</v>
      </c>
      <c r="I172" s="102">
        <f t="shared" si="21"/>
        <v>-837729.24369080004</v>
      </c>
      <c r="J172" s="67"/>
      <c r="K172" s="67"/>
      <c r="L172" s="67"/>
      <c r="M172" s="67"/>
      <c r="N172" s="67"/>
      <c r="O172" s="67"/>
    </row>
    <row r="173" spans="1:15" hidden="1" outlineLevel="1" x14ac:dyDescent="0.25">
      <c r="A173" s="71">
        <f t="shared" si="19"/>
        <v>166</v>
      </c>
      <c r="B173" s="82">
        <v>43435</v>
      </c>
      <c r="C173" s="89"/>
      <c r="D173" s="67">
        <v>275157.60000000003</v>
      </c>
      <c r="E173" s="102"/>
      <c r="F173" s="88">
        <v>4.9599999999999998E-2</v>
      </c>
      <c r="G173" s="102">
        <f t="shared" ref="G173:G184" si="25">ROUND((+I172+E173+(D173/2))*F173/12,2)</f>
        <v>-2893.96</v>
      </c>
      <c r="H173" s="102">
        <f t="shared" si="20"/>
        <v>272263.64</v>
      </c>
      <c r="I173" s="102">
        <f t="shared" si="21"/>
        <v>-565465.60369080002</v>
      </c>
      <c r="J173" s="67"/>
      <c r="K173" s="67"/>
      <c r="L173" s="67"/>
      <c r="M173" s="67"/>
      <c r="N173" s="67"/>
      <c r="O173" s="67"/>
    </row>
    <row r="174" spans="1:15" hidden="1" outlineLevel="1" x14ac:dyDescent="0.25">
      <c r="A174" s="71">
        <f t="shared" si="19"/>
        <v>167</v>
      </c>
      <c r="B174" s="82">
        <v>43466</v>
      </c>
      <c r="C174" s="87">
        <v>2</v>
      </c>
      <c r="D174" s="67">
        <v>319970.46000000002</v>
      </c>
      <c r="E174" s="102">
        <v>-1864076.8</v>
      </c>
      <c r="F174" s="88">
        <v>5.1799999999999999E-2</v>
      </c>
      <c r="G174" s="102">
        <f t="shared" si="25"/>
        <v>-9796.92</v>
      </c>
      <c r="H174" s="102">
        <f t="shared" si="20"/>
        <v>-1553903.26</v>
      </c>
      <c r="I174" s="102">
        <f t="shared" si="21"/>
        <v>-2119368.8636908</v>
      </c>
      <c r="J174" s="67"/>
      <c r="K174" s="67"/>
      <c r="L174" s="67"/>
      <c r="M174" s="67"/>
      <c r="N174" s="67"/>
      <c r="O174" s="67"/>
    </row>
    <row r="175" spans="1:15" hidden="1" outlineLevel="1" x14ac:dyDescent="0.25">
      <c r="A175" s="71">
        <f t="shared" si="19"/>
        <v>168</v>
      </c>
      <c r="B175" s="82">
        <v>43497</v>
      </c>
      <c r="C175" s="89"/>
      <c r="D175" s="67">
        <v>316056.19</v>
      </c>
      <c r="E175" s="102"/>
      <c r="F175" s="88">
        <v>5.1799999999999999E-2</v>
      </c>
      <c r="G175" s="102">
        <f t="shared" si="25"/>
        <v>-8466.4500000000007</v>
      </c>
      <c r="H175" s="102">
        <f t="shared" ref="H175:H206" si="26">D175+E175+G175</f>
        <v>307589.74</v>
      </c>
      <c r="I175" s="102">
        <f t="shared" ref="I175:I206" si="27">I174+H175</f>
        <v>-1811779.1236908</v>
      </c>
      <c r="J175" s="67"/>
      <c r="K175" s="67"/>
      <c r="L175" s="67"/>
      <c r="M175" s="67"/>
      <c r="N175" s="67"/>
      <c r="O175" s="67"/>
    </row>
    <row r="176" spans="1:15" hidden="1" outlineLevel="1" x14ac:dyDescent="0.25">
      <c r="A176" s="71">
        <f t="shared" si="19"/>
        <v>169</v>
      </c>
      <c r="B176" s="82">
        <v>43525</v>
      </c>
      <c r="C176" s="89"/>
      <c r="D176" s="67">
        <v>342332.13000000006</v>
      </c>
      <c r="E176" s="102"/>
      <c r="F176" s="88">
        <v>5.1799999999999999E-2</v>
      </c>
      <c r="G176" s="102">
        <f t="shared" si="25"/>
        <v>-7081.98</v>
      </c>
      <c r="H176" s="102">
        <f t="shared" si="26"/>
        <v>335250.15000000008</v>
      </c>
      <c r="I176" s="102">
        <f t="shared" si="27"/>
        <v>-1476528.9736907999</v>
      </c>
      <c r="J176" s="67"/>
      <c r="K176" s="67"/>
      <c r="L176" s="67"/>
      <c r="M176" s="67"/>
      <c r="N176" s="67"/>
      <c r="O176" s="67"/>
    </row>
    <row r="177" spans="1:15" hidden="1" outlineLevel="1" x14ac:dyDescent="0.25">
      <c r="A177" s="71">
        <f t="shared" si="19"/>
        <v>170</v>
      </c>
      <c r="B177" s="82">
        <v>43556</v>
      </c>
      <c r="C177" s="89"/>
      <c r="D177" s="67">
        <v>167782.39999999999</v>
      </c>
      <c r="E177" s="102"/>
      <c r="F177" s="88">
        <v>5.45E-2</v>
      </c>
      <c r="G177" s="102">
        <f t="shared" si="25"/>
        <v>-6324.9</v>
      </c>
      <c r="H177" s="102">
        <f t="shared" si="26"/>
        <v>161457.5</v>
      </c>
      <c r="I177" s="102">
        <f t="shared" si="27"/>
        <v>-1315071.4736907999</v>
      </c>
      <c r="J177" s="67"/>
      <c r="K177" s="67"/>
      <c r="L177" s="67"/>
      <c r="M177" s="67"/>
      <c r="N177" s="67"/>
      <c r="O177" s="67"/>
    </row>
    <row r="178" spans="1:15" hidden="1" outlineLevel="1" x14ac:dyDescent="0.25">
      <c r="A178" s="71">
        <f t="shared" si="19"/>
        <v>171</v>
      </c>
      <c r="B178" s="82">
        <v>43586</v>
      </c>
      <c r="C178" s="89"/>
      <c r="D178" s="67">
        <v>115806.21</v>
      </c>
      <c r="E178" s="102"/>
      <c r="F178" s="88">
        <v>5.45E-2</v>
      </c>
      <c r="G178" s="102">
        <f t="shared" si="25"/>
        <v>-5709.64</v>
      </c>
      <c r="H178" s="102">
        <f t="shared" si="26"/>
        <v>110096.57</v>
      </c>
      <c r="I178" s="102">
        <f t="shared" si="27"/>
        <v>-1204974.9036907998</v>
      </c>
      <c r="J178" s="67"/>
      <c r="K178" s="67"/>
      <c r="L178" s="67"/>
      <c r="M178" s="67"/>
      <c r="N178" s="67"/>
      <c r="O178" s="67"/>
    </row>
    <row r="179" spans="1:15" hidden="1" outlineLevel="1" x14ac:dyDescent="0.25">
      <c r="A179" s="71">
        <f t="shared" si="19"/>
        <v>172</v>
      </c>
      <c r="B179" s="82">
        <v>43617</v>
      </c>
      <c r="C179" s="89"/>
      <c r="D179" s="67">
        <v>77782.98</v>
      </c>
      <c r="E179" s="102"/>
      <c r="F179" s="88">
        <v>5.45E-2</v>
      </c>
      <c r="G179" s="102">
        <f t="shared" si="25"/>
        <v>-5295.96</v>
      </c>
      <c r="H179" s="102">
        <f t="shared" si="26"/>
        <v>72487.01999999999</v>
      </c>
      <c r="I179" s="102">
        <f t="shared" si="27"/>
        <v>-1132487.8836907998</v>
      </c>
      <c r="J179" s="67"/>
      <c r="K179" s="67"/>
      <c r="L179" s="67"/>
      <c r="M179" s="67"/>
      <c r="N179" s="67"/>
      <c r="O179" s="67"/>
    </row>
    <row r="180" spans="1:15" hidden="1" outlineLevel="1" x14ac:dyDescent="0.25">
      <c r="A180" s="71">
        <f t="shared" si="19"/>
        <v>173</v>
      </c>
      <c r="B180" s="82">
        <v>43647</v>
      </c>
      <c r="C180" s="89"/>
      <c r="D180" s="67">
        <v>67529.680000000022</v>
      </c>
      <c r="E180" s="102"/>
      <c r="F180" s="88">
        <v>5.5E-2</v>
      </c>
      <c r="G180" s="102">
        <f t="shared" si="25"/>
        <v>-5035.8100000000004</v>
      </c>
      <c r="H180" s="102">
        <f t="shared" si="26"/>
        <v>62493.870000000024</v>
      </c>
      <c r="I180" s="102">
        <f t="shared" si="27"/>
        <v>-1069994.0136907997</v>
      </c>
      <c r="J180" s="67"/>
      <c r="K180" s="67"/>
      <c r="L180" s="67"/>
      <c r="M180" s="67"/>
      <c r="N180" s="67"/>
      <c r="O180" s="67"/>
    </row>
    <row r="181" spans="1:15" hidden="1" outlineLevel="1" x14ac:dyDescent="0.25">
      <c r="A181" s="71">
        <f t="shared" si="19"/>
        <v>174</v>
      </c>
      <c r="B181" s="82">
        <v>43678</v>
      </c>
      <c r="C181" s="89"/>
      <c r="D181" s="67">
        <v>55677.109999999993</v>
      </c>
      <c r="E181" s="102"/>
      <c r="F181" s="88">
        <v>5.5E-2</v>
      </c>
      <c r="G181" s="102">
        <f t="shared" si="25"/>
        <v>-4776.55</v>
      </c>
      <c r="H181" s="102">
        <f t="shared" si="26"/>
        <v>50900.55999999999</v>
      </c>
      <c r="I181" s="102">
        <f t="shared" si="27"/>
        <v>-1019093.4536907998</v>
      </c>
      <c r="J181" s="67"/>
      <c r="K181" s="67"/>
      <c r="L181" s="67"/>
      <c r="M181" s="67"/>
      <c r="N181" s="67"/>
      <c r="O181" s="67"/>
    </row>
    <row r="182" spans="1:15" hidden="1" outlineLevel="1" x14ac:dyDescent="0.25">
      <c r="A182" s="71">
        <f t="shared" si="19"/>
        <v>175</v>
      </c>
      <c r="B182" s="82">
        <v>43709</v>
      </c>
      <c r="C182" s="89"/>
      <c r="D182" s="67">
        <v>57662.21</v>
      </c>
      <c r="E182" s="102"/>
      <c r="F182" s="88">
        <v>5.5E-2</v>
      </c>
      <c r="G182" s="102">
        <f t="shared" si="25"/>
        <v>-4538.7</v>
      </c>
      <c r="H182" s="102">
        <f t="shared" si="26"/>
        <v>53123.51</v>
      </c>
      <c r="I182" s="102">
        <f t="shared" si="27"/>
        <v>-965969.94369079976</v>
      </c>
      <c r="J182" s="67"/>
      <c r="K182" s="67"/>
      <c r="L182" s="67"/>
      <c r="M182" s="67"/>
      <c r="N182" s="67"/>
      <c r="O182" s="67"/>
    </row>
    <row r="183" spans="1:15" hidden="1" outlineLevel="1" x14ac:dyDescent="0.25">
      <c r="A183" s="71">
        <f t="shared" si="19"/>
        <v>176</v>
      </c>
      <c r="B183" s="82">
        <v>43739</v>
      </c>
      <c r="C183" s="89"/>
      <c r="D183" s="67">
        <v>111936.72</v>
      </c>
      <c r="E183" s="102"/>
      <c r="F183" s="79">
        <v>5.4199999999999998E-2</v>
      </c>
      <c r="G183" s="102">
        <f t="shared" si="25"/>
        <v>-4110.17</v>
      </c>
      <c r="H183" s="102">
        <f t="shared" si="26"/>
        <v>107826.55</v>
      </c>
      <c r="I183" s="102">
        <f t="shared" si="27"/>
        <v>-858143.39369079971</v>
      </c>
      <c r="J183" s="67"/>
      <c r="K183" s="67"/>
      <c r="L183" s="67"/>
      <c r="M183" s="67"/>
      <c r="N183" s="67"/>
      <c r="O183" s="67"/>
    </row>
    <row r="184" spans="1:15" hidden="1" outlineLevel="1" x14ac:dyDescent="0.25">
      <c r="A184" s="71">
        <f t="shared" si="19"/>
        <v>177</v>
      </c>
      <c r="B184" s="82">
        <v>43770</v>
      </c>
      <c r="C184" s="108" t="s">
        <v>351</v>
      </c>
      <c r="D184" s="67">
        <f>+'[36]Journal Page'!$F$99</f>
        <v>121370.06</v>
      </c>
      <c r="E184" s="102"/>
      <c r="F184" s="79">
        <v>5.4199999999999998E-2</v>
      </c>
      <c r="G184" s="102">
        <f t="shared" si="25"/>
        <v>-3601.85</v>
      </c>
      <c r="H184" s="102">
        <f t="shared" si="26"/>
        <v>117768.20999999999</v>
      </c>
      <c r="I184" s="102">
        <f t="shared" si="27"/>
        <v>-740375.18369079975</v>
      </c>
      <c r="J184" s="67"/>
      <c r="K184" s="67"/>
      <c r="L184" s="67"/>
      <c r="M184" s="67"/>
      <c r="N184" s="67"/>
      <c r="O184" s="67"/>
    </row>
    <row r="185" spans="1:15" hidden="1" outlineLevel="1" x14ac:dyDescent="0.25">
      <c r="A185" s="71">
        <f t="shared" si="19"/>
        <v>178</v>
      </c>
      <c r="B185" s="82">
        <v>43770</v>
      </c>
      <c r="C185" s="66" t="s">
        <v>350</v>
      </c>
      <c r="D185" s="67">
        <v>86396.78</v>
      </c>
      <c r="E185" s="102">
        <v>-210884.72</v>
      </c>
      <c r="F185" s="79">
        <v>5.4199999999999998E-2</v>
      </c>
      <c r="G185" s="102">
        <f>ROUND((+E185+(D185/2))*F185/12,2)</f>
        <v>-757.38</v>
      </c>
      <c r="H185" s="102">
        <f t="shared" si="26"/>
        <v>-125245.32</v>
      </c>
      <c r="I185" s="102">
        <f t="shared" si="27"/>
        <v>-865620.5036907997</v>
      </c>
      <c r="J185" s="67"/>
      <c r="K185" s="67"/>
      <c r="L185" s="67"/>
      <c r="M185" s="67"/>
      <c r="N185" s="67"/>
      <c r="O185" s="67"/>
    </row>
    <row r="186" spans="1:15" hidden="1" outlineLevel="1" x14ac:dyDescent="0.25">
      <c r="A186" s="71">
        <f t="shared" si="19"/>
        <v>179</v>
      </c>
      <c r="B186" s="82">
        <v>43800</v>
      </c>
      <c r="C186" s="89"/>
      <c r="D186" s="67">
        <v>319269.73000000004</v>
      </c>
      <c r="E186" s="102"/>
      <c r="F186" s="79">
        <v>5.4199999999999998E-2</v>
      </c>
      <c r="G186" s="102">
        <f t="shared" ref="G186:G197" si="28">ROUND((+I185+E186+(D186/2))*F186/12,2)</f>
        <v>-3188.7</v>
      </c>
      <c r="H186" s="102">
        <f t="shared" si="26"/>
        <v>316081.03000000003</v>
      </c>
      <c r="I186" s="102">
        <f t="shared" si="27"/>
        <v>-549539.47369079967</v>
      </c>
      <c r="J186" s="67"/>
      <c r="K186" s="67"/>
      <c r="L186" s="67"/>
      <c r="M186" s="67"/>
      <c r="N186" s="67"/>
      <c r="O186" s="67"/>
    </row>
    <row r="187" spans="1:15" hidden="1" outlineLevel="1" x14ac:dyDescent="0.25">
      <c r="A187" s="71">
        <f t="shared" si="19"/>
        <v>180</v>
      </c>
      <c r="B187" s="82">
        <v>43831</v>
      </c>
      <c r="C187" s="89"/>
      <c r="D187" s="67">
        <v>356057.9</v>
      </c>
      <c r="E187" s="102">
        <v>-1643319.28</v>
      </c>
      <c r="F187" s="79">
        <v>4.9599999999999998E-2</v>
      </c>
      <c r="G187" s="102">
        <f t="shared" si="28"/>
        <v>-8327.9599999999991</v>
      </c>
      <c r="H187" s="102">
        <f t="shared" si="26"/>
        <v>-1295589.3399999999</v>
      </c>
      <c r="I187" s="102">
        <f t="shared" si="27"/>
        <v>-1845128.8136907995</v>
      </c>
      <c r="J187" s="67"/>
      <c r="K187" s="67"/>
      <c r="L187" s="67"/>
      <c r="M187" s="67"/>
      <c r="N187" s="67"/>
      <c r="O187" s="67"/>
    </row>
    <row r="188" spans="1:15" hidden="1" outlineLevel="1" x14ac:dyDescent="0.25">
      <c r="A188" s="71">
        <f t="shared" si="19"/>
        <v>181</v>
      </c>
      <c r="B188" s="82">
        <v>43862</v>
      </c>
      <c r="C188" s="89"/>
      <c r="D188" s="67">
        <v>297070.06000000011</v>
      </c>
      <c r="E188" s="102"/>
      <c r="F188" s="79">
        <v>4.9599999999999998E-2</v>
      </c>
      <c r="G188" s="102">
        <f t="shared" si="28"/>
        <v>-7012.59</v>
      </c>
      <c r="H188" s="102">
        <f t="shared" si="26"/>
        <v>290057.47000000009</v>
      </c>
      <c r="I188" s="102">
        <f t="shared" si="27"/>
        <v>-1555071.3436907995</v>
      </c>
      <c r="J188" s="67"/>
      <c r="K188" s="67"/>
      <c r="L188" s="67"/>
      <c r="M188" s="67"/>
      <c r="N188" s="67"/>
      <c r="O188" s="67"/>
    </row>
    <row r="189" spans="1:15" hidden="1" outlineLevel="1" x14ac:dyDescent="0.25">
      <c r="A189" s="71">
        <f t="shared" si="19"/>
        <v>182</v>
      </c>
      <c r="B189" s="82">
        <v>43891</v>
      </c>
      <c r="C189" s="89"/>
      <c r="D189" s="67">
        <v>287929.28999999998</v>
      </c>
      <c r="E189" s="102"/>
      <c r="F189" s="79">
        <v>4.9599999999999998E-2</v>
      </c>
      <c r="G189" s="102">
        <f t="shared" si="28"/>
        <v>-5832.57</v>
      </c>
      <c r="H189" s="102">
        <f t="shared" si="26"/>
        <v>282096.71999999997</v>
      </c>
      <c r="I189" s="102">
        <f t="shared" si="27"/>
        <v>-1272974.6236907996</v>
      </c>
      <c r="J189" s="67"/>
      <c r="K189" s="67"/>
      <c r="L189" s="67"/>
      <c r="M189" s="67"/>
      <c r="N189" s="67"/>
      <c r="O189" s="67"/>
    </row>
    <row r="190" spans="1:15" hidden="1" outlineLevel="1" x14ac:dyDescent="0.25">
      <c r="A190" s="71">
        <f t="shared" si="19"/>
        <v>183</v>
      </c>
      <c r="B190" s="82">
        <v>43922</v>
      </c>
      <c r="C190" s="108"/>
      <c r="D190" s="67">
        <v>218831.83999999997</v>
      </c>
      <c r="E190" s="102"/>
      <c r="F190" s="104">
        <v>4.7500000000000001E-2</v>
      </c>
      <c r="G190" s="102">
        <f t="shared" si="28"/>
        <v>-4605.75</v>
      </c>
      <c r="H190" s="102">
        <f t="shared" si="26"/>
        <v>214226.08999999997</v>
      </c>
      <c r="I190" s="102">
        <f t="shared" si="27"/>
        <v>-1058748.5336907995</v>
      </c>
      <c r="J190" s="67"/>
      <c r="K190" s="67"/>
      <c r="L190" s="67"/>
      <c r="M190" s="67"/>
      <c r="N190" s="67"/>
      <c r="O190" s="67"/>
    </row>
    <row r="191" spans="1:15" hidden="1" outlineLevel="1" x14ac:dyDescent="0.25">
      <c r="A191" s="71">
        <f t="shared" si="19"/>
        <v>184</v>
      </c>
      <c r="B191" s="82">
        <v>43952</v>
      </c>
      <c r="C191" s="108"/>
      <c r="D191" s="67">
        <v>118929.06000000001</v>
      </c>
      <c r="E191" s="102"/>
      <c r="F191" s="104">
        <v>4.7500000000000001E-2</v>
      </c>
      <c r="G191" s="102">
        <f t="shared" si="28"/>
        <v>-3955.5</v>
      </c>
      <c r="H191" s="102">
        <f t="shared" si="26"/>
        <v>114973.56000000001</v>
      </c>
      <c r="I191" s="102">
        <f t="shared" si="27"/>
        <v>-943774.97369079944</v>
      </c>
      <c r="J191" s="67"/>
      <c r="K191" s="67"/>
      <c r="L191" s="67"/>
      <c r="M191" s="67"/>
      <c r="N191" s="67"/>
      <c r="O191" s="67"/>
    </row>
    <row r="192" spans="1:15" hidden="1" outlineLevel="1" x14ac:dyDescent="0.25">
      <c r="A192" s="71">
        <f t="shared" si="19"/>
        <v>185</v>
      </c>
      <c r="B192" s="82">
        <v>43983</v>
      </c>
      <c r="C192" s="108"/>
      <c r="D192" s="67">
        <v>92318.329999999987</v>
      </c>
      <c r="E192" s="102"/>
      <c r="F192" s="104">
        <v>4.7500000000000001E-2</v>
      </c>
      <c r="G192" s="102">
        <f t="shared" si="28"/>
        <v>-3553.06</v>
      </c>
      <c r="H192" s="102">
        <f t="shared" si="26"/>
        <v>88765.26999999999</v>
      </c>
      <c r="I192" s="102">
        <f t="shared" si="27"/>
        <v>-855009.70369079942</v>
      </c>
      <c r="J192" s="67"/>
      <c r="K192" s="67"/>
      <c r="L192" s="67"/>
      <c r="M192" s="67"/>
      <c r="N192" s="67"/>
      <c r="O192" s="67"/>
    </row>
    <row r="193" spans="1:15" hidden="1" outlineLevel="1" x14ac:dyDescent="0.25">
      <c r="A193" s="71">
        <f t="shared" si="19"/>
        <v>186</v>
      </c>
      <c r="B193" s="82">
        <v>44013</v>
      </c>
      <c r="C193" s="108"/>
      <c r="D193" s="67">
        <v>73229.209999999992</v>
      </c>
      <c r="E193" s="102"/>
      <c r="F193" s="104">
        <v>3.4299999999999997E-2</v>
      </c>
      <c r="G193" s="102">
        <f t="shared" si="28"/>
        <v>-2339.25</v>
      </c>
      <c r="H193" s="102">
        <f t="shared" si="26"/>
        <v>70889.959999999992</v>
      </c>
      <c r="I193" s="102">
        <f t="shared" si="27"/>
        <v>-784119.74369079946</v>
      </c>
      <c r="J193" s="67"/>
      <c r="K193" s="67"/>
      <c r="L193" s="67"/>
      <c r="M193" s="67"/>
      <c r="N193" s="67"/>
      <c r="O193" s="67"/>
    </row>
    <row r="194" spans="1:15" hidden="1" outlineLevel="1" x14ac:dyDescent="0.25">
      <c r="A194" s="71">
        <f t="shared" si="19"/>
        <v>187</v>
      </c>
      <c r="B194" s="82">
        <v>44044</v>
      </c>
      <c r="C194" s="108"/>
      <c r="D194" s="67">
        <v>58819.30999999999</v>
      </c>
      <c r="E194" s="102"/>
      <c r="F194" s="104">
        <v>3.4299999999999997E-2</v>
      </c>
      <c r="G194" s="102">
        <f t="shared" si="28"/>
        <v>-2157.21</v>
      </c>
      <c r="H194" s="102">
        <f t="shared" si="26"/>
        <v>56662.099999999991</v>
      </c>
      <c r="I194" s="102">
        <f t="shared" si="27"/>
        <v>-727457.64369079948</v>
      </c>
      <c r="J194" s="67"/>
      <c r="K194" s="67"/>
      <c r="L194" s="67"/>
      <c r="M194" s="67"/>
      <c r="N194" s="67"/>
      <c r="O194" s="67"/>
    </row>
    <row r="195" spans="1:15" hidden="1" outlineLevel="1" x14ac:dyDescent="0.25">
      <c r="A195" s="71">
        <f t="shared" si="19"/>
        <v>188</v>
      </c>
      <c r="B195" s="82">
        <v>44075</v>
      </c>
      <c r="C195" s="89"/>
      <c r="D195" s="67">
        <v>61740.12000000001</v>
      </c>
      <c r="E195" s="102"/>
      <c r="F195" s="104">
        <v>3.4299999999999997E-2</v>
      </c>
      <c r="G195" s="102">
        <f t="shared" si="28"/>
        <v>-1991.08</v>
      </c>
      <c r="H195" s="102">
        <f t="shared" si="26"/>
        <v>59749.040000000008</v>
      </c>
      <c r="I195" s="102">
        <f t="shared" si="27"/>
        <v>-667708.60369079944</v>
      </c>
      <c r="J195" s="67"/>
      <c r="K195" s="67"/>
      <c r="L195" s="67"/>
      <c r="M195" s="67"/>
      <c r="N195" s="67"/>
      <c r="O195" s="67"/>
    </row>
    <row r="196" spans="1:15" hidden="1" outlineLevel="1" x14ac:dyDescent="0.25">
      <c r="A196" s="71">
        <f t="shared" si="19"/>
        <v>189</v>
      </c>
      <c r="B196" s="82">
        <v>44105</v>
      </c>
      <c r="C196" s="89"/>
      <c r="D196" s="67">
        <v>79590.180000000008</v>
      </c>
      <c r="E196" s="102"/>
      <c r="F196" s="104">
        <v>3.2500000000000001E-2</v>
      </c>
      <c r="G196" s="102">
        <f t="shared" si="28"/>
        <v>-1700.6</v>
      </c>
      <c r="H196" s="102">
        <f t="shared" si="26"/>
        <v>77889.58</v>
      </c>
      <c r="I196" s="102">
        <f t="shared" si="27"/>
        <v>-589819.02369079948</v>
      </c>
      <c r="J196" s="67"/>
      <c r="K196" s="67"/>
      <c r="L196" s="67"/>
      <c r="M196" s="67"/>
      <c r="N196" s="67"/>
      <c r="O196" s="67"/>
    </row>
    <row r="197" spans="1:15" hidden="1" outlineLevel="1" x14ac:dyDescent="0.25">
      <c r="A197" s="71">
        <f t="shared" si="19"/>
        <v>190</v>
      </c>
      <c r="B197" s="82">
        <v>44136</v>
      </c>
      <c r="C197" s="108" t="s">
        <v>351</v>
      </c>
      <c r="D197" s="67">
        <v>114069.09</v>
      </c>
      <c r="E197" s="102"/>
      <c r="F197" s="104">
        <v>3.2500000000000001E-2</v>
      </c>
      <c r="G197" s="102">
        <f t="shared" si="28"/>
        <v>-1442.96</v>
      </c>
      <c r="H197" s="102">
        <f t="shared" si="26"/>
        <v>112626.12999999999</v>
      </c>
      <c r="I197" s="102">
        <f t="shared" si="27"/>
        <v>-477192.89369079948</v>
      </c>
      <c r="J197" s="67"/>
      <c r="K197" s="67"/>
      <c r="L197" s="67"/>
      <c r="M197" s="67"/>
      <c r="N197" s="67"/>
      <c r="O197" s="67"/>
    </row>
    <row r="198" spans="1:15" hidden="1" outlineLevel="1" x14ac:dyDescent="0.25">
      <c r="A198" s="71">
        <f t="shared" si="19"/>
        <v>191</v>
      </c>
      <c r="B198" s="82">
        <v>44136</v>
      </c>
      <c r="C198" s="66" t="s">
        <v>350</v>
      </c>
      <c r="D198" s="67">
        <v>47583.22</v>
      </c>
      <c r="E198" s="102">
        <v>-364.74</v>
      </c>
      <c r="F198" s="104">
        <v>3.2500000000000001E-2</v>
      </c>
      <c r="G198" s="102">
        <f>ROUND((+E198+(D198/2))*F198/12,2)</f>
        <v>63.45</v>
      </c>
      <c r="H198" s="102">
        <f t="shared" si="26"/>
        <v>47281.93</v>
      </c>
      <c r="I198" s="102">
        <f t="shared" si="27"/>
        <v>-429910.96369079949</v>
      </c>
      <c r="J198" s="67"/>
      <c r="K198" s="67"/>
      <c r="L198" s="67"/>
      <c r="M198" s="67"/>
      <c r="N198" s="67"/>
      <c r="O198" s="67"/>
    </row>
    <row r="199" spans="1:15" hidden="1" outlineLevel="1" x14ac:dyDescent="0.25">
      <c r="A199" s="71">
        <f t="shared" si="19"/>
        <v>192</v>
      </c>
      <c r="B199" s="82">
        <v>44166</v>
      </c>
      <c r="D199" s="67">
        <v>184384.25999999992</v>
      </c>
      <c r="E199" s="102"/>
      <c r="F199" s="104">
        <v>3.2500000000000001E-2</v>
      </c>
      <c r="G199" s="102">
        <f t="shared" ref="G199:G210" si="29">ROUND((+I198+E199+(D199/2))*F199/12,2)</f>
        <v>-914.66</v>
      </c>
      <c r="H199" s="102">
        <f t="shared" si="26"/>
        <v>183469.59999999992</v>
      </c>
      <c r="I199" s="102">
        <f t="shared" si="27"/>
        <v>-246441.36369079957</v>
      </c>
      <c r="J199" s="67"/>
      <c r="K199" s="67"/>
      <c r="L199" s="67"/>
      <c r="M199" s="67"/>
      <c r="N199" s="67"/>
      <c r="O199" s="67"/>
    </row>
    <row r="200" spans="1:15" hidden="1" outlineLevel="1" x14ac:dyDescent="0.25">
      <c r="A200" s="71">
        <f t="shared" si="19"/>
        <v>193</v>
      </c>
      <c r="B200" s="82">
        <v>44197</v>
      </c>
      <c r="C200" s="89"/>
      <c r="D200" s="67">
        <v>186137.11000000002</v>
      </c>
      <c r="E200" s="102">
        <v>-1181567.06</v>
      </c>
      <c r="F200" s="104">
        <v>3.2500000000000001E-2</v>
      </c>
      <c r="G200" s="102">
        <f t="shared" si="29"/>
        <v>-3615.46</v>
      </c>
      <c r="H200" s="102">
        <f t="shared" si="26"/>
        <v>-999045.41</v>
      </c>
      <c r="I200" s="102">
        <f t="shared" si="27"/>
        <v>-1245486.7736907997</v>
      </c>
      <c r="J200" s="67"/>
      <c r="K200" s="67"/>
      <c r="L200" s="67"/>
      <c r="M200" s="67"/>
      <c r="N200" s="67"/>
      <c r="O200" s="67"/>
    </row>
    <row r="201" spans="1:15" hidden="1" outlineLevel="1" x14ac:dyDescent="0.25">
      <c r="A201" s="71">
        <f t="shared" ref="A201:A267" si="30">+A200+1</f>
        <v>194</v>
      </c>
      <c r="B201" s="82">
        <v>44228</v>
      </c>
      <c r="C201" s="89"/>
      <c r="D201" s="67">
        <v>192385.28999999998</v>
      </c>
      <c r="E201" s="102"/>
      <c r="F201" s="104">
        <v>3.2500000000000001E-2</v>
      </c>
      <c r="G201" s="102">
        <f t="shared" si="29"/>
        <v>-3112.67</v>
      </c>
      <c r="H201" s="102">
        <f t="shared" si="26"/>
        <v>189272.61999999997</v>
      </c>
      <c r="I201" s="102">
        <f t="shared" si="27"/>
        <v>-1056214.1536907998</v>
      </c>
      <c r="J201" s="67"/>
      <c r="K201" s="67"/>
      <c r="L201" s="67"/>
      <c r="M201" s="67"/>
      <c r="N201" s="67"/>
      <c r="O201" s="67"/>
    </row>
    <row r="202" spans="1:15" hidden="1" outlineLevel="1" x14ac:dyDescent="0.25">
      <c r="A202" s="71">
        <f t="shared" si="30"/>
        <v>195</v>
      </c>
      <c r="B202" s="82">
        <v>44256</v>
      </c>
      <c r="C202" s="89"/>
      <c r="D202" s="67">
        <v>172301.01999999996</v>
      </c>
      <c r="E202" s="102"/>
      <c r="F202" s="104">
        <v>3.2500000000000001E-2</v>
      </c>
      <c r="G202" s="102">
        <f t="shared" si="29"/>
        <v>-2627.26</v>
      </c>
      <c r="H202" s="102">
        <f t="shared" si="26"/>
        <v>169673.75999999995</v>
      </c>
      <c r="I202" s="102">
        <f t="shared" si="27"/>
        <v>-886540.39369079983</v>
      </c>
      <c r="J202" s="67"/>
      <c r="K202" s="67"/>
      <c r="L202" s="67"/>
      <c r="M202" s="67"/>
      <c r="N202" s="67"/>
      <c r="O202" s="67"/>
    </row>
    <row r="203" spans="1:15" hidden="1" outlineLevel="1" x14ac:dyDescent="0.25">
      <c r="A203" s="71">
        <f t="shared" si="30"/>
        <v>196</v>
      </c>
      <c r="B203" s="82">
        <v>44287</v>
      </c>
      <c r="C203" s="89"/>
      <c r="D203" s="67">
        <v>125269.01999999999</v>
      </c>
      <c r="E203" s="102"/>
      <c r="F203" s="104">
        <v>3.2500000000000001E-2</v>
      </c>
      <c r="G203" s="102">
        <f t="shared" si="29"/>
        <v>-2231.41</v>
      </c>
      <c r="H203" s="102">
        <f t="shared" si="26"/>
        <v>123037.60999999999</v>
      </c>
      <c r="I203" s="102">
        <f t="shared" si="27"/>
        <v>-763502.78369079984</v>
      </c>
      <c r="J203" s="67"/>
      <c r="K203" s="67"/>
      <c r="L203" s="67"/>
      <c r="M203" s="67"/>
      <c r="N203" s="67"/>
      <c r="O203" s="67"/>
    </row>
    <row r="204" spans="1:15" hidden="1" outlineLevel="1" x14ac:dyDescent="0.25">
      <c r="A204" s="71">
        <f t="shared" si="30"/>
        <v>197</v>
      </c>
      <c r="B204" s="82">
        <v>44317</v>
      </c>
      <c r="C204" s="89"/>
      <c r="D204" s="67">
        <v>67559.289999999994</v>
      </c>
      <c r="E204" s="102"/>
      <c r="F204" s="104">
        <v>3.2500000000000001E-2</v>
      </c>
      <c r="G204" s="102">
        <f t="shared" si="29"/>
        <v>-1976.33</v>
      </c>
      <c r="H204" s="102">
        <f t="shared" si="26"/>
        <v>65582.959999999992</v>
      </c>
      <c r="I204" s="102">
        <f t="shared" si="27"/>
        <v>-697919.82369079988</v>
      </c>
      <c r="J204" s="67"/>
      <c r="K204" s="67"/>
      <c r="L204" s="67"/>
      <c r="M204" s="67"/>
      <c r="N204" s="67"/>
      <c r="O204" s="67"/>
    </row>
    <row r="205" spans="1:15" hidden="1" outlineLevel="1" x14ac:dyDescent="0.25">
      <c r="A205" s="71">
        <f t="shared" si="30"/>
        <v>198</v>
      </c>
      <c r="B205" s="82">
        <v>44348</v>
      </c>
      <c r="C205" s="89"/>
      <c r="D205" s="67">
        <v>53612.43</v>
      </c>
      <c r="E205" s="102"/>
      <c r="F205" s="104">
        <v>3.2500000000000001E-2</v>
      </c>
      <c r="G205" s="102">
        <f t="shared" si="29"/>
        <v>-1817.6</v>
      </c>
      <c r="H205" s="102">
        <f t="shared" si="26"/>
        <v>51794.83</v>
      </c>
      <c r="I205" s="102">
        <f t="shared" si="27"/>
        <v>-646124.99369079992</v>
      </c>
      <c r="J205" s="67"/>
      <c r="K205" s="67"/>
      <c r="L205" s="67"/>
      <c r="M205" s="67"/>
      <c r="N205" s="67"/>
      <c r="O205" s="67"/>
    </row>
    <row r="206" spans="1:15" hidden="1" outlineLevel="1" x14ac:dyDescent="0.25">
      <c r="A206" s="71">
        <f t="shared" si="30"/>
        <v>199</v>
      </c>
      <c r="B206" s="82">
        <v>44378</v>
      </c>
      <c r="C206" s="89"/>
      <c r="D206" s="67">
        <v>35686.87999999999</v>
      </c>
      <c r="E206" s="102"/>
      <c r="F206" s="104">
        <v>3.2500000000000001E-2</v>
      </c>
      <c r="G206" s="102">
        <f t="shared" si="29"/>
        <v>-1701.6</v>
      </c>
      <c r="H206" s="102">
        <f t="shared" si="26"/>
        <v>33985.279999999992</v>
      </c>
      <c r="I206" s="102">
        <f t="shared" si="27"/>
        <v>-612139.71369079989</v>
      </c>
      <c r="J206" s="67"/>
      <c r="K206" s="67"/>
      <c r="L206" s="67"/>
      <c r="M206" s="67"/>
      <c r="N206" s="67"/>
      <c r="O206" s="67"/>
    </row>
    <row r="207" spans="1:15" hidden="1" outlineLevel="1" x14ac:dyDescent="0.25">
      <c r="A207" s="71">
        <f t="shared" si="30"/>
        <v>200</v>
      </c>
      <c r="B207" s="82">
        <v>44409</v>
      </c>
      <c r="C207" s="89"/>
      <c r="D207" s="67">
        <v>33043.14</v>
      </c>
      <c r="E207" s="102"/>
      <c r="F207" s="104">
        <v>3.2500000000000001E-2</v>
      </c>
      <c r="G207" s="102">
        <f t="shared" si="29"/>
        <v>-1613.13</v>
      </c>
      <c r="H207" s="102">
        <f t="shared" ref="H207:H238" si="31">D207+E207+G207</f>
        <v>31430.01</v>
      </c>
      <c r="I207" s="102">
        <f t="shared" ref="I207:I238" si="32">I206+H207</f>
        <v>-580709.70369079988</v>
      </c>
      <c r="J207" s="67"/>
      <c r="K207" s="67"/>
      <c r="L207" s="67"/>
      <c r="M207" s="67"/>
      <c r="N207" s="67"/>
      <c r="O207" s="67"/>
    </row>
    <row r="208" spans="1:15" hidden="1" outlineLevel="1" x14ac:dyDescent="0.25">
      <c r="A208" s="71">
        <f t="shared" si="30"/>
        <v>201</v>
      </c>
      <c r="B208" s="82">
        <v>44440</v>
      </c>
      <c r="C208" s="89"/>
      <c r="D208" s="67">
        <v>37703.830000000009</v>
      </c>
      <c r="E208" s="102"/>
      <c r="F208" s="104">
        <v>3.2500000000000001E-2</v>
      </c>
      <c r="G208" s="102">
        <f t="shared" si="29"/>
        <v>-1521.7</v>
      </c>
      <c r="H208" s="102">
        <f t="shared" si="31"/>
        <v>36182.130000000012</v>
      </c>
      <c r="I208" s="102">
        <f t="shared" si="32"/>
        <v>-544527.57369079988</v>
      </c>
      <c r="J208" s="67"/>
      <c r="K208" s="67"/>
      <c r="L208" s="67"/>
      <c r="M208" s="67"/>
      <c r="N208" s="67"/>
      <c r="O208" s="67"/>
    </row>
    <row r="209" spans="1:15" hidden="1" outlineLevel="1" x14ac:dyDescent="0.25">
      <c r="A209" s="71">
        <f t="shared" si="30"/>
        <v>202</v>
      </c>
      <c r="B209" s="82">
        <v>44470</v>
      </c>
      <c r="C209" s="89"/>
      <c r="D209" s="67">
        <v>59823.200000000004</v>
      </c>
      <c r="E209" s="102"/>
      <c r="F209" s="104">
        <v>3.2500000000000001E-2</v>
      </c>
      <c r="G209" s="102">
        <f t="shared" si="29"/>
        <v>-1393.75</v>
      </c>
      <c r="H209" s="102">
        <f t="shared" si="31"/>
        <v>58429.450000000004</v>
      </c>
      <c r="I209" s="102">
        <f t="shared" si="32"/>
        <v>-486098.12369079987</v>
      </c>
      <c r="J209" s="67"/>
      <c r="K209" s="67"/>
      <c r="L209" s="67"/>
      <c r="M209" s="67"/>
      <c r="N209" s="67"/>
      <c r="O209" s="67"/>
    </row>
    <row r="210" spans="1:15" hidden="1" outlineLevel="1" x14ac:dyDescent="0.25">
      <c r="A210" s="71">
        <f t="shared" si="30"/>
        <v>203</v>
      </c>
      <c r="B210" s="82">
        <v>44501</v>
      </c>
      <c r="C210" s="108" t="s">
        <v>351</v>
      </c>
      <c r="D210" s="67">
        <v>63850.51</v>
      </c>
      <c r="E210" s="102"/>
      <c r="F210" s="104">
        <v>3.2500000000000001E-2</v>
      </c>
      <c r="G210" s="102">
        <f t="shared" si="29"/>
        <v>-1230.05</v>
      </c>
      <c r="H210" s="102">
        <f t="shared" si="31"/>
        <v>62620.46</v>
      </c>
      <c r="I210" s="102">
        <f t="shared" si="32"/>
        <v>-423477.66369079985</v>
      </c>
      <c r="J210" s="67"/>
      <c r="K210" s="67"/>
      <c r="L210" s="67"/>
      <c r="M210" s="67"/>
      <c r="N210" s="67"/>
      <c r="O210" s="67"/>
    </row>
    <row r="211" spans="1:15" hidden="1" outlineLevel="1" collapsed="1" x14ac:dyDescent="0.25">
      <c r="A211" s="71">
        <f t="shared" si="30"/>
        <v>204</v>
      </c>
      <c r="B211" s="82">
        <v>44501</v>
      </c>
      <c r="C211" s="66" t="s">
        <v>350</v>
      </c>
      <c r="D211" s="67">
        <v>142121.34</v>
      </c>
      <c r="E211" s="102">
        <f>-'151550 Demand Accrual'!E197</f>
        <v>304778.69602219778</v>
      </c>
      <c r="F211" s="104">
        <v>3.2500000000000001E-2</v>
      </c>
      <c r="G211" s="102">
        <f>ROUND((+E211+(D211/2))*F211/12,2)</f>
        <v>1017.9</v>
      </c>
      <c r="H211" s="102">
        <f t="shared" si="31"/>
        <v>447917.93602219783</v>
      </c>
      <c r="I211" s="102">
        <f t="shared" si="32"/>
        <v>24440.27233139798</v>
      </c>
      <c r="J211" s="67"/>
      <c r="K211" s="67"/>
      <c r="L211" s="67"/>
      <c r="M211" s="67"/>
      <c r="N211" s="67"/>
      <c r="O211" s="67"/>
    </row>
    <row r="212" spans="1:15" hidden="1" outlineLevel="1" x14ac:dyDescent="0.25">
      <c r="A212" s="71">
        <f t="shared" si="30"/>
        <v>205</v>
      </c>
      <c r="B212" s="82">
        <v>44531</v>
      </c>
      <c r="D212" s="67">
        <v>583676.6</v>
      </c>
      <c r="E212" s="102"/>
      <c r="F212" s="104">
        <v>3.2500000000000001E-2</v>
      </c>
      <c r="G212" s="102">
        <f t="shared" ref="G212:G223" si="33">ROUND((+I211+E212+(D212/2))*F212/12,2)</f>
        <v>856.59</v>
      </c>
      <c r="H212" s="102">
        <f t="shared" si="31"/>
        <v>584533.18999999994</v>
      </c>
      <c r="I212" s="102">
        <f t="shared" si="32"/>
        <v>608973.46233139792</v>
      </c>
      <c r="J212" s="67"/>
      <c r="K212" s="67"/>
      <c r="L212" s="67"/>
      <c r="M212" s="67"/>
      <c r="N212" s="67"/>
      <c r="O212" s="67"/>
    </row>
    <row r="213" spans="1:15" hidden="1" outlineLevel="1" x14ac:dyDescent="0.25">
      <c r="A213" s="71">
        <f t="shared" si="30"/>
        <v>206</v>
      </c>
      <c r="B213" s="82">
        <v>44562</v>
      </c>
      <c r="C213" s="120" t="s">
        <v>364</v>
      </c>
      <c r="D213" s="67">
        <v>858624.97</v>
      </c>
      <c r="E213" s="102">
        <v>-3646485.72</v>
      </c>
      <c r="F213" s="104">
        <v>3.2500000000000001E-2</v>
      </c>
      <c r="G213" s="102">
        <f t="shared" si="33"/>
        <v>-7063.87</v>
      </c>
      <c r="H213" s="102">
        <f t="shared" si="31"/>
        <v>-2794924.62</v>
      </c>
      <c r="I213" s="102">
        <f t="shared" si="32"/>
        <v>-2185951.1576686022</v>
      </c>
      <c r="J213" s="67"/>
      <c r="K213" s="67"/>
      <c r="L213" s="67"/>
      <c r="M213" s="67"/>
      <c r="N213" s="67"/>
      <c r="O213" s="67"/>
    </row>
    <row r="214" spans="1:15" hidden="1" outlineLevel="1" x14ac:dyDescent="0.25">
      <c r="A214" s="71">
        <f t="shared" si="30"/>
        <v>207</v>
      </c>
      <c r="B214" s="82">
        <v>44593</v>
      </c>
      <c r="D214" s="67">
        <v>690078.95000000019</v>
      </c>
      <c r="E214" s="102"/>
      <c r="F214" s="104">
        <v>3.2500000000000001E-2</v>
      </c>
      <c r="G214" s="102">
        <f t="shared" si="33"/>
        <v>-4985.8</v>
      </c>
      <c r="H214" s="102">
        <f t="shared" si="31"/>
        <v>685093.15000000014</v>
      </c>
      <c r="I214" s="102">
        <f t="shared" si="32"/>
        <v>-1500858.007668602</v>
      </c>
      <c r="J214" s="67"/>
      <c r="K214" s="67"/>
      <c r="L214" s="67"/>
      <c r="M214" s="67"/>
      <c r="N214" s="67"/>
      <c r="O214" s="67"/>
    </row>
    <row r="215" spans="1:15" hidden="1" outlineLevel="1" x14ac:dyDescent="0.25">
      <c r="A215" s="71">
        <f t="shared" si="30"/>
        <v>208</v>
      </c>
      <c r="B215" s="82">
        <v>44621</v>
      </c>
      <c r="D215" s="67">
        <v>586374.29</v>
      </c>
      <c r="E215" s="102"/>
      <c r="F215" s="104">
        <v>3.2500000000000001E-2</v>
      </c>
      <c r="G215" s="102">
        <f t="shared" si="33"/>
        <v>-3270.78</v>
      </c>
      <c r="H215" s="102">
        <f t="shared" si="31"/>
        <v>583103.51</v>
      </c>
      <c r="I215" s="102">
        <f t="shared" si="32"/>
        <v>-917754.49766860204</v>
      </c>
      <c r="J215" s="67"/>
      <c r="K215" s="67"/>
      <c r="L215" s="67"/>
      <c r="M215" s="67"/>
      <c r="N215" s="67"/>
      <c r="O215" s="67"/>
    </row>
    <row r="216" spans="1:15" hidden="1" outlineLevel="1" x14ac:dyDescent="0.25">
      <c r="A216" s="71">
        <f t="shared" si="30"/>
        <v>209</v>
      </c>
      <c r="B216" s="82">
        <v>44652</v>
      </c>
      <c r="D216" s="67">
        <v>436442.04000000004</v>
      </c>
      <c r="E216" s="102"/>
      <c r="F216" s="104">
        <v>3.2500000000000001E-2</v>
      </c>
      <c r="G216" s="102">
        <f t="shared" si="33"/>
        <v>-1894.57</v>
      </c>
      <c r="H216" s="102">
        <f t="shared" si="31"/>
        <v>434547.47000000003</v>
      </c>
      <c r="I216" s="102">
        <f t="shared" si="32"/>
        <v>-483207.02766860201</v>
      </c>
      <c r="J216" s="67"/>
      <c r="K216" s="67"/>
      <c r="L216" s="67"/>
      <c r="M216" s="67"/>
      <c r="N216" s="67"/>
      <c r="O216" s="67"/>
    </row>
    <row r="217" spans="1:15" hidden="1" outlineLevel="1" x14ac:dyDescent="0.25">
      <c r="A217" s="71">
        <f t="shared" si="30"/>
        <v>210</v>
      </c>
      <c r="B217" s="82">
        <v>44682</v>
      </c>
      <c r="D217" s="67">
        <f>'[37]WA AMORT'!$AB$135</f>
        <v>379874.56999999995</v>
      </c>
      <c r="E217" s="102"/>
      <c r="F217" s="104">
        <v>3.2500000000000001E-2</v>
      </c>
      <c r="G217" s="102">
        <f t="shared" si="33"/>
        <v>-794.27</v>
      </c>
      <c r="H217" s="102">
        <f t="shared" si="31"/>
        <v>379080.29999999993</v>
      </c>
      <c r="I217" s="102">
        <f t="shared" si="32"/>
        <v>-104126.72766860208</v>
      </c>
      <c r="J217" s="67"/>
      <c r="K217" s="67"/>
      <c r="L217" s="67"/>
      <c r="M217" s="67"/>
      <c r="N217" s="67"/>
      <c r="O217" s="67"/>
    </row>
    <row r="218" spans="1:15" hidden="1" outlineLevel="1" x14ac:dyDescent="0.25">
      <c r="A218" s="71">
        <f t="shared" si="30"/>
        <v>211</v>
      </c>
      <c r="B218" s="82">
        <v>44713</v>
      </c>
      <c r="D218" s="67">
        <v>229722.91999999995</v>
      </c>
      <c r="E218" s="102"/>
      <c r="F218" s="104">
        <v>3.2500000000000001E-2</v>
      </c>
      <c r="G218" s="102">
        <f t="shared" si="33"/>
        <v>29.07</v>
      </c>
      <c r="H218" s="102">
        <f t="shared" si="31"/>
        <v>229751.98999999996</v>
      </c>
      <c r="I218" s="102">
        <f t="shared" si="32"/>
        <v>125625.26233139788</v>
      </c>
      <c r="J218" s="67"/>
      <c r="K218" s="67"/>
      <c r="L218" s="67"/>
      <c r="M218" s="67"/>
      <c r="N218" s="67"/>
      <c r="O218" s="67"/>
    </row>
    <row r="219" spans="1:15" hidden="1" outlineLevel="1" x14ac:dyDescent="0.25">
      <c r="A219" s="71">
        <f t="shared" si="30"/>
        <v>212</v>
      </c>
      <c r="B219" s="82">
        <v>44743</v>
      </c>
      <c r="D219" s="67">
        <v>149496.09999999998</v>
      </c>
      <c r="E219" s="102"/>
      <c r="F219" s="104">
        <v>3.5999999999999997E-2</v>
      </c>
      <c r="G219" s="102">
        <f t="shared" si="33"/>
        <v>601.12</v>
      </c>
      <c r="H219" s="102">
        <f t="shared" si="31"/>
        <v>150097.21999999997</v>
      </c>
      <c r="I219" s="102">
        <f t="shared" si="32"/>
        <v>275722.48233139783</v>
      </c>
      <c r="J219" s="67"/>
      <c r="K219" s="67"/>
      <c r="L219" s="67"/>
      <c r="M219" s="67"/>
      <c r="N219" s="67"/>
      <c r="O219" s="67"/>
    </row>
    <row r="220" spans="1:15" hidden="1" outlineLevel="1" x14ac:dyDescent="0.25">
      <c r="A220" s="71">
        <f t="shared" si="30"/>
        <v>213</v>
      </c>
      <c r="B220" s="82">
        <v>44774</v>
      </c>
      <c r="D220" s="67">
        <v>112037.06000000001</v>
      </c>
      <c r="E220" s="102"/>
      <c r="F220" s="104">
        <v>3.5999999999999997E-2</v>
      </c>
      <c r="G220" s="102">
        <f t="shared" si="33"/>
        <v>995.22</v>
      </c>
      <c r="H220" s="102">
        <f t="shared" si="31"/>
        <v>113032.28000000001</v>
      </c>
      <c r="I220" s="102">
        <f t="shared" si="32"/>
        <v>388754.76233139785</v>
      </c>
      <c r="J220" s="67"/>
      <c r="K220" s="67"/>
      <c r="L220" s="67"/>
      <c r="M220" s="67"/>
      <c r="N220" s="67"/>
      <c r="O220" s="67"/>
    </row>
    <row r="221" spans="1:15" hidden="1" outlineLevel="1" x14ac:dyDescent="0.25">
      <c r="A221" s="71">
        <f t="shared" si="30"/>
        <v>214</v>
      </c>
      <c r="B221" s="82">
        <v>44805</v>
      </c>
      <c r="D221" s="67">
        <v>122266.04000000001</v>
      </c>
      <c r="E221" s="102"/>
      <c r="F221" s="104">
        <v>3.5999999999999997E-2</v>
      </c>
      <c r="G221" s="102">
        <f t="shared" si="33"/>
        <v>1349.66</v>
      </c>
      <c r="H221" s="102">
        <f t="shared" si="31"/>
        <v>123615.70000000001</v>
      </c>
      <c r="I221" s="102">
        <f t="shared" si="32"/>
        <v>512370.46233139787</v>
      </c>
      <c r="J221" s="67"/>
      <c r="K221" s="67"/>
      <c r="L221" s="67"/>
      <c r="M221" s="67"/>
      <c r="N221" s="67"/>
      <c r="O221" s="67"/>
    </row>
    <row r="222" spans="1:15" hidden="1" outlineLevel="1" x14ac:dyDescent="0.25">
      <c r="A222" s="71">
        <f t="shared" si="30"/>
        <v>215</v>
      </c>
      <c r="B222" s="82">
        <v>44835</v>
      </c>
      <c r="D222" s="67">
        <v>138185.71999999997</v>
      </c>
      <c r="E222" s="102"/>
      <c r="F222" s="104">
        <v>4.9099999999999998E-2</v>
      </c>
      <c r="G222" s="102">
        <f t="shared" si="33"/>
        <v>2379.15</v>
      </c>
      <c r="H222" s="102">
        <f t="shared" si="31"/>
        <v>140564.86999999997</v>
      </c>
      <c r="I222" s="102">
        <f t="shared" si="32"/>
        <v>652935.3323313978</v>
      </c>
      <c r="J222" s="67"/>
      <c r="K222" s="67"/>
      <c r="L222" s="67"/>
      <c r="M222" s="67"/>
      <c r="N222" s="67"/>
      <c r="O222" s="67"/>
    </row>
    <row r="223" spans="1:15" hidden="1" outlineLevel="1" x14ac:dyDescent="0.25">
      <c r="A223" s="71">
        <f t="shared" si="30"/>
        <v>216</v>
      </c>
      <c r="B223" s="82">
        <v>44866</v>
      </c>
      <c r="C223" s="66" t="s">
        <v>348</v>
      </c>
      <c r="D223" s="67">
        <v>184689.65999999997</v>
      </c>
      <c r="E223" s="102"/>
      <c r="F223" s="104">
        <v>4.9099999999999998E-2</v>
      </c>
      <c r="G223" s="102">
        <f t="shared" si="33"/>
        <v>3049.44</v>
      </c>
      <c r="H223" s="102">
        <f t="shared" si="31"/>
        <v>187739.09999999998</v>
      </c>
      <c r="I223" s="102">
        <f t="shared" si="32"/>
        <v>840674.43233139778</v>
      </c>
      <c r="J223" s="67"/>
      <c r="K223" s="67"/>
      <c r="L223" s="67"/>
      <c r="M223" s="67"/>
      <c r="N223" s="67"/>
      <c r="O223" s="67"/>
    </row>
    <row r="224" spans="1:15" hidden="1" outlineLevel="1" collapsed="1" x14ac:dyDescent="0.25">
      <c r="A224" s="71">
        <f t="shared" si="30"/>
        <v>217</v>
      </c>
      <c r="B224" s="82">
        <v>44866</v>
      </c>
      <c r="C224" s="66" t="s">
        <v>115</v>
      </c>
      <c r="D224" s="67">
        <v>29619.11</v>
      </c>
      <c r="E224" s="102">
        <v>19242.59</v>
      </c>
      <c r="F224" s="104">
        <v>4.9099999999999998E-2</v>
      </c>
      <c r="G224" s="102">
        <f>ROUND((+E224+(D224/2))*F224/12,2)</f>
        <v>139.33000000000001</v>
      </c>
      <c r="H224" s="102">
        <f t="shared" si="31"/>
        <v>49001.03</v>
      </c>
      <c r="I224" s="102">
        <f t="shared" si="32"/>
        <v>889675.46233139781</v>
      </c>
      <c r="J224" s="67"/>
      <c r="K224" s="67"/>
      <c r="L224" s="67"/>
      <c r="M224" s="67"/>
      <c r="N224" s="67"/>
      <c r="O224" s="67"/>
    </row>
    <row r="225" spans="1:15" hidden="1" outlineLevel="1" x14ac:dyDescent="0.25">
      <c r="A225" s="71">
        <f t="shared" si="30"/>
        <v>218</v>
      </c>
      <c r="B225" s="82">
        <v>44896</v>
      </c>
      <c r="D225" s="67">
        <v>108030.43000000001</v>
      </c>
      <c r="E225" s="102"/>
      <c r="F225" s="104">
        <v>4.9099999999999998E-2</v>
      </c>
      <c r="G225" s="102">
        <f t="shared" ref="G225:G236" si="34">ROUND((+I224+E225+(D225/2))*F225/12,2)</f>
        <v>3861.27</v>
      </c>
      <c r="H225" s="102">
        <f t="shared" si="31"/>
        <v>111891.70000000001</v>
      </c>
      <c r="I225" s="102">
        <f t="shared" si="32"/>
        <v>1001567.1623313979</v>
      </c>
      <c r="J225" s="67"/>
      <c r="K225" s="67"/>
      <c r="L225" s="67"/>
      <c r="M225" s="67"/>
      <c r="N225" s="67"/>
      <c r="O225" s="67"/>
    </row>
    <row r="226" spans="1:15" hidden="1" outlineLevel="1" x14ac:dyDescent="0.25">
      <c r="A226" s="71">
        <f t="shared" si="30"/>
        <v>219</v>
      </c>
      <c r="B226" s="82">
        <v>44927</v>
      </c>
      <c r="D226" s="67">
        <v>110015.07999999999</v>
      </c>
      <c r="E226" s="102">
        <v>-2827158.73</v>
      </c>
      <c r="F226" s="104">
        <v>6.3100000000000003E-2</v>
      </c>
      <c r="G226" s="102">
        <f t="shared" si="34"/>
        <v>-9310.32</v>
      </c>
      <c r="H226" s="102">
        <f t="shared" si="31"/>
        <v>-2726453.9699999997</v>
      </c>
      <c r="I226" s="102">
        <f t="shared" si="32"/>
        <v>-1724886.8076686019</v>
      </c>
      <c r="J226" s="67"/>
      <c r="K226" s="67"/>
      <c r="L226" s="67"/>
      <c r="M226" s="67"/>
      <c r="N226" s="67"/>
      <c r="O226" s="67"/>
    </row>
    <row r="227" spans="1:15" hidden="1" outlineLevel="1" x14ac:dyDescent="0.25">
      <c r="A227" s="71">
        <f t="shared" si="30"/>
        <v>220</v>
      </c>
      <c r="B227" s="82">
        <v>44958</v>
      </c>
      <c r="D227" s="67">
        <v>96238.750000000015</v>
      </c>
      <c r="E227" s="102"/>
      <c r="F227" s="104">
        <v>6.3100000000000003E-2</v>
      </c>
      <c r="G227" s="102">
        <f t="shared" si="34"/>
        <v>-8817</v>
      </c>
      <c r="H227" s="102">
        <f t="shared" si="31"/>
        <v>87421.750000000015</v>
      </c>
      <c r="I227" s="102">
        <f t="shared" si="32"/>
        <v>-1637465.0576686019</v>
      </c>
      <c r="J227" s="67"/>
      <c r="K227" s="67"/>
      <c r="L227" s="67"/>
      <c r="M227" s="67"/>
      <c r="N227" s="67"/>
      <c r="O227" s="67"/>
    </row>
    <row r="228" spans="1:15" hidden="1" outlineLevel="1" x14ac:dyDescent="0.25">
      <c r="A228" s="71">
        <f t="shared" si="30"/>
        <v>221</v>
      </c>
      <c r="B228" s="82">
        <v>44986</v>
      </c>
      <c r="D228" s="67">
        <v>96471.849999999991</v>
      </c>
      <c r="E228" s="102"/>
      <c r="F228" s="104">
        <v>6.3100000000000003E-2</v>
      </c>
      <c r="G228" s="102">
        <f t="shared" si="34"/>
        <v>-8356.7000000000007</v>
      </c>
      <c r="H228" s="102">
        <f t="shared" si="31"/>
        <v>88115.15</v>
      </c>
      <c r="I228" s="102">
        <f t="shared" si="32"/>
        <v>-1549349.907668602</v>
      </c>
      <c r="J228" s="67"/>
      <c r="K228" s="67"/>
      <c r="L228" s="67"/>
      <c r="M228" s="67"/>
      <c r="N228" s="67"/>
      <c r="O228" s="67"/>
    </row>
    <row r="229" spans="1:15" hidden="1" outlineLevel="1" x14ac:dyDescent="0.25">
      <c r="A229" s="71">
        <f t="shared" si="30"/>
        <v>222</v>
      </c>
      <c r="B229" s="82">
        <v>45017</v>
      </c>
      <c r="D229" s="67">
        <v>70821.81</v>
      </c>
      <c r="E229" s="102"/>
      <c r="F229" s="104">
        <v>7.4999999999999997E-2</v>
      </c>
      <c r="G229" s="102">
        <f t="shared" si="34"/>
        <v>-9462.1200000000008</v>
      </c>
      <c r="H229" s="102">
        <f t="shared" si="31"/>
        <v>61359.689999999995</v>
      </c>
      <c r="I229" s="102">
        <f t="shared" si="32"/>
        <v>-1487990.217668602</v>
      </c>
      <c r="J229" s="67"/>
      <c r="K229" s="67"/>
      <c r="L229" s="67"/>
      <c r="M229" s="67"/>
      <c r="N229" s="67"/>
      <c r="O229" s="67"/>
    </row>
    <row r="230" spans="1:15" hidden="1" outlineLevel="1" x14ac:dyDescent="0.25">
      <c r="A230" s="71">
        <f t="shared" si="30"/>
        <v>223</v>
      </c>
      <c r="B230" s="82">
        <v>45047</v>
      </c>
      <c r="D230" s="67">
        <v>40314.680000000008</v>
      </c>
      <c r="E230" s="102"/>
      <c r="F230" s="104">
        <v>7.4999999999999997E-2</v>
      </c>
      <c r="G230" s="102">
        <f t="shared" si="34"/>
        <v>-9173.9599999999991</v>
      </c>
      <c r="H230" s="102">
        <f t="shared" si="31"/>
        <v>31140.720000000008</v>
      </c>
      <c r="I230" s="102">
        <f t="shared" si="32"/>
        <v>-1456849.497668602</v>
      </c>
      <c r="J230" s="67"/>
      <c r="K230" s="67"/>
      <c r="L230" s="67"/>
      <c r="M230" s="67"/>
      <c r="N230" s="67"/>
      <c r="O230" s="67"/>
    </row>
    <row r="231" spans="1:15" hidden="1" outlineLevel="1" x14ac:dyDescent="0.25">
      <c r="A231" s="71">
        <f t="shared" si="30"/>
        <v>224</v>
      </c>
      <c r="B231" s="82">
        <v>45078</v>
      </c>
      <c r="D231" s="67">
        <v>23206.399999999998</v>
      </c>
      <c r="E231" s="102"/>
      <c r="F231" s="104">
        <v>7.4999999999999997E-2</v>
      </c>
      <c r="G231" s="102">
        <f t="shared" si="34"/>
        <v>-9032.7900000000009</v>
      </c>
      <c r="H231" s="102">
        <f t="shared" si="31"/>
        <v>14173.609999999997</v>
      </c>
      <c r="I231" s="102">
        <f t="shared" si="32"/>
        <v>-1442675.8876686019</v>
      </c>
      <c r="J231" s="67"/>
      <c r="K231" s="67"/>
      <c r="L231" s="67"/>
      <c r="M231" s="67"/>
      <c r="N231" s="67"/>
      <c r="O231" s="67"/>
    </row>
    <row r="232" spans="1:15" hidden="1" outlineLevel="1" x14ac:dyDescent="0.25">
      <c r="A232" s="71">
        <f t="shared" si="30"/>
        <v>225</v>
      </c>
      <c r="B232" s="82">
        <v>45108</v>
      </c>
      <c r="D232" s="67">
        <f>'[38]WA AMORT'!$AB$135</f>
        <v>18863.93</v>
      </c>
      <c r="E232" s="102"/>
      <c r="F232" s="104">
        <v>8.0199999999999994E-2</v>
      </c>
      <c r="G232" s="102">
        <f t="shared" si="34"/>
        <v>-9578.85</v>
      </c>
      <c r="H232" s="102">
        <f t="shared" si="31"/>
        <v>9285.08</v>
      </c>
      <c r="I232" s="102">
        <f t="shared" si="32"/>
        <v>-1433390.8076686019</v>
      </c>
      <c r="J232" s="67"/>
      <c r="K232" s="67"/>
      <c r="L232" s="67"/>
      <c r="M232" s="67"/>
      <c r="N232" s="67"/>
      <c r="O232" s="67"/>
    </row>
    <row r="233" spans="1:15" hidden="1" outlineLevel="1" x14ac:dyDescent="0.25">
      <c r="A233" s="71">
        <f t="shared" si="30"/>
        <v>226</v>
      </c>
      <c r="B233" s="82">
        <v>45139</v>
      </c>
      <c r="D233" s="67">
        <v>16150.259999999998</v>
      </c>
      <c r="E233" s="102"/>
      <c r="F233" s="104">
        <v>8.0199999999999994E-2</v>
      </c>
      <c r="G233" s="102">
        <f t="shared" si="34"/>
        <v>-9525.86</v>
      </c>
      <c r="H233" s="102">
        <f t="shared" si="31"/>
        <v>6624.3999999999978</v>
      </c>
      <c r="I233" s="102">
        <f t="shared" si="32"/>
        <v>-1426766.407668602</v>
      </c>
      <c r="J233" s="67"/>
      <c r="K233" s="67"/>
      <c r="L233" s="67"/>
      <c r="M233" s="67"/>
      <c r="N233" s="67"/>
      <c r="O233" s="67"/>
    </row>
    <row r="234" spans="1:15" hidden="1" outlineLevel="1" x14ac:dyDescent="0.25">
      <c r="A234" s="71">
        <f t="shared" si="30"/>
        <v>227</v>
      </c>
      <c r="B234" s="82">
        <v>45170</v>
      </c>
      <c r="C234" s="119"/>
      <c r="D234" s="67">
        <v>17195.919999999998</v>
      </c>
      <c r="E234" s="102"/>
      <c r="F234" s="104">
        <v>8.0199999999999994E-2</v>
      </c>
      <c r="G234" s="102">
        <f t="shared" si="34"/>
        <v>-9478.09</v>
      </c>
      <c r="H234" s="102">
        <f t="shared" si="31"/>
        <v>7717.8299999999981</v>
      </c>
      <c r="I234" s="102">
        <f t="shared" si="32"/>
        <v>-1419048.5776686019</v>
      </c>
      <c r="J234" s="67"/>
      <c r="K234" s="67"/>
      <c r="L234" s="67"/>
      <c r="M234" s="67"/>
      <c r="N234" s="67"/>
      <c r="O234" s="67"/>
    </row>
    <row r="235" spans="1:15" hidden="1" outlineLevel="1" x14ac:dyDescent="0.25">
      <c r="A235" s="71">
        <f t="shared" si="30"/>
        <v>228</v>
      </c>
      <c r="B235" s="82">
        <v>45200</v>
      </c>
      <c r="C235" s="119"/>
      <c r="D235" s="67">
        <v>22603.239999999998</v>
      </c>
      <c r="F235" s="104">
        <v>8.3500000000000005E-2</v>
      </c>
      <c r="G235" s="102">
        <f t="shared" si="34"/>
        <v>-9795.57</v>
      </c>
      <c r="H235" s="102">
        <f t="shared" si="31"/>
        <v>12807.669999999998</v>
      </c>
      <c r="I235" s="102">
        <f t="shared" si="32"/>
        <v>-1406240.907668602</v>
      </c>
      <c r="J235" s="67"/>
      <c r="K235" s="67"/>
      <c r="L235" s="67"/>
      <c r="M235" s="67"/>
      <c r="N235" s="67"/>
      <c r="O235" s="67"/>
    </row>
    <row r="236" spans="1:15" hidden="1" outlineLevel="1" x14ac:dyDescent="0.25">
      <c r="A236" s="71">
        <f t="shared" si="30"/>
        <v>229</v>
      </c>
      <c r="B236" s="82">
        <v>45231</v>
      </c>
      <c r="C236" s="66" t="s">
        <v>348</v>
      </c>
      <c r="D236" s="67">
        <v>29434.399999999994</v>
      </c>
      <c r="F236" s="104">
        <v>8.3500000000000005E-2</v>
      </c>
      <c r="G236" s="102">
        <f t="shared" si="34"/>
        <v>-9682.69</v>
      </c>
      <c r="H236" s="102">
        <f t="shared" si="31"/>
        <v>19751.709999999992</v>
      </c>
      <c r="I236" s="102">
        <f t="shared" si="32"/>
        <v>-1386489.197668602</v>
      </c>
      <c r="J236" s="67"/>
      <c r="K236" s="67"/>
      <c r="L236" s="67"/>
      <c r="M236" s="67"/>
      <c r="N236" s="67"/>
      <c r="O236" s="67"/>
    </row>
    <row r="237" spans="1:15" hidden="1" outlineLevel="1" collapsed="1" x14ac:dyDescent="0.25">
      <c r="A237" s="71">
        <f t="shared" si="30"/>
        <v>230</v>
      </c>
      <c r="B237" s="82">
        <v>45231</v>
      </c>
      <c r="C237" s="66" t="s">
        <v>349</v>
      </c>
      <c r="D237" s="67">
        <v>116957.99</v>
      </c>
      <c r="E237" s="67">
        <v>-588106.6978309477</v>
      </c>
      <c r="F237" s="104">
        <v>8.3500000000000005E-2</v>
      </c>
      <c r="G237" s="102">
        <f>ROUND((+E237+(D237/2))*F237/12,2)</f>
        <v>-3685.33</v>
      </c>
      <c r="H237" s="102">
        <f t="shared" si="31"/>
        <v>-474834.03783094772</v>
      </c>
      <c r="I237" s="102">
        <f t="shared" si="32"/>
        <v>-1861323.2354995497</v>
      </c>
      <c r="J237" s="67"/>
      <c r="K237" s="67"/>
      <c r="L237" s="67"/>
      <c r="M237" s="67"/>
      <c r="N237" s="67"/>
      <c r="O237" s="67"/>
    </row>
    <row r="238" spans="1:15" hidden="1" outlineLevel="1" x14ac:dyDescent="0.25">
      <c r="A238" s="71">
        <f t="shared" si="30"/>
        <v>231</v>
      </c>
      <c r="B238" s="82">
        <v>45261</v>
      </c>
      <c r="C238" s="119"/>
      <c r="D238" s="67">
        <v>498613.23999999987</v>
      </c>
      <c r="F238" s="104">
        <v>8.3500000000000005E-2</v>
      </c>
      <c r="G238" s="102">
        <f t="shared" ref="G238:G249" si="35">ROUND((+I237+E238+(D238/2))*F238/12,2)</f>
        <v>-11216.95</v>
      </c>
      <c r="H238" s="102">
        <f t="shared" si="31"/>
        <v>487396.28999999986</v>
      </c>
      <c r="I238" s="102">
        <f t="shared" si="32"/>
        <v>-1373926.9454995499</v>
      </c>
      <c r="J238" s="67"/>
      <c r="K238" s="67"/>
      <c r="L238" s="67"/>
      <c r="M238" s="67"/>
      <c r="N238" s="67"/>
      <c r="O238" s="67"/>
    </row>
    <row r="239" spans="1:15" hidden="1" outlineLevel="1" x14ac:dyDescent="0.25">
      <c r="A239" s="71">
        <f t="shared" si="30"/>
        <v>232</v>
      </c>
      <c r="B239" s="82">
        <v>45292</v>
      </c>
      <c r="C239" s="81" t="s">
        <v>363</v>
      </c>
      <c r="D239" s="67">
        <v>616608.37</v>
      </c>
      <c r="E239" s="67">
        <v>-2414845.64</v>
      </c>
      <c r="F239" s="104">
        <v>8.5000000000000006E-2</v>
      </c>
      <c r="G239" s="102">
        <f t="shared" si="35"/>
        <v>-24653.32</v>
      </c>
      <c r="H239" s="102">
        <f t="shared" ref="H239:H261" si="36">D239+E239+G239</f>
        <v>-1822890.59</v>
      </c>
      <c r="I239" s="102">
        <f t="shared" ref="I239:I261" si="37">I238+H239</f>
        <v>-3196817.5354995499</v>
      </c>
      <c r="J239" s="67"/>
      <c r="K239" s="67"/>
      <c r="L239" s="67"/>
      <c r="M239" s="67"/>
      <c r="N239" s="67"/>
      <c r="O239" s="67"/>
    </row>
    <row r="240" spans="1:15" hidden="1" outlineLevel="1" x14ac:dyDescent="0.25">
      <c r="A240" s="71">
        <f t="shared" si="30"/>
        <v>233</v>
      </c>
      <c r="B240" s="82">
        <v>45323</v>
      </c>
      <c r="C240" s="119"/>
      <c r="D240" s="67">
        <v>543926.04</v>
      </c>
      <c r="F240" s="104">
        <v>8.5000000000000006E-2</v>
      </c>
      <c r="G240" s="102">
        <f t="shared" si="35"/>
        <v>-20717.72</v>
      </c>
      <c r="H240" s="102">
        <f t="shared" si="36"/>
        <v>523208.32000000007</v>
      </c>
      <c r="I240" s="102">
        <f t="shared" si="37"/>
        <v>-2673609.2154995501</v>
      </c>
      <c r="J240" s="67"/>
      <c r="K240" s="67"/>
      <c r="L240" s="67"/>
      <c r="M240" s="67"/>
      <c r="N240" s="67"/>
      <c r="O240" s="67"/>
    </row>
    <row r="241" spans="1:15" hidden="1" outlineLevel="1" x14ac:dyDescent="0.25">
      <c r="A241" s="71">
        <f t="shared" si="30"/>
        <v>234</v>
      </c>
      <c r="B241" s="82">
        <v>45352</v>
      </c>
      <c r="C241" s="119"/>
      <c r="D241" s="67">
        <v>464573.98999999993</v>
      </c>
      <c r="F241" s="104">
        <v>8.5000000000000006E-2</v>
      </c>
      <c r="G241" s="102">
        <f t="shared" si="35"/>
        <v>-17292.7</v>
      </c>
      <c r="H241" s="102">
        <f t="shared" si="36"/>
        <v>447281.28999999992</v>
      </c>
      <c r="I241" s="102">
        <f t="shared" si="37"/>
        <v>-2226327.9254995501</v>
      </c>
      <c r="J241" s="67"/>
      <c r="K241" s="67"/>
      <c r="L241" s="67"/>
      <c r="M241" s="67"/>
      <c r="N241" s="67"/>
      <c r="O241" s="67"/>
    </row>
    <row r="242" spans="1:15" hidden="1" outlineLevel="1" x14ac:dyDescent="0.25">
      <c r="A242" s="71">
        <f t="shared" si="30"/>
        <v>235</v>
      </c>
      <c r="B242" s="82">
        <v>45383</v>
      </c>
      <c r="C242" s="119"/>
      <c r="D242" s="67">
        <v>308897.63</v>
      </c>
      <c r="F242" s="104">
        <v>8.5000000000000006E-2</v>
      </c>
      <c r="G242" s="102">
        <f t="shared" si="35"/>
        <v>-14675.81</v>
      </c>
      <c r="H242" s="102">
        <f t="shared" si="36"/>
        <v>294221.82</v>
      </c>
      <c r="I242" s="102">
        <f t="shared" si="37"/>
        <v>-1932106.10549955</v>
      </c>
      <c r="J242" s="67"/>
      <c r="K242" s="67"/>
      <c r="L242" s="67"/>
      <c r="M242" s="67"/>
      <c r="N242" s="67"/>
      <c r="O242" s="67"/>
    </row>
    <row r="243" spans="1:15" hidden="1" outlineLevel="1" x14ac:dyDescent="0.25">
      <c r="A243" s="71">
        <f t="shared" si="30"/>
        <v>236</v>
      </c>
      <c r="B243" s="82">
        <v>45413</v>
      </c>
      <c r="C243" s="119"/>
      <c r="D243" s="67">
        <v>239373.15000000002</v>
      </c>
      <c r="F243" s="104">
        <v>8.5000000000000006E-2</v>
      </c>
      <c r="G243" s="102">
        <f t="shared" si="35"/>
        <v>-12837.97</v>
      </c>
      <c r="H243" s="102">
        <f t="shared" si="36"/>
        <v>226535.18000000002</v>
      </c>
      <c r="I243" s="102">
        <f t="shared" si="37"/>
        <v>-1705570.9254995501</v>
      </c>
      <c r="J243" s="67"/>
      <c r="K243" s="67"/>
      <c r="L243" s="67"/>
      <c r="M243" s="67"/>
      <c r="N243" s="67"/>
      <c r="O243" s="67"/>
    </row>
    <row r="244" spans="1:15" hidden="1" outlineLevel="1" x14ac:dyDescent="0.25">
      <c r="A244" s="71">
        <f t="shared" si="30"/>
        <v>237</v>
      </c>
      <c r="B244" s="82">
        <v>45444</v>
      </c>
      <c r="C244" s="119"/>
      <c r="D244" s="67">
        <v>164987.41999999998</v>
      </c>
      <c r="F244" s="104">
        <v>8.5000000000000006E-2</v>
      </c>
      <c r="G244" s="102">
        <f t="shared" si="35"/>
        <v>-11496.8</v>
      </c>
      <c r="H244" s="102">
        <f t="shared" si="36"/>
        <v>153490.62</v>
      </c>
      <c r="I244" s="102">
        <f t="shared" si="37"/>
        <v>-1552080.30549955</v>
      </c>
      <c r="J244" s="67"/>
      <c r="K244" s="67"/>
      <c r="L244" s="67"/>
      <c r="M244" s="67"/>
      <c r="N244" s="67"/>
      <c r="O244" s="67"/>
    </row>
    <row r="245" spans="1:15" hidden="1" outlineLevel="1" x14ac:dyDescent="0.25">
      <c r="A245" s="71">
        <f t="shared" si="30"/>
        <v>238</v>
      </c>
      <c r="B245" s="82">
        <v>45474</v>
      </c>
      <c r="C245" s="119"/>
      <c r="D245" s="67">
        <v>111207.68999999999</v>
      </c>
      <c r="F245" s="104">
        <v>8.5000000000000006E-2</v>
      </c>
      <c r="G245" s="102">
        <f t="shared" si="35"/>
        <v>-10600.04</v>
      </c>
      <c r="H245" s="102">
        <f t="shared" si="36"/>
        <v>100607.65</v>
      </c>
      <c r="I245" s="102">
        <f t="shared" si="37"/>
        <v>-1451472.65549955</v>
      </c>
      <c r="J245" s="67"/>
      <c r="K245" s="67"/>
      <c r="L245" s="67"/>
      <c r="M245" s="67"/>
      <c r="N245" s="67"/>
      <c r="O245" s="67"/>
    </row>
    <row r="246" spans="1:15" hidden="1" outlineLevel="1" x14ac:dyDescent="0.25">
      <c r="A246" s="71">
        <f t="shared" si="30"/>
        <v>239</v>
      </c>
      <c r="B246" s="82">
        <v>45505</v>
      </c>
      <c r="C246" s="119"/>
      <c r="D246" s="67">
        <v>95834.880000000019</v>
      </c>
      <c r="F246" s="104">
        <v>8.5000000000000006E-2</v>
      </c>
      <c r="G246" s="102">
        <f t="shared" si="35"/>
        <v>-9941.85</v>
      </c>
      <c r="H246" s="102">
        <f t="shared" si="36"/>
        <v>85893.030000000013</v>
      </c>
      <c r="I246" s="102">
        <f t="shared" si="37"/>
        <v>-1365579.62549955</v>
      </c>
      <c r="J246" s="67"/>
      <c r="K246" s="67"/>
      <c r="L246" s="67"/>
      <c r="M246" s="67"/>
      <c r="N246" s="67"/>
      <c r="O246" s="67"/>
    </row>
    <row r="247" spans="1:15" hidden="1" outlineLevel="1" x14ac:dyDescent="0.25">
      <c r="A247" s="71">
        <f t="shared" si="30"/>
        <v>240</v>
      </c>
      <c r="B247" s="82">
        <v>45536</v>
      </c>
      <c r="C247" s="119"/>
      <c r="D247" s="118">
        <v>104597.68999999997</v>
      </c>
      <c r="F247" s="104">
        <v>8.5000000000000006E-2</v>
      </c>
      <c r="G247" s="102">
        <f t="shared" si="35"/>
        <v>-9302.41</v>
      </c>
      <c r="H247" s="102">
        <f t="shared" si="36"/>
        <v>95295.27999999997</v>
      </c>
      <c r="I247" s="102">
        <f t="shared" si="37"/>
        <v>-1270284.34549955</v>
      </c>
      <c r="J247" s="67"/>
      <c r="K247" s="67"/>
      <c r="L247" s="67"/>
      <c r="M247" s="67"/>
      <c r="N247" s="67"/>
      <c r="O247" s="67"/>
    </row>
    <row r="248" spans="1:15" hidden="1" outlineLevel="1" x14ac:dyDescent="0.25">
      <c r="A248" s="71">
        <f t="shared" si="30"/>
        <v>241</v>
      </c>
      <c r="B248" s="82">
        <v>45566</v>
      </c>
      <c r="C248" s="119"/>
      <c r="D248" s="118">
        <v>135051.67000000001</v>
      </c>
      <c r="F248" s="104">
        <v>8.5000000000000006E-2</v>
      </c>
      <c r="G248" s="102">
        <f t="shared" si="35"/>
        <v>-8519.5400000000009</v>
      </c>
      <c r="H248" s="102">
        <f t="shared" si="36"/>
        <v>126532.13</v>
      </c>
      <c r="I248" s="102">
        <f t="shared" si="37"/>
        <v>-1143752.2154995501</v>
      </c>
      <c r="J248" s="67"/>
      <c r="K248" s="67"/>
      <c r="L248" s="67"/>
      <c r="M248" s="67"/>
      <c r="N248" s="67"/>
      <c r="O248" s="67"/>
    </row>
    <row r="249" spans="1:15" hidden="1" outlineLevel="1" x14ac:dyDescent="0.25">
      <c r="A249" s="71">
        <f t="shared" si="30"/>
        <v>242</v>
      </c>
      <c r="B249" s="82">
        <v>45597</v>
      </c>
      <c r="C249" s="119" t="s">
        <v>348</v>
      </c>
      <c r="D249" s="118">
        <v>166144.12</v>
      </c>
      <c r="F249" s="104">
        <v>8.5000000000000006E-2</v>
      </c>
      <c r="G249" s="102">
        <f t="shared" si="35"/>
        <v>-7513.15</v>
      </c>
      <c r="H249" s="102">
        <f t="shared" si="36"/>
        <v>158630.97</v>
      </c>
      <c r="I249" s="102">
        <f t="shared" si="37"/>
        <v>-985121.24549955013</v>
      </c>
      <c r="J249" s="67"/>
      <c r="K249" s="67"/>
      <c r="L249" s="67"/>
      <c r="M249" s="67"/>
      <c r="N249" s="67"/>
      <c r="O249" s="67"/>
    </row>
    <row r="250" spans="1:15" collapsed="1" x14ac:dyDescent="0.25">
      <c r="A250" s="71">
        <f t="shared" si="30"/>
        <v>243</v>
      </c>
      <c r="B250" s="82">
        <v>45597</v>
      </c>
      <c r="C250" s="119" t="s">
        <v>115</v>
      </c>
      <c r="D250" s="118">
        <v>45022.700000000012</v>
      </c>
      <c r="E250" s="67">
        <v>760572.52364108933</v>
      </c>
      <c r="F250" s="104">
        <v>8.5000000000000006E-2</v>
      </c>
      <c r="G250" s="102">
        <f>ROUND((+E250+(D250/2))*F250/12,2)</f>
        <v>5546.84</v>
      </c>
      <c r="H250" s="102">
        <f t="shared" si="36"/>
        <v>811142.06364108936</v>
      </c>
      <c r="I250" s="102">
        <f t="shared" si="37"/>
        <v>-173979.18185846077</v>
      </c>
      <c r="J250" s="67"/>
      <c r="K250" s="67"/>
      <c r="L250" s="67"/>
      <c r="M250" s="67"/>
      <c r="N250" s="67"/>
      <c r="O250" s="67"/>
    </row>
    <row r="251" spans="1:15" x14ac:dyDescent="0.25">
      <c r="A251" s="71">
        <f t="shared" si="30"/>
        <v>244</v>
      </c>
      <c r="B251" s="82">
        <v>45627</v>
      </c>
      <c r="C251" s="119"/>
      <c r="D251" s="67">
        <v>204038.81999999998</v>
      </c>
      <c r="F251" s="104">
        <v>8.5000000000000006E-2</v>
      </c>
      <c r="G251" s="102">
        <f t="shared" ref="G251:G261" si="38">ROUND((+I250+E251+(D251/2))*F251/12,2)</f>
        <v>-509.72</v>
      </c>
      <c r="H251" s="102">
        <f t="shared" si="36"/>
        <v>203529.09999999998</v>
      </c>
      <c r="I251" s="102">
        <f t="shared" si="37"/>
        <v>29549.918141539209</v>
      </c>
      <c r="J251" s="67"/>
      <c r="K251" s="67"/>
      <c r="L251" s="67"/>
      <c r="M251" s="67"/>
      <c r="N251" s="67"/>
      <c r="O251" s="67"/>
    </row>
    <row r="252" spans="1:15" x14ac:dyDescent="0.25">
      <c r="A252" s="71">
        <f t="shared" si="30"/>
        <v>245</v>
      </c>
      <c r="B252" s="82">
        <v>45658</v>
      </c>
      <c r="C252" s="119"/>
      <c r="D252" s="67">
        <v>220318.24</v>
      </c>
      <c r="E252" s="67">
        <v>-2028655.97</v>
      </c>
      <c r="F252" s="104">
        <v>8.0399999999999999E-2</v>
      </c>
      <c r="G252" s="102">
        <f t="shared" si="38"/>
        <v>-12655.94</v>
      </c>
      <c r="H252" s="102">
        <f t="shared" si="36"/>
        <v>-1820993.67</v>
      </c>
      <c r="I252" s="102">
        <f t="shared" si="37"/>
        <v>-1791443.7518584607</v>
      </c>
      <c r="J252" s="67"/>
      <c r="K252" s="67"/>
      <c r="L252" s="67"/>
      <c r="M252" s="67"/>
      <c r="N252" s="67"/>
      <c r="O252" s="67"/>
    </row>
    <row r="253" spans="1:15" x14ac:dyDescent="0.25">
      <c r="A253" s="71">
        <f t="shared" si="30"/>
        <v>246</v>
      </c>
      <c r="B253" s="82">
        <v>45689</v>
      </c>
      <c r="C253" s="119"/>
      <c r="D253" s="67">
        <v>242203.30000000002</v>
      </c>
      <c r="F253" s="104">
        <v>8.0399999999999999E-2</v>
      </c>
      <c r="G253" s="102">
        <f t="shared" si="38"/>
        <v>-11191.29</v>
      </c>
      <c r="H253" s="102">
        <f t="shared" si="36"/>
        <v>231012.01</v>
      </c>
      <c r="I253" s="102">
        <f t="shared" si="37"/>
        <v>-1560431.7418584607</v>
      </c>
      <c r="J253" s="67"/>
      <c r="K253" s="67"/>
      <c r="L253" s="67"/>
      <c r="M253" s="67"/>
      <c r="N253" s="67"/>
      <c r="O253" s="67"/>
    </row>
    <row r="254" spans="1:15" x14ac:dyDescent="0.25">
      <c r="A254" s="71">
        <f t="shared" si="30"/>
        <v>247</v>
      </c>
      <c r="B254" s="82">
        <v>45717</v>
      </c>
      <c r="C254" s="119"/>
      <c r="D254" s="67">
        <v>167478.98999999993</v>
      </c>
      <c r="F254" s="104">
        <v>8.0399999999999999E-2</v>
      </c>
      <c r="G254" s="102">
        <f t="shared" si="38"/>
        <v>-9893.84</v>
      </c>
      <c r="H254" s="102">
        <f t="shared" si="36"/>
        <v>157585.14999999994</v>
      </c>
      <c r="I254" s="102">
        <f t="shared" si="37"/>
        <v>-1402846.5918584608</v>
      </c>
      <c r="J254" s="67"/>
      <c r="K254" s="67"/>
      <c r="L254" s="67"/>
      <c r="M254" s="67"/>
      <c r="N254" s="67"/>
      <c r="O254" s="67"/>
    </row>
    <row r="255" spans="1:15" x14ac:dyDescent="0.25">
      <c r="A255" s="71">
        <f t="shared" si="30"/>
        <v>248</v>
      </c>
      <c r="B255" s="82">
        <v>45748</v>
      </c>
      <c r="C255" s="119"/>
      <c r="D255" s="67">
        <v>116448.01999999999</v>
      </c>
      <c r="F255" s="104">
        <v>7.5499999999999998E-2</v>
      </c>
      <c r="G255" s="102">
        <f t="shared" si="38"/>
        <v>-8459.92</v>
      </c>
      <c r="H255" s="102">
        <f t="shared" si="36"/>
        <v>107988.09999999999</v>
      </c>
      <c r="I255" s="102">
        <f t="shared" si="37"/>
        <v>-1294858.4918584607</v>
      </c>
      <c r="J255" s="67"/>
      <c r="K255" s="67"/>
      <c r="L255" s="67"/>
      <c r="M255" s="67"/>
      <c r="N255" s="67"/>
      <c r="O255" s="67"/>
    </row>
    <row r="256" spans="1:15" x14ac:dyDescent="0.25">
      <c r="A256" s="71">
        <f t="shared" si="30"/>
        <v>249</v>
      </c>
      <c r="B256" s="82">
        <v>45778</v>
      </c>
      <c r="C256" s="119"/>
      <c r="D256" s="67">
        <v>73235.08</v>
      </c>
      <c r="F256" s="104">
        <v>7.5499999999999998E-2</v>
      </c>
      <c r="G256" s="102">
        <f t="shared" si="38"/>
        <v>-7916.43</v>
      </c>
      <c r="H256" s="102">
        <f t="shared" si="36"/>
        <v>65318.65</v>
      </c>
      <c r="I256" s="102">
        <f t="shared" si="37"/>
        <v>-1229539.8418584608</v>
      </c>
      <c r="J256" s="67"/>
      <c r="K256" s="67"/>
      <c r="L256" s="67"/>
      <c r="M256" s="67"/>
      <c r="N256" s="67"/>
      <c r="O256" s="67"/>
    </row>
    <row r="257" spans="1:15" x14ac:dyDescent="0.25">
      <c r="A257" s="71">
        <f t="shared" si="30"/>
        <v>250</v>
      </c>
      <c r="B257" s="82">
        <v>45809</v>
      </c>
      <c r="C257" s="119"/>
      <c r="D257" s="67">
        <v>55865.780000000006</v>
      </c>
      <c r="F257" s="104">
        <v>7.5499999999999998E-2</v>
      </c>
      <c r="G257" s="102">
        <f t="shared" si="38"/>
        <v>-7560.11</v>
      </c>
      <c r="H257" s="102">
        <f t="shared" si="36"/>
        <v>48305.670000000006</v>
      </c>
      <c r="I257" s="102">
        <f t="shared" si="37"/>
        <v>-1181234.1718584609</v>
      </c>
      <c r="J257" s="67"/>
      <c r="K257" s="67"/>
      <c r="L257" s="67"/>
      <c r="M257" s="67"/>
      <c r="N257" s="67"/>
      <c r="O257" s="67"/>
    </row>
    <row r="258" spans="1:15" x14ac:dyDescent="0.25">
      <c r="A258" s="71">
        <f t="shared" si="30"/>
        <v>251</v>
      </c>
      <c r="B258" s="82">
        <v>45839</v>
      </c>
      <c r="C258" s="119"/>
      <c r="D258" s="67">
        <v>44275.409999999996</v>
      </c>
      <c r="F258" s="107">
        <v>7.4999999999999997E-2</v>
      </c>
      <c r="G258" s="102">
        <f t="shared" si="38"/>
        <v>-7244.35</v>
      </c>
      <c r="H258" s="102">
        <f t="shared" si="36"/>
        <v>37031.06</v>
      </c>
      <c r="I258" s="102">
        <f t="shared" si="37"/>
        <v>-1144203.1118584608</v>
      </c>
      <c r="J258" s="67"/>
      <c r="K258" s="67"/>
      <c r="L258" s="67"/>
      <c r="M258" s="67"/>
      <c r="N258" s="67"/>
      <c r="O258" s="67"/>
    </row>
    <row r="259" spans="1:15" x14ac:dyDescent="0.25">
      <c r="A259" s="71">
        <f t="shared" si="30"/>
        <v>252</v>
      </c>
      <c r="B259" s="82">
        <v>45870</v>
      </c>
      <c r="C259" s="119"/>
      <c r="D259" s="67">
        <v>37519.08</v>
      </c>
      <c r="F259" s="104">
        <v>7.4999999999999997E-2</v>
      </c>
      <c r="G259" s="102">
        <f t="shared" si="38"/>
        <v>-7034.02</v>
      </c>
      <c r="H259" s="102">
        <f t="shared" si="36"/>
        <v>30485.06</v>
      </c>
      <c r="I259" s="102">
        <f t="shared" si="37"/>
        <v>-1113718.0518584608</v>
      </c>
      <c r="J259" s="67"/>
      <c r="K259" s="67"/>
      <c r="L259" s="67"/>
      <c r="M259" s="67"/>
      <c r="N259" s="67"/>
      <c r="O259" s="67"/>
    </row>
    <row r="260" spans="1:15" x14ac:dyDescent="0.25">
      <c r="A260" s="71">
        <f t="shared" si="30"/>
        <v>253</v>
      </c>
      <c r="B260" s="82">
        <v>45901</v>
      </c>
      <c r="C260" s="119" t="s">
        <v>347</v>
      </c>
      <c r="D260" s="118">
        <f>'[34]WA AMORT 2024-25'!Y82+'[34]WA AMORT 2024-25'!Z82</f>
        <v>47715.8</v>
      </c>
      <c r="F260" s="104">
        <v>7.4999999999999997E-2</v>
      </c>
      <c r="G260" s="102">
        <f t="shared" si="38"/>
        <v>-6811.63</v>
      </c>
      <c r="H260" s="102">
        <f t="shared" si="36"/>
        <v>40904.170000000006</v>
      </c>
      <c r="I260" s="102">
        <f t="shared" si="37"/>
        <v>-1072813.8818584608</v>
      </c>
      <c r="J260" s="67"/>
      <c r="K260" s="67"/>
      <c r="L260" s="67"/>
      <c r="M260" s="67"/>
      <c r="N260" s="67"/>
      <c r="O260" s="67"/>
    </row>
    <row r="261" spans="1:15" x14ac:dyDescent="0.25">
      <c r="A261" s="71">
        <f t="shared" si="30"/>
        <v>254</v>
      </c>
      <c r="B261" s="82">
        <v>45931</v>
      </c>
      <c r="C261" s="119" t="s">
        <v>347</v>
      </c>
      <c r="D261" s="118">
        <f>'[34]WA AMORT 2024-25'!AK82+'[34]WA AMORT 2024-25'!AL82</f>
        <v>24750.930000000004</v>
      </c>
      <c r="F261" s="104">
        <v>7.4999999999999997E-2</v>
      </c>
      <c r="G261" s="102">
        <f t="shared" si="38"/>
        <v>-6627.74</v>
      </c>
      <c r="H261" s="102">
        <f t="shared" si="36"/>
        <v>18123.190000000002</v>
      </c>
      <c r="I261" s="102">
        <f t="shared" si="37"/>
        <v>-1054690.6918584609</v>
      </c>
      <c r="J261" s="67"/>
      <c r="K261" s="67"/>
      <c r="L261" s="67"/>
      <c r="M261" s="67"/>
      <c r="N261" s="67"/>
      <c r="O261" s="67"/>
    </row>
    <row r="262" spans="1:15" x14ac:dyDescent="0.25">
      <c r="A262" s="71">
        <f t="shared" si="30"/>
        <v>255</v>
      </c>
      <c r="F262" s="77"/>
      <c r="G262" s="101"/>
      <c r="I262" s="109"/>
      <c r="J262" s="67"/>
      <c r="K262" s="67"/>
      <c r="L262" s="67"/>
      <c r="M262" s="67"/>
      <c r="N262" s="67"/>
      <c r="O262" s="67"/>
    </row>
    <row r="263" spans="1:15" x14ac:dyDescent="0.25">
      <c r="A263" s="71">
        <f t="shared" si="30"/>
        <v>256</v>
      </c>
      <c r="B263" s="74" t="s">
        <v>320</v>
      </c>
      <c r="F263" s="77"/>
      <c r="G263" s="101"/>
      <c r="I263" s="109"/>
      <c r="J263" s="67"/>
      <c r="K263" s="67"/>
      <c r="L263" s="67"/>
      <c r="M263" s="67"/>
      <c r="N263" s="67"/>
      <c r="O263" s="67"/>
    </row>
    <row r="264" spans="1:15" x14ac:dyDescent="0.25">
      <c r="A264" s="71">
        <f t="shared" si="30"/>
        <v>257</v>
      </c>
      <c r="B264" s="73"/>
      <c r="F264" s="77"/>
      <c r="G264" s="101"/>
      <c r="I264" s="109"/>
      <c r="J264" s="67"/>
      <c r="K264" s="67"/>
      <c r="L264" s="67"/>
      <c r="M264" s="67"/>
      <c r="N264" s="67"/>
      <c r="O264" s="67"/>
    </row>
    <row r="265" spans="1:15" x14ac:dyDescent="0.25">
      <c r="A265" s="71">
        <f t="shared" si="30"/>
        <v>258</v>
      </c>
      <c r="B265" s="72" t="s">
        <v>318</v>
      </c>
      <c r="F265" s="77"/>
      <c r="G265" s="101"/>
      <c r="I265" s="75"/>
      <c r="J265" s="67"/>
      <c r="K265" s="67"/>
      <c r="L265" s="67"/>
      <c r="M265" s="67"/>
      <c r="N265" s="67"/>
      <c r="O265" s="67"/>
    </row>
    <row r="266" spans="1:15" x14ac:dyDescent="0.25">
      <c r="A266" s="71">
        <f t="shared" si="30"/>
        <v>259</v>
      </c>
      <c r="B266" s="66" t="s">
        <v>362</v>
      </c>
      <c r="F266" s="77"/>
      <c r="G266" s="101"/>
      <c r="I266" s="109"/>
      <c r="J266" s="67"/>
      <c r="K266" s="67"/>
      <c r="L266" s="67"/>
      <c r="M266" s="67"/>
      <c r="N266" s="67"/>
      <c r="O266" s="67"/>
    </row>
    <row r="267" spans="1:15" x14ac:dyDescent="0.25">
      <c r="A267" s="71">
        <f t="shared" si="30"/>
        <v>260</v>
      </c>
      <c r="B267" s="117" t="s">
        <v>361</v>
      </c>
      <c r="F267" s="77"/>
      <c r="G267" s="101"/>
      <c r="I267" s="109"/>
      <c r="J267" s="67"/>
      <c r="K267" s="67"/>
      <c r="L267" s="67"/>
      <c r="M267" s="67"/>
      <c r="N267" s="67"/>
      <c r="O267" s="67"/>
    </row>
    <row r="268" spans="1:15" x14ac:dyDescent="0.25">
      <c r="A268" s="71"/>
      <c r="J268" s="67"/>
      <c r="K268" s="67"/>
      <c r="L268" s="67"/>
      <c r="M268" s="67"/>
      <c r="N268" s="67"/>
      <c r="O268" s="67"/>
    </row>
    <row r="269" spans="1:15" x14ac:dyDescent="0.25">
      <c r="B269" s="73"/>
      <c r="J269" s="67"/>
      <c r="K269" s="67"/>
      <c r="L269" s="67"/>
      <c r="M269" s="67"/>
      <c r="N269" s="67"/>
      <c r="O269" s="67"/>
    </row>
    <row r="270" spans="1:15" x14ac:dyDescent="0.25">
      <c r="J270" s="67"/>
      <c r="K270" s="67"/>
      <c r="L270" s="67"/>
      <c r="M270" s="67"/>
      <c r="N270" s="67"/>
      <c r="O270" s="67"/>
    </row>
    <row r="271" spans="1:15" x14ac:dyDescent="0.25">
      <c r="J271" s="67"/>
      <c r="K271" s="67"/>
      <c r="L271" s="67"/>
      <c r="M271" s="67"/>
      <c r="N271" s="67"/>
      <c r="O271" s="67"/>
    </row>
    <row r="272" spans="1:15" x14ac:dyDescent="0.25">
      <c r="J272" s="67"/>
      <c r="K272" s="67"/>
      <c r="L272" s="67"/>
      <c r="M272" s="67"/>
      <c r="N272" s="67"/>
      <c r="O272" s="67"/>
    </row>
    <row r="273" spans="10:15" x14ac:dyDescent="0.25">
      <c r="J273" s="67"/>
      <c r="K273" s="67"/>
      <c r="L273" s="67"/>
      <c r="M273" s="67"/>
      <c r="N273" s="67"/>
      <c r="O273" s="67"/>
    </row>
    <row r="274" spans="10:15" x14ac:dyDescent="0.25">
      <c r="J274" s="67"/>
      <c r="K274" s="67"/>
      <c r="L274" s="67"/>
      <c r="M274" s="67"/>
      <c r="N274" s="67"/>
      <c r="O274" s="67"/>
    </row>
    <row r="275" spans="10:15" x14ac:dyDescent="0.25">
      <c r="J275" s="67"/>
      <c r="K275" s="67"/>
      <c r="L275" s="67"/>
      <c r="M275" s="67"/>
      <c r="N275" s="67"/>
      <c r="O275" s="67"/>
    </row>
    <row r="276" spans="10:15" x14ac:dyDescent="0.25">
      <c r="J276" s="67"/>
      <c r="K276" s="67"/>
      <c r="L276" s="67"/>
      <c r="M276" s="67"/>
      <c r="N276" s="67"/>
      <c r="O276" s="67"/>
    </row>
    <row r="277" spans="10:15" x14ac:dyDescent="0.25">
      <c r="J277" s="67"/>
      <c r="K277" s="67"/>
      <c r="L277" s="67"/>
      <c r="M277" s="67"/>
      <c r="N277" s="67"/>
      <c r="O277" s="67"/>
    </row>
  </sheetData>
  <pageMargins left="0.7" right="0.7" top="0.75" bottom="0.75" header="0.3" footer="0.3"/>
  <pageSetup scale="72" orientation="portrait" r:id="rId1"/>
  <headerFooter alignWithMargins="0">
    <oddHeader>&amp;R&amp;"Arial,Regular"UG-250717 - NWN WUTC Advice 25-08A
Exhibit A - Supporting Materials
Page &amp;P of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3BFE9-2D81-4CEE-968C-0A3F1BFDB678}">
  <sheetPr>
    <tabColor theme="0" tint="-0.14999847407452621"/>
    <pageSetUpPr fitToPage="1"/>
  </sheetPr>
  <dimension ref="A1:N255"/>
  <sheetViews>
    <sheetView tabSelected="1" view="pageBreakPreview" zoomScaleNormal="100" zoomScaleSheetLayoutView="100" workbookViewId="0">
      <pane xSplit="1" ySplit="12" topLeftCell="B13" activePane="bottomRight" state="frozen"/>
      <selection activeCell="I13" sqref="I13:I80"/>
      <selection pane="topRight" activeCell="I13" sqref="I13:I80"/>
      <selection pane="bottomLeft" activeCell="I13" sqref="I13:I80"/>
      <selection pane="bottomRight" activeCell="I13" sqref="I13:I80"/>
    </sheetView>
  </sheetViews>
  <sheetFormatPr defaultColWidth="9.19921875" defaultRowHeight="12.5" outlineLevelRow="1" x14ac:dyDescent="0.25"/>
  <cols>
    <col min="1" max="1" width="4.69921875" style="68" customWidth="1"/>
    <col min="2" max="2" width="15.69921875" style="66" customWidth="1"/>
    <col min="3" max="3" width="10.5" style="66" customWidth="1"/>
    <col min="4" max="4" width="17.796875" style="67" customWidth="1"/>
    <col min="5" max="5" width="18" style="67" customWidth="1"/>
    <col min="6" max="7" width="21" style="67" customWidth="1"/>
    <col min="8" max="11" width="15.69921875" style="66" customWidth="1"/>
    <col min="12" max="12" width="4.5" style="66" customWidth="1"/>
    <col min="13" max="18" width="15.69921875" style="66" customWidth="1"/>
    <col min="19" max="16384" width="9.19921875" style="66"/>
  </cols>
  <sheetData>
    <row r="1" spans="1:8" x14ac:dyDescent="0.25">
      <c r="B1" s="66" t="s">
        <v>345</v>
      </c>
      <c r="D1" s="67" t="s">
        <v>344</v>
      </c>
    </row>
    <row r="2" spans="1:8" x14ac:dyDescent="0.25">
      <c r="B2" s="66" t="s">
        <v>343</v>
      </c>
      <c r="D2" s="67" t="s">
        <v>2</v>
      </c>
    </row>
    <row r="3" spans="1:8" x14ac:dyDescent="0.25">
      <c r="B3" s="66" t="s">
        <v>342</v>
      </c>
      <c r="D3" s="97" t="s">
        <v>372</v>
      </c>
    </row>
    <row r="4" spans="1:8" x14ac:dyDescent="0.25">
      <c r="B4" s="66" t="s">
        <v>340</v>
      </c>
      <c r="D4" s="123" t="s">
        <v>371</v>
      </c>
    </row>
    <row r="5" spans="1:8" x14ac:dyDescent="0.25">
      <c r="D5" s="66" t="s">
        <v>370</v>
      </c>
    </row>
    <row r="6" spans="1:8" x14ac:dyDescent="0.25">
      <c r="D6" s="66"/>
    </row>
    <row r="8" spans="1:8" x14ac:dyDescent="0.25">
      <c r="A8" s="71">
        <v>1</v>
      </c>
      <c r="B8" s="66" t="s">
        <v>337</v>
      </c>
    </row>
    <row r="9" spans="1:8" x14ac:dyDescent="0.25">
      <c r="A9" s="71">
        <f t="shared" ref="A9:A72" si="0">+A8+1</f>
        <v>2</v>
      </c>
    </row>
    <row r="10" spans="1:8" x14ac:dyDescent="0.25">
      <c r="A10" s="71">
        <f t="shared" si="0"/>
        <v>3</v>
      </c>
      <c r="B10" s="93"/>
      <c r="C10" s="93"/>
      <c r="D10" s="92"/>
      <c r="E10" s="92"/>
      <c r="F10" s="92"/>
      <c r="G10" s="92"/>
    </row>
    <row r="11" spans="1:8" x14ac:dyDescent="0.25">
      <c r="A11" s="71">
        <f t="shared" si="0"/>
        <v>4</v>
      </c>
      <c r="B11" s="95" t="s">
        <v>336</v>
      </c>
      <c r="C11" s="95" t="s">
        <v>335</v>
      </c>
      <c r="D11" s="94" t="s">
        <v>334</v>
      </c>
      <c r="E11" s="94" t="s">
        <v>333</v>
      </c>
      <c r="F11" s="94" t="s">
        <v>275</v>
      </c>
      <c r="G11" s="94" t="s">
        <v>267</v>
      </c>
    </row>
    <row r="12" spans="1:8" x14ac:dyDescent="0.25">
      <c r="A12" s="71">
        <f t="shared" si="0"/>
        <v>5</v>
      </c>
      <c r="B12" s="93" t="s">
        <v>331</v>
      </c>
      <c r="C12" s="93" t="s">
        <v>330</v>
      </c>
      <c r="D12" s="92" t="s">
        <v>329</v>
      </c>
      <c r="E12" s="92" t="s">
        <v>328</v>
      </c>
      <c r="F12" s="92" t="s">
        <v>366</v>
      </c>
      <c r="G12" s="92" t="s">
        <v>325</v>
      </c>
      <c r="H12" s="93"/>
    </row>
    <row r="13" spans="1:8" x14ac:dyDescent="0.25">
      <c r="A13" s="71">
        <f t="shared" si="0"/>
        <v>6</v>
      </c>
    </row>
    <row r="14" spans="1:8" ht="12" hidden="1" customHeight="1" outlineLevel="1" x14ac:dyDescent="0.25">
      <c r="A14" s="71">
        <f t="shared" si="0"/>
        <v>7</v>
      </c>
      <c r="B14" s="70" t="s">
        <v>323</v>
      </c>
    </row>
    <row r="15" spans="1:8" hidden="1" outlineLevel="1" x14ac:dyDescent="0.25">
      <c r="A15" s="71">
        <f t="shared" si="0"/>
        <v>8</v>
      </c>
      <c r="B15" s="66">
        <v>39021</v>
      </c>
      <c r="G15" s="67">
        <v>-708326.92</v>
      </c>
    </row>
    <row r="16" spans="1:8" hidden="1" outlineLevel="1" x14ac:dyDescent="0.25">
      <c r="A16" s="71">
        <f t="shared" si="0"/>
        <v>9</v>
      </c>
      <c r="B16" s="66">
        <f>+B15+30</f>
        <v>39051</v>
      </c>
      <c r="D16" s="67">
        <v>-60637.96</v>
      </c>
      <c r="F16" s="67">
        <f t="shared" ref="F16:F79" si="1">SUM(D16:E16)</f>
        <v>-60637.96</v>
      </c>
      <c r="G16" s="75">
        <f t="shared" ref="G16:G47" si="2">+G15+F16</f>
        <v>-768964.88</v>
      </c>
    </row>
    <row r="17" spans="1:7" hidden="1" outlineLevel="1" x14ac:dyDescent="0.25">
      <c r="A17" s="71">
        <f t="shared" si="0"/>
        <v>10</v>
      </c>
      <c r="B17" s="66">
        <f>+B16+31</f>
        <v>39082</v>
      </c>
      <c r="D17" s="67">
        <v>-57359.09</v>
      </c>
      <c r="F17" s="67">
        <f t="shared" si="1"/>
        <v>-57359.09</v>
      </c>
      <c r="G17" s="75">
        <f t="shared" si="2"/>
        <v>-826323.97</v>
      </c>
    </row>
    <row r="18" spans="1:7" hidden="1" outlineLevel="1" x14ac:dyDescent="0.25">
      <c r="A18" s="71">
        <f t="shared" si="0"/>
        <v>11</v>
      </c>
      <c r="B18" s="66">
        <f>+B17+31</f>
        <v>39113</v>
      </c>
      <c r="D18" s="67">
        <v>0</v>
      </c>
      <c r="F18" s="67">
        <f t="shared" si="1"/>
        <v>0</v>
      </c>
      <c r="G18" s="75">
        <f t="shared" si="2"/>
        <v>-826323.97</v>
      </c>
    </row>
    <row r="19" spans="1:7" hidden="1" outlineLevel="1" x14ac:dyDescent="0.25">
      <c r="A19" s="71">
        <f t="shared" si="0"/>
        <v>12</v>
      </c>
      <c r="B19" s="66">
        <f>+B18+28</f>
        <v>39141</v>
      </c>
      <c r="D19" s="67">
        <v>-16324.81</v>
      </c>
      <c r="F19" s="67">
        <f t="shared" si="1"/>
        <v>-16324.81</v>
      </c>
      <c r="G19" s="75">
        <f t="shared" si="2"/>
        <v>-842648.78</v>
      </c>
    </row>
    <row r="20" spans="1:7" hidden="1" outlineLevel="1" x14ac:dyDescent="0.25">
      <c r="A20" s="71">
        <f t="shared" si="0"/>
        <v>13</v>
      </c>
      <c r="B20" s="66">
        <f>+B19+31</f>
        <v>39172</v>
      </c>
      <c r="D20" s="67">
        <v>-27705.22</v>
      </c>
      <c r="E20" s="67">
        <v>826323.97</v>
      </c>
      <c r="F20" s="67">
        <f t="shared" si="1"/>
        <v>798618.75</v>
      </c>
      <c r="G20" s="75">
        <f t="shared" si="2"/>
        <v>-44030.030000000028</v>
      </c>
    </row>
    <row r="21" spans="1:7" hidden="1" outlineLevel="1" x14ac:dyDescent="0.25">
      <c r="A21" s="71">
        <f t="shared" si="0"/>
        <v>14</v>
      </c>
      <c r="B21" s="66">
        <f>+B20+30</f>
        <v>39202</v>
      </c>
      <c r="D21" s="67">
        <v>-168164</v>
      </c>
      <c r="F21" s="67">
        <f t="shared" si="1"/>
        <v>-168164</v>
      </c>
      <c r="G21" s="75">
        <f t="shared" si="2"/>
        <v>-212194.03000000003</v>
      </c>
    </row>
    <row r="22" spans="1:7" hidden="1" outlineLevel="1" x14ac:dyDescent="0.25">
      <c r="A22" s="71">
        <f t="shared" si="0"/>
        <v>15</v>
      </c>
      <c r="B22" s="66">
        <f>+B21+31</f>
        <v>39233</v>
      </c>
      <c r="D22" s="67">
        <v>-128946.73</v>
      </c>
      <c r="F22" s="67">
        <f t="shared" si="1"/>
        <v>-128946.73</v>
      </c>
      <c r="G22" s="75">
        <f t="shared" si="2"/>
        <v>-341140.76</v>
      </c>
    </row>
    <row r="23" spans="1:7" hidden="1" outlineLevel="1" x14ac:dyDescent="0.25">
      <c r="A23" s="71">
        <f t="shared" si="0"/>
        <v>16</v>
      </c>
      <c r="B23" s="66">
        <f>+B22+30</f>
        <v>39263</v>
      </c>
      <c r="D23" s="67">
        <v>-147753.85</v>
      </c>
      <c r="F23" s="67">
        <f t="shared" si="1"/>
        <v>-147753.85</v>
      </c>
      <c r="G23" s="75">
        <f t="shared" si="2"/>
        <v>-488894.61</v>
      </c>
    </row>
    <row r="24" spans="1:7" hidden="1" outlineLevel="1" x14ac:dyDescent="0.25">
      <c r="A24" s="71">
        <f t="shared" si="0"/>
        <v>17</v>
      </c>
      <c r="B24" s="66">
        <f>+B23+31</f>
        <v>39294</v>
      </c>
      <c r="D24" s="67">
        <v>-140874.92000000001</v>
      </c>
      <c r="F24" s="67">
        <f t="shared" si="1"/>
        <v>-140874.92000000001</v>
      </c>
      <c r="G24" s="75">
        <f t="shared" si="2"/>
        <v>-629769.53</v>
      </c>
    </row>
    <row r="25" spans="1:7" hidden="1" outlineLevel="1" x14ac:dyDescent="0.25">
      <c r="A25" s="71">
        <f t="shared" si="0"/>
        <v>18</v>
      </c>
      <c r="B25" s="66">
        <f>+B24+30</f>
        <v>39324</v>
      </c>
      <c r="D25" s="67">
        <v>-140740.95000000001</v>
      </c>
      <c r="F25" s="67">
        <f t="shared" si="1"/>
        <v>-140740.95000000001</v>
      </c>
      <c r="G25" s="75">
        <f t="shared" si="2"/>
        <v>-770510.48</v>
      </c>
    </row>
    <row r="26" spans="1:7" hidden="1" outlineLevel="1" x14ac:dyDescent="0.25">
      <c r="A26" s="71">
        <f t="shared" si="0"/>
        <v>19</v>
      </c>
      <c r="B26" s="66">
        <f>+B25+30</f>
        <v>39354</v>
      </c>
      <c r="D26" s="67">
        <v>-144958.13</v>
      </c>
      <c r="F26" s="67">
        <f t="shared" si="1"/>
        <v>-144958.13</v>
      </c>
      <c r="G26" s="75">
        <f t="shared" si="2"/>
        <v>-915468.61</v>
      </c>
    </row>
    <row r="27" spans="1:7" hidden="1" outlineLevel="1" x14ac:dyDescent="0.25">
      <c r="A27" s="71">
        <f t="shared" si="0"/>
        <v>20</v>
      </c>
      <c r="B27" s="66">
        <f>+B26+31</f>
        <v>39385</v>
      </c>
      <c r="D27" s="67">
        <v>-120597.2</v>
      </c>
      <c r="F27" s="67">
        <f t="shared" si="1"/>
        <v>-120597.2</v>
      </c>
      <c r="G27" s="75">
        <f t="shared" si="2"/>
        <v>-1036065.8099999999</v>
      </c>
    </row>
    <row r="28" spans="1:7" hidden="1" outlineLevel="1" x14ac:dyDescent="0.25">
      <c r="A28" s="71">
        <f t="shared" si="0"/>
        <v>21</v>
      </c>
      <c r="B28" s="66">
        <f>+B27+30</f>
        <v>39415</v>
      </c>
      <c r="D28" s="67">
        <v>-80829.55</v>
      </c>
      <c r="F28" s="67">
        <f t="shared" si="1"/>
        <v>-80829.55</v>
      </c>
      <c r="G28" s="75">
        <f t="shared" si="2"/>
        <v>-1116895.3599999999</v>
      </c>
    </row>
    <row r="29" spans="1:7" hidden="1" outlineLevel="1" x14ac:dyDescent="0.25">
      <c r="A29" s="71">
        <f t="shared" si="0"/>
        <v>22</v>
      </c>
      <c r="B29" s="66">
        <f>+B28+31</f>
        <v>39446</v>
      </c>
      <c r="D29" s="67">
        <v>-103048.21</v>
      </c>
      <c r="F29" s="67">
        <f t="shared" si="1"/>
        <v>-103048.21</v>
      </c>
      <c r="G29" s="75">
        <f t="shared" si="2"/>
        <v>-1219943.5699999998</v>
      </c>
    </row>
    <row r="30" spans="1:7" hidden="1" outlineLevel="1" x14ac:dyDescent="0.25">
      <c r="A30" s="71">
        <f t="shared" si="0"/>
        <v>23</v>
      </c>
      <c r="B30" s="66">
        <f>+B29+31</f>
        <v>39477</v>
      </c>
      <c r="D30" s="67">
        <v>-2506.92</v>
      </c>
      <c r="F30" s="67">
        <f t="shared" si="1"/>
        <v>-2506.92</v>
      </c>
      <c r="G30" s="75">
        <f t="shared" si="2"/>
        <v>-1222450.4899999998</v>
      </c>
    </row>
    <row r="31" spans="1:7" hidden="1" outlineLevel="1" x14ac:dyDescent="0.25">
      <c r="A31" s="71">
        <f t="shared" si="0"/>
        <v>24</v>
      </c>
      <c r="B31" s="66">
        <f>+B30+29</f>
        <v>39506</v>
      </c>
      <c r="D31" s="67">
        <v>-30715.03</v>
      </c>
      <c r="F31" s="67">
        <f t="shared" si="1"/>
        <v>-30715.03</v>
      </c>
      <c r="G31" s="75">
        <f t="shared" si="2"/>
        <v>-1253165.5199999998</v>
      </c>
    </row>
    <row r="32" spans="1:7" hidden="1" outlineLevel="1" x14ac:dyDescent="0.25">
      <c r="A32" s="71">
        <f t="shared" si="0"/>
        <v>25</v>
      </c>
      <c r="B32" s="66">
        <f>+B31+31</f>
        <v>39537</v>
      </c>
      <c r="C32" s="66" t="s">
        <v>359</v>
      </c>
      <c r="D32" s="67">
        <v>-153747.93</v>
      </c>
      <c r="E32" s="67">
        <f>-G29</f>
        <v>1219943.5699999998</v>
      </c>
      <c r="F32" s="67">
        <f t="shared" si="1"/>
        <v>1066195.6399999999</v>
      </c>
      <c r="G32" s="75">
        <f t="shared" si="2"/>
        <v>-186969.87999999989</v>
      </c>
    </row>
    <row r="33" spans="1:12" hidden="1" outlineLevel="1" x14ac:dyDescent="0.25">
      <c r="A33" s="71">
        <f t="shared" si="0"/>
        <v>26</v>
      </c>
      <c r="B33" s="66">
        <f>+B32+30</f>
        <v>39567</v>
      </c>
      <c r="D33" s="67">
        <v>-179368.01</v>
      </c>
      <c r="F33" s="67">
        <f t="shared" si="1"/>
        <v>-179368.01</v>
      </c>
      <c r="G33" s="75">
        <f t="shared" si="2"/>
        <v>-366337.8899999999</v>
      </c>
    </row>
    <row r="34" spans="1:12" hidden="1" outlineLevel="1" x14ac:dyDescent="0.25">
      <c r="A34" s="71">
        <f t="shared" si="0"/>
        <v>27</v>
      </c>
      <c r="B34" s="66">
        <f>+B33+31</f>
        <v>39598</v>
      </c>
      <c r="D34" s="67">
        <v>-115484.51</v>
      </c>
      <c r="F34" s="67">
        <f t="shared" si="1"/>
        <v>-115484.51</v>
      </c>
      <c r="G34" s="75">
        <f t="shared" si="2"/>
        <v>-481822.39999999991</v>
      </c>
    </row>
    <row r="35" spans="1:12" hidden="1" outlineLevel="1" x14ac:dyDescent="0.25">
      <c r="A35" s="71">
        <f t="shared" si="0"/>
        <v>28</v>
      </c>
      <c r="B35" s="66">
        <f>+B34+30</f>
        <v>39628</v>
      </c>
      <c r="D35" s="67">
        <v>-116186</v>
      </c>
      <c r="F35" s="67">
        <f t="shared" si="1"/>
        <v>-116186</v>
      </c>
      <c r="G35" s="75">
        <f t="shared" si="2"/>
        <v>-598008.39999999991</v>
      </c>
    </row>
    <row r="36" spans="1:12" hidden="1" outlineLevel="1" x14ac:dyDescent="0.25">
      <c r="A36" s="71">
        <f t="shared" si="0"/>
        <v>29</v>
      </c>
      <c r="B36" s="66">
        <f>+B35+31</f>
        <v>39659</v>
      </c>
      <c r="D36" s="67">
        <v>-112953.9</v>
      </c>
      <c r="F36" s="67">
        <f t="shared" si="1"/>
        <v>-112953.9</v>
      </c>
      <c r="G36" s="75">
        <f t="shared" si="2"/>
        <v>-710962.29999999993</v>
      </c>
    </row>
    <row r="37" spans="1:12" hidden="1" outlineLevel="1" x14ac:dyDescent="0.25">
      <c r="A37" s="71">
        <f t="shared" si="0"/>
        <v>30</v>
      </c>
      <c r="B37" s="66">
        <f>+B36+30</f>
        <v>39689</v>
      </c>
      <c r="C37" s="117"/>
      <c r="D37" s="67">
        <v>-116692.32</v>
      </c>
      <c r="E37" s="98"/>
      <c r="F37" s="67">
        <f t="shared" si="1"/>
        <v>-116692.32</v>
      </c>
      <c r="G37" s="75">
        <f t="shared" si="2"/>
        <v>-827654.61999999988</v>
      </c>
      <c r="H37" s="117"/>
      <c r="I37" s="117"/>
    </row>
    <row r="38" spans="1:12" hidden="1" outlineLevel="1" x14ac:dyDescent="0.25">
      <c r="A38" s="71">
        <f t="shared" si="0"/>
        <v>31</v>
      </c>
      <c r="B38" s="66">
        <f>+B37+30</f>
        <v>39719</v>
      </c>
      <c r="C38" s="117"/>
      <c r="D38" s="67">
        <v>-114916.47</v>
      </c>
      <c r="E38" s="98"/>
      <c r="F38" s="67">
        <f t="shared" si="1"/>
        <v>-114916.47</v>
      </c>
      <c r="G38" s="75">
        <f t="shared" si="2"/>
        <v>-942571.08999999985</v>
      </c>
      <c r="H38" s="117"/>
      <c r="I38" s="117"/>
    </row>
    <row r="39" spans="1:12" hidden="1" outlineLevel="1" x14ac:dyDescent="0.25">
      <c r="A39" s="71">
        <f t="shared" si="0"/>
        <v>32</v>
      </c>
      <c r="B39" s="66">
        <f>+B38+31</f>
        <v>39750</v>
      </c>
      <c r="C39" s="117"/>
      <c r="D39" s="129">
        <v>-110379.74</v>
      </c>
      <c r="E39" s="98"/>
      <c r="F39" s="67">
        <f t="shared" si="1"/>
        <v>-110379.74</v>
      </c>
      <c r="G39" s="75">
        <f t="shared" si="2"/>
        <v>-1052950.8299999998</v>
      </c>
      <c r="H39" s="117"/>
      <c r="I39" s="117"/>
    </row>
    <row r="40" spans="1:12" hidden="1" outlineLevel="1" x14ac:dyDescent="0.25">
      <c r="A40" s="71">
        <f t="shared" si="0"/>
        <v>33</v>
      </c>
      <c r="B40" s="66">
        <f>+B39+30</f>
        <v>39780</v>
      </c>
      <c r="C40" s="117"/>
      <c r="D40" s="129">
        <v>-90739.09</v>
      </c>
      <c r="E40" s="98"/>
      <c r="F40" s="67">
        <f t="shared" si="1"/>
        <v>-90739.09</v>
      </c>
      <c r="G40" s="75">
        <f t="shared" si="2"/>
        <v>-1143689.92</v>
      </c>
      <c r="H40" s="117"/>
      <c r="I40" s="117"/>
    </row>
    <row r="41" spans="1:12" hidden="1" outlineLevel="1" x14ac:dyDescent="0.25">
      <c r="A41" s="71">
        <f t="shared" si="0"/>
        <v>34</v>
      </c>
      <c r="B41" s="66">
        <f>+B40+31</f>
        <v>39811</v>
      </c>
      <c r="C41" s="117"/>
      <c r="D41" s="129">
        <v>-89647.78</v>
      </c>
      <c r="E41" s="98"/>
      <c r="F41" s="67">
        <f t="shared" si="1"/>
        <v>-89647.78</v>
      </c>
      <c r="G41" s="75">
        <f t="shared" si="2"/>
        <v>-1233337.7</v>
      </c>
      <c r="H41" s="117"/>
      <c r="I41" s="117"/>
    </row>
    <row r="42" spans="1:12" hidden="1" outlineLevel="1" x14ac:dyDescent="0.25">
      <c r="A42" s="71">
        <f t="shared" si="0"/>
        <v>35</v>
      </c>
      <c r="B42" s="66">
        <f>+B41+31</f>
        <v>39842</v>
      </c>
      <c r="C42" s="117"/>
      <c r="D42" s="129">
        <v>-1532.26</v>
      </c>
      <c r="E42" s="98">
        <f>-G41</f>
        <v>1233337.7</v>
      </c>
      <c r="F42" s="67">
        <f t="shared" si="1"/>
        <v>1231805.4399999999</v>
      </c>
      <c r="G42" s="75">
        <f t="shared" si="2"/>
        <v>-1532.2600000000093</v>
      </c>
      <c r="H42" s="117"/>
      <c r="I42" s="117"/>
    </row>
    <row r="43" spans="1:12" hidden="1" outlineLevel="1" x14ac:dyDescent="0.25">
      <c r="A43" s="71">
        <f t="shared" si="0"/>
        <v>36</v>
      </c>
      <c r="B43" s="66">
        <f>+B42+28</f>
        <v>39870</v>
      </c>
      <c r="C43" s="117"/>
      <c r="D43" s="129">
        <v>-32881.89</v>
      </c>
      <c r="E43" s="98"/>
      <c r="F43" s="67">
        <f t="shared" si="1"/>
        <v>-32881.89</v>
      </c>
      <c r="G43" s="75">
        <f t="shared" si="2"/>
        <v>-34414.150000000009</v>
      </c>
      <c r="H43" s="117"/>
      <c r="I43" s="117"/>
    </row>
    <row r="44" spans="1:12" hidden="1" outlineLevel="1" x14ac:dyDescent="0.25">
      <c r="A44" s="71">
        <f t="shared" si="0"/>
        <v>37</v>
      </c>
      <c r="B44" s="66">
        <f>+B43+31</f>
        <v>39901</v>
      </c>
      <c r="C44" s="117"/>
      <c r="D44" s="129">
        <v>-116990.39</v>
      </c>
      <c r="E44" s="98"/>
      <c r="F44" s="67">
        <f t="shared" si="1"/>
        <v>-116990.39</v>
      </c>
      <c r="G44" s="75">
        <f t="shared" si="2"/>
        <v>-151404.54</v>
      </c>
      <c r="H44" s="117"/>
      <c r="I44" s="117"/>
    </row>
    <row r="45" spans="1:12" hidden="1" outlineLevel="1" x14ac:dyDescent="0.25">
      <c r="A45" s="71">
        <f t="shared" si="0"/>
        <v>38</v>
      </c>
      <c r="B45" s="66">
        <f>+B44+30</f>
        <v>39931</v>
      </c>
      <c r="C45" s="117"/>
      <c r="D45" s="98">
        <v>-193079.95</v>
      </c>
      <c r="E45" s="98"/>
      <c r="F45" s="67">
        <f t="shared" si="1"/>
        <v>-193079.95</v>
      </c>
      <c r="G45" s="75">
        <f t="shared" si="2"/>
        <v>-344484.49</v>
      </c>
      <c r="H45" s="117"/>
      <c r="I45" s="117"/>
    </row>
    <row r="46" spans="1:12" hidden="1" outlineLevel="1" x14ac:dyDescent="0.25">
      <c r="A46" s="71">
        <f t="shared" si="0"/>
        <v>39</v>
      </c>
      <c r="B46" s="66">
        <f>+B45+31</f>
        <v>39962</v>
      </c>
      <c r="C46" s="117"/>
      <c r="D46" s="98">
        <v>-172362.08</v>
      </c>
      <c r="E46" s="98"/>
      <c r="F46" s="98">
        <f t="shared" si="1"/>
        <v>-172362.08</v>
      </c>
      <c r="G46" s="75">
        <f t="shared" si="2"/>
        <v>-516846.56999999995</v>
      </c>
      <c r="H46" s="117"/>
      <c r="I46" s="117"/>
    </row>
    <row r="47" spans="1:12" hidden="1" outlineLevel="1" x14ac:dyDescent="0.25">
      <c r="A47" s="71">
        <f t="shared" si="0"/>
        <v>40</v>
      </c>
      <c r="B47" s="66">
        <f>+B46+30</f>
        <v>39992</v>
      </c>
      <c r="C47" s="117"/>
      <c r="D47" s="98">
        <v>-154740.95000000001</v>
      </c>
      <c r="E47" s="98"/>
      <c r="F47" s="98">
        <f t="shared" si="1"/>
        <v>-154740.95000000001</v>
      </c>
      <c r="G47" s="75">
        <f t="shared" si="2"/>
        <v>-671587.52</v>
      </c>
      <c r="H47" s="98"/>
      <c r="I47" s="98"/>
      <c r="J47" s="67"/>
      <c r="K47" s="67"/>
      <c r="L47" s="67"/>
    </row>
    <row r="48" spans="1:12" hidden="1" outlineLevel="1" x14ac:dyDescent="0.25">
      <c r="A48" s="71">
        <f t="shared" si="0"/>
        <v>41</v>
      </c>
      <c r="B48" s="66">
        <f>+B47+31</f>
        <v>40023</v>
      </c>
      <c r="C48" s="117"/>
      <c r="D48" s="98">
        <v>-154085.70000000001</v>
      </c>
      <c r="E48" s="98"/>
      <c r="F48" s="98">
        <f t="shared" si="1"/>
        <v>-154085.70000000001</v>
      </c>
      <c r="G48" s="75">
        <f t="shared" ref="G48:G79" si="3">+G47+F48</f>
        <v>-825673.22</v>
      </c>
      <c r="H48" s="98"/>
      <c r="I48" s="98"/>
      <c r="J48" s="67"/>
      <c r="K48" s="67"/>
      <c r="L48" s="67"/>
    </row>
    <row r="49" spans="1:12" hidden="1" outlineLevel="1" x14ac:dyDescent="0.25">
      <c r="A49" s="71">
        <f t="shared" si="0"/>
        <v>42</v>
      </c>
      <c r="B49" s="66">
        <f>+B48+30</f>
        <v>40053</v>
      </c>
      <c r="C49" s="117"/>
      <c r="D49" s="98">
        <v>-156512.72</v>
      </c>
      <c r="E49" s="98"/>
      <c r="F49" s="98">
        <f t="shared" si="1"/>
        <v>-156512.72</v>
      </c>
      <c r="G49" s="75">
        <f t="shared" si="3"/>
        <v>-982185.94</v>
      </c>
      <c r="H49" s="98"/>
      <c r="I49" s="98"/>
      <c r="J49" s="67"/>
      <c r="K49" s="67"/>
      <c r="L49" s="67"/>
    </row>
    <row r="50" spans="1:12" hidden="1" outlineLevel="1" x14ac:dyDescent="0.25">
      <c r="A50" s="71">
        <f t="shared" si="0"/>
        <v>43</v>
      </c>
      <c r="B50" s="66">
        <f>+B49+30</f>
        <v>40083</v>
      </c>
      <c r="C50" s="117"/>
      <c r="D50" s="98">
        <v>-157895.51</v>
      </c>
      <c r="E50" s="98"/>
      <c r="F50" s="98">
        <f t="shared" si="1"/>
        <v>-157895.51</v>
      </c>
      <c r="G50" s="75">
        <f t="shared" si="3"/>
        <v>-1140081.45</v>
      </c>
      <c r="H50" s="98"/>
      <c r="I50" s="98"/>
      <c r="J50" s="67"/>
      <c r="K50" s="67"/>
      <c r="L50" s="67"/>
    </row>
    <row r="51" spans="1:12" hidden="1" outlineLevel="1" x14ac:dyDescent="0.25">
      <c r="A51" s="71">
        <f t="shared" si="0"/>
        <v>44</v>
      </c>
      <c r="B51" s="66">
        <f>+B50+31</f>
        <v>40114</v>
      </c>
      <c r="C51" s="117"/>
      <c r="D51" s="98">
        <v>-153009.31</v>
      </c>
      <c r="E51" s="98"/>
      <c r="F51" s="98">
        <f t="shared" si="1"/>
        <v>-153009.31</v>
      </c>
      <c r="G51" s="75">
        <f t="shared" si="3"/>
        <v>-1293090.76</v>
      </c>
      <c r="H51" s="98"/>
      <c r="I51" s="98"/>
      <c r="J51" s="67"/>
      <c r="K51" s="67"/>
      <c r="L51" s="67"/>
    </row>
    <row r="52" spans="1:12" hidden="1" outlineLevel="1" x14ac:dyDescent="0.25">
      <c r="A52" s="71">
        <f t="shared" si="0"/>
        <v>45</v>
      </c>
      <c r="B52" s="66">
        <f>+B51+30</f>
        <v>40144</v>
      </c>
      <c r="C52" s="117"/>
      <c r="D52" s="98">
        <v>-91712.54</v>
      </c>
      <c r="E52" s="98"/>
      <c r="F52" s="98">
        <f t="shared" si="1"/>
        <v>-91712.54</v>
      </c>
      <c r="G52" s="75">
        <f t="shared" si="3"/>
        <v>-1384803.3</v>
      </c>
      <c r="H52" s="98"/>
      <c r="I52" s="98"/>
      <c r="J52" s="67"/>
      <c r="K52" s="67"/>
      <c r="L52" s="67"/>
    </row>
    <row r="53" spans="1:12" hidden="1" outlineLevel="1" x14ac:dyDescent="0.25">
      <c r="A53" s="71">
        <f t="shared" si="0"/>
        <v>46</v>
      </c>
      <c r="B53" s="66">
        <f>+B52+31</f>
        <v>40175</v>
      </c>
      <c r="C53" s="117"/>
      <c r="D53" s="98">
        <v>-116023.76</v>
      </c>
      <c r="E53" s="98"/>
      <c r="F53" s="98">
        <f t="shared" si="1"/>
        <v>-116023.76</v>
      </c>
      <c r="G53" s="75">
        <f t="shared" si="3"/>
        <v>-1500827.06</v>
      </c>
      <c r="H53" s="98"/>
      <c r="I53" s="98"/>
      <c r="J53" s="67"/>
      <c r="K53" s="67"/>
      <c r="L53" s="67"/>
    </row>
    <row r="54" spans="1:12" hidden="1" outlineLevel="1" x14ac:dyDescent="0.25">
      <c r="A54" s="71">
        <f t="shared" si="0"/>
        <v>47</v>
      </c>
      <c r="B54" s="66">
        <f>+B53+31</f>
        <v>40206</v>
      </c>
      <c r="C54" s="117"/>
      <c r="D54" s="98">
        <v>-10799.92</v>
      </c>
      <c r="E54" s="98">
        <f>-G53</f>
        <v>1500827.06</v>
      </c>
      <c r="F54" s="98">
        <f t="shared" si="1"/>
        <v>1490027.1400000001</v>
      </c>
      <c r="G54" s="75">
        <f t="shared" si="3"/>
        <v>-10799.919999999925</v>
      </c>
      <c r="H54" s="98"/>
      <c r="I54" s="98"/>
      <c r="J54" s="67"/>
      <c r="K54" s="67"/>
      <c r="L54" s="67"/>
    </row>
    <row r="55" spans="1:12" hidden="1" outlineLevel="1" x14ac:dyDescent="0.25">
      <c r="A55" s="71">
        <f t="shared" si="0"/>
        <v>48</v>
      </c>
      <c r="B55" s="66">
        <f>+B54+28</f>
        <v>40234</v>
      </c>
      <c r="C55" s="117"/>
      <c r="D55" s="98">
        <v>-50560.67</v>
      </c>
      <c r="E55" s="98"/>
      <c r="F55" s="98">
        <f t="shared" si="1"/>
        <v>-50560.67</v>
      </c>
      <c r="G55" s="75">
        <f t="shared" si="3"/>
        <v>-61360.589999999924</v>
      </c>
      <c r="H55" s="98"/>
      <c r="I55" s="98"/>
      <c r="J55" s="67"/>
      <c r="K55" s="67"/>
      <c r="L55" s="67"/>
    </row>
    <row r="56" spans="1:12" hidden="1" outlineLevel="1" x14ac:dyDescent="0.25">
      <c r="A56" s="71">
        <f t="shared" si="0"/>
        <v>49</v>
      </c>
      <c r="B56" s="66">
        <f>+B55+31</f>
        <v>40265</v>
      </c>
      <c r="C56" s="117"/>
      <c r="D56" s="98">
        <v>-232221.72</v>
      </c>
      <c r="E56" s="98"/>
      <c r="F56" s="98">
        <f t="shared" si="1"/>
        <v>-232221.72</v>
      </c>
      <c r="G56" s="75">
        <f t="shared" si="3"/>
        <v>-293582.30999999994</v>
      </c>
      <c r="H56" s="98"/>
      <c r="I56" s="98"/>
      <c r="J56" s="67"/>
      <c r="K56" s="67"/>
      <c r="L56" s="67"/>
    </row>
    <row r="57" spans="1:12" hidden="1" outlineLevel="1" x14ac:dyDescent="0.25">
      <c r="A57" s="71">
        <f t="shared" si="0"/>
        <v>50</v>
      </c>
      <c r="B57" s="66">
        <f>+B56+30</f>
        <v>40295</v>
      </c>
      <c r="C57" s="117"/>
      <c r="D57" s="98">
        <v>-191430.37</v>
      </c>
      <c r="E57" s="98"/>
      <c r="F57" s="98">
        <f t="shared" si="1"/>
        <v>-191430.37</v>
      </c>
      <c r="G57" s="75">
        <f t="shared" si="3"/>
        <v>-485012.67999999993</v>
      </c>
      <c r="H57" s="98"/>
      <c r="I57" s="98"/>
      <c r="J57" s="67"/>
      <c r="K57" s="67"/>
      <c r="L57" s="67"/>
    </row>
    <row r="58" spans="1:12" hidden="1" outlineLevel="1" x14ac:dyDescent="0.25">
      <c r="A58" s="71">
        <f t="shared" si="0"/>
        <v>51</v>
      </c>
      <c r="B58" s="66">
        <f>+B57+31</f>
        <v>40326</v>
      </c>
      <c r="C58" s="117"/>
      <c r="D58" s="98">
        <v>-126222.13000000006</v>
      </c>
      <c r="E58" s="98"/>
      <c r="F58" s="98">
        <f t="shared" si="1"/>
        <v>-126222.13000000006</v>
      </c>
      <c r="G58" s="75">
        <f t="shared" si="3"/>
        <v>-611234.81000000006</v>
      </c>
      <c r="H58" s="98"/>
      <c r="I58" s="98"/>
      <c r="J58" s="67"/>
      <c r="K58" s="67"/>
      <c r="L58" s="67"/>
    </row>
    <row r="59" spans="1:12" hidden="1" outlineLevel="1" x14ac:dyDescent="0.25">
      <c r="A59" s="71">
        <f t="shared" si="0"/>
        <v>52</v>
      </c>
      <c r="B59" s="66">
        <f>+B58+30</f>
        <v>40356</v>
      </c>
      <c r="C59" s="117"/>
      <c r="D59" s="98">
        <v>-133661.92999999993</v>
      </c>
      <c r="E59" s="98"/>
      <c r="F59" s="98">
        <f t="shared" si="1"/>
        <v>-133661.92999999993</v>
      </c>
      <c r="G59" s="75">
        <f t="shared" si="3"/>
        <v>-744896.74</v>
      </c>
      <c r="H59" s="98"/>
      <c r="I59" s="98"/>
      <c r="J59" s="67"/>
      <c r="K59" s="67"/>
      <c r="L59" s="67"/>
    </row>
    <row r="60" spans="1:12" hidden="1" outlineLevel="1" x14ac:dyDescent="0.25">
      <c r="A60" s="71">
        <f t="shared" si="0"/>
        <v>53</v>
      </c>
      <c r="B60" s="66">
        <f>+B59+31</f>
        <v>40387</v>
      </c>
      <c r="C60" s="117"/>
      <c r="D60" s="98">
        <v>-154562.03</v>
      </c>
      <c r="E60" s="98"/>
      <c r="F60" s="98">
        <f t="shared" si="1"/>
        <v>-154562.03</v>
      </c>
      <c r="G60" s="75">
        <f t="shared" si="3"/>
        <v>-899458.77</v>
      </c>
      <c r="H60" s="98"/>
      <c r="I60" s="98"/>
      <c r="J60" s="67"/>
      <c r="K60" s="67"/>
      <c r="L60" s="67"/>
    </row>
    <row r="61" spans="1:12" hidden="1" outlineLevel="1" x14ac:dyDescent="0.25">
      <c r="A61" s="71">
        <f t="shared" si="0"/>
        <v>54</v>
      </c>
      <c r="B61" s="66">
        <f>+B60+30</f>
        <v>40417</v>
      </c>
      <c r="C61" s="117"/>
      <c r="D61" s="98">
        <v>-152963.70000000001</v>
      </c>
      <c r="E61" s="98"/>
      <c r="F61" s="98">
        <f t="shared" si="1"/>
        <v>-152963.70000000001</v>
      </c>
      <c r="G61" s="75">
        <f t="shared" si="3"/>
        <v>-1052422.47</v>
      </c>
      <c r="H61" s="98"/>
      <c r="I61" s="98"/>
      <c r="J61" s="67"/>
      <c r="K61" s="67"/>
      <c r="L61" s="67"/>
    </row>
    <row r="62" spans="1:12" hidden="1" outlineLevel="1" x14ac:dyDescent="0.25">
      <c r="A62" s="71">
        <f t="shared" si="0"/>
        <v>55</v>
      </c>
      <c r="B62" s="66">
        <f>+B61+30</f>
        <v>40447</v>
      </c>
      <c r="C62" s="117"/>
      <c r="D62" s="98">
        <v>-146233.82999999999</v>
      </c>
      <c r="E62" s="98"/>
      <c r="F62" s="98">
        <f t="shared" si="1"/>
        <v>-146233.82999999999</v>
      </c>
      <c r="G62" s="75">
        <f t="shared" si="3"/>
        <v>-1198656.3</v>
      </c>
      <c r="H62" s="98"/>
      <c r="I62" s="98"/>
      <c r="J62" s="67"/>
      <c r="K62" s="67"/>
      <c r="L62" s="67"/>
    </row>
    <row r="63" spans="1:12" hidden="1" outlineLevel="1" x14ac:dyDescent="0.25">
      <c r="A63" s="71">
        <f t="shared" si="0"/>
        <v>56</v>
      </c>
      <c r="B63" s="66">
        <f>+B62+31</f>
        <v>40478</v>
      </c>
      <c r="C63" s="117"/>
      <c r="D63" s="98">
        <v>-143263.57</v>
      </c>
      <c r="E63" s="98"/>
      <c r="F63" s="98">
        <f t="shared" si="1"/>
        <v>-143263.57</v>
      </c>
      <c r="G63" s="75">
        <f t="shared" si="3"/>
        <v>-1341919.8700000001</v>
      </c>
      <c r="H63" s="98"/>
      <c r="I63" s="98"/>
      <c r="J63" s="67"/>
      <c r="K63" s="67"/>
      <c r="L63" s="67"/>
    </row>
    <row r="64" spans="1:12" hidden="1" outlineLevel="1" x14ac:dyDescent="0.25">
      <c r="A64" s="71">
        <f t="shared" si="0"/>
        <v>57</v>
      </c>
      <c r="B64" s="66">
        <f>+B63+30</f>
        <v>40508</v>
      </c>
      <c r="C64" s="117"/>
      <c r="D64" s="67">
        <v>-131269.85</v>
      </c>
      <c r="E64" s="98"/>
      <c r="F64" s="98">
        <f t="shared" si="1"/>
        <v>-131269.85</v>
      </c>
      <c r="G64" s="75">
        <f t="shared" si="3"/>
        <v>-1473189.7200000002</v>
      </c>
      <c r="H64" s="98"/>
      <c r="I64" s="98"/>
      <c r="J64" s="67"/>
      <c r="K64" s="67"/>
      <c r="L64" s="67"/>
    </row>
    <row r="65" spans="1:14" hidden="1" outlineLevel="1" x14ac:dyDescent="0.25">
      <c r="A65" s="71">
        <f t="shared" si="0"/>
        <v>58</v>
      </c>
      <c r="B65" s="66">
        <f>+B64+31</f>
        <v>40539</v>
      </c>
      <c r="C65" s="117"/>
      <c r="D65" s="67">
        <v>-138694.66</v>
      </c>
      <c r="E65" s="98"/>
      <c r="F65" s="98">
        <f t="shared" si="1"/>
        <v>-138694.66</v>
      </c>
      <c r="G65" s="75">
        <f t="shared" si="3"/>
        <v>-1611884.3800000001</v>
      </c>
      <c r="H65" s="98"/>
      <c r="I65" s="98"/>
      <c r="J65" s="67"/>
      <c r="K65" s="67"/>
      <c r="L65" s="67"/>
    </row>
    <row r="66" spans="1:14" hidden="1" outlineLevel="1" x14ac:dyDescent="0.25">
      <c r="A66" s="71">
        <f t="shared" si="0"/>
        <v>59</v>
      </c>
      <c r="B66" s="66">
        <f>+B65+31</f>
        <v>40570</v>
      </c>
      <c r="C66" s="87">
        <v>1</v>
      </c>
      <c r="D66" s="67">
        <v>-20085.68</v>
      </c>
      <c r="E66" s="98">
        <f>-G65</f>
        <v>1611884.3800000001</v>
      </c>
      <c r="F66" s="98">
        <f t="shared" si="1"/>
        <v>1591798.7000000002</v>
      </c>
      <c r="G66" s="75">
        <f t="shared" si="3"/>
        <v>-20085.679999999935</v>
      </c>
      <c r="H66" s="98"/>
      <c r="I66" s="98"/>
      <c r="J66" s="67"/>
      <c r="K66" s="67"/>
      <c r="L66" s="67"/>
    </row>
    <row r="67" spans="1:14" hidden="1" outlineLevel="1" x14ac:dyDescent="0.25">
      <c r="A67" s="71">
        <f t="shared" si="0"/>
        <v>60</v>
      </c>
      <c r="B67" s="66">
        <f>+B66+28</f>
        <v>40598</v>
      </c>
      <c r="C67" s="117"/>
      <c r="D67" s="98">
        <v>-90721</v>
      </c>
      <c r="E67" s="98"/>
      <c r="F67" s="98">
        <f t="shared" si="1"/>
        <v>-90721</v>
      </c>
      <c r="G67" s="75">
        <f t="shared" si="3"/>
        <v>-110806.67999999993</v>
      </c>
      <c r="H67" s="98"/>
      <c r="I67" s="98"/>
      <c r="J67" s="67"/>
      <c r="K67" s="67"/>
      <c r="L67" s="67"/>
    </row>
    <row r="68" spans="1:14" hidden="1" outlineLevel="1" x14ac:dyDescent="0.25">
      <c r="A68" s="71">
        <f t="shared" si="0"/>
        <v>61</v>
      </c>
      <c r="B68" s="66">
        <f>+B67+31</f>
        <v>40629</v>
      </c>
      <c r="C68" s="117"/>
      <c r="D68" s="98">
        <v>-137446.82</v>
      </c>
      <c r="E68" s="98"/>
      <c r="F68" s="98">
        <f t="shared" si="1"/>
        <v>-137446.82</v>
      </c>
      <c r="G68" s="75">
        <f t="shared" si="3"/>
        <v>-248253.49999999994</v>
      </c>
      <c r="H68" s="98"/>
      <c r="I68" s="98"/>
      <c r="J68" s="67"/>
      <c r="K68" s="67"/>
      <c r="L68" s="67"/>
    </row>
    <row r="69" spans="1:14" hidden="1" outlineLevel="1" x14ac:dyDescent="0.25">
      <c r="A69" s="71">
        <f t="shared" si="0"/>
        <v>62</v>
      </c>
      <c r="B69" s="66">
        <f>+B68+30</f>
        <v>40659</v>
      </c>
      <c r="C69" s="117"/>
      <c r="D69" s="98">
        <v>-94993.73</v>
      </c>
      <c r="E69" s="98"/>
      <c r="F69" s="98">
        <f t="shared" si="1"/>
        <v>-94993.73</v>
      </c>
      <c r="G69" s="75">
        <f t="shared" si="3"/>
        <v>-343247.22999999992</v>
      </c>
      <c r="H69" s="98"/>
      <c r="I69" s="98"/>
      <c r="J69" s="67"/>
      <c r="K69" s="67"/>
      <c r="L69" s="67"/>
    </row>
    <row r="70" spans="1:14" hidden="1" outlineLevel="1" x14ac:dyDescent="0.25">
      <c r="A70" s="71">
        <f t="shared" si="0"/>
        <v>63</v>
      </c>
      <c r="B70" s="66">
        <f>+B69+31</f>
        <v>40690</v>
      </c>
      <c r="C70" s="117"/>
      <c r="D70" s="98">
        <v>-101290.28</v>
      </c>
      <c r="E70" s="98"/>
      <c r="F70" s="98">
        <f t="shared" si="1"/>
        <v>-101290.28</v>
      </c>
      <c r="G70" s="75">
        <f t="shared" si="3"/>
        <v>-444537.50999999989</v>
      </c>
      <c r="H70" s="98"/>
      <c r="I70" s="98"/>
      <c r="J70" s="67"/>
      <c r="K70" s="67"/>
      <c r="L70" s="67"/>
    </row>
    <row r="71" spans="1:14" hidden="1" outlineLevel="1" x14ac:dyDescent="0.25">
      <c r="A71" s="71">
        <f t="shared" si="0"/>
        <v>64</v>
      </c>
      <c r="B71" s="66">
        <f>+B70+30</f>
        <v>40720</v>
      </c>
      <c r="C71" s="117"/>
      <c r="D71" s="98">
        <v>-100868.56</v>
      </c>
      <c r="E71" s="98"/>
      <c r="F71" s="98">
        <f t="shared" si="1"/>
        <v>-100868.56</v>
      </c>
      <c r="G71" s="75">
        <f t="shared" si="3"/>
        <v>-545406.06999999983</v>
      </c>
      <c r="H71" s="98"/>
      <c r="I71" s="98"/>
      <c r="J71" s="67"/>
      <c r="K71" s="67"/>
      <c r="L71" s="67"/>
    </row>
    <row r="72" spans="1:14" hidden="1" outlineLevel="1" x14ac:dyDescent="0.25">
      <c r="A72" s="71">
        <f t="shared" si="0"/>
        <v>65</v>
      </c>
      <c r="B72" s="66">
        <f>+B71+31</f>
        <v>40751</v>
      </c>
      <c r="C72" s="117"/>
      <c r="D72" s="98">
        <v>-111706.17</v>
      </c>
      <c r="E72" s="98"/>
      <c r="F72" s="98">
        <f t="shared" si="1"/>
        <v>-111706.17</v>
      </c>
      <c r="G72" s="75">
        <f t="shared" si="3"/>
        <v>-657112.23999999987</v>
      </c>
      <c r="H72" s="98"/>
      <c r="I72" s="98"/>
      <c r="J72" s="128"/>
      <c r="L72" s="67"/>
      <c r="M72" s="123"/>
    </row>
    <row r="73" spans="1:14" hidden="1" outlineLevel="1" x14ac:dyDescent="0.25">
      <c r="A73" s="71">
        <f t="shared" ref="A73:A136" si="4">+A72+1</f>
        <v>66</v>
      </c>
      <c r="B73" s="66">
        <f>+B72+30</f>
        <v>40781</v>
      </c>
      <c r="C73" s="117"/>
      <c r="D73" s="98">
        <v>-114063.55</v>
      </c>
      <c r="E73" s="98"/>
      <c r="F73" s="98">
        <f t="shared" si="1"/>
        <v>-114063.55</v>
      </c>
      <c r="G73" s="75">
        <f t="shared" si="3"/>
        <v>-771175.78999999992</v>
      </c>
      <c r="H73" s="98"/>
      <c r="I73" s="128"/>
    </row>
    <row r="74" spans="1:14" hidden="1" outlineLevel="1" x14ac:dyDescent="0.25">
      <c r="A74" s="71">
        <f t="shared" si="4"/>
        <v>67</v>
      </c>
      <c r="B74" s="66">
        <f>+B73+30</f>
        <v>40811</v>
      </c>
      <c r="C74" s="117"/>
      <c r="D74" s="98">
        <v>-109076.46</v>
      </c>
      <c r="E74" s="98"/>
      <c r="F74" s="98">
        <f t="shared" si="1"/>
        <v>-109076.46</v>
      </c>
      <c r="G74" s="75">
        <f t="shared" si="3"/>
        <v>-880252.24999999988</v>
      </c>
      <c r="H74" s="98"/>
      <c r="I74" s="98"/>
      <c r="J74" s="86"/>
      <c r="K74" s="86"/>
      <c r="L74" s="86"/>
      <c r="M74" s="86"/>
      <c r="N74" s="86"/>
    </row>
    <row r="75" spans="1:14" hidden="1" outlineLevel="1" x14ac:dyDescent="0.25">
      <c r="A75" s="71">
        <f t="shared" si="4"/>
        <v>68</v>
      </c>
      <c r="B75" s="66">
        <f>+B74+31</f>
        <v>40842</v>
      </c>
      <c r="C75" s="117"/>
      <c r="D75" s="98">
        <v>-115942.59</v>
      </c>
      <c r="E75" s="98"/>
      <c r="F75" s="98">
        <f t="shared" si="1"/>
        <v>-115942.59</v>
      </c>
      <c r="G75" s="75">
        <f t="shared" si="3"/>
        <v>-996194.83999999985</v>
      </c>
      <c r="H75" s="98"/>
      <c r="I75" s="98"/>
      <c r="J75" s="86"/>
      <c r="K75" s="86"/>
      <c r="L75" s="86"/>
      <c r="M75" s="86"/>
      <c r="N75" s="86"/>
    </row>
    <row r="76" spans="1:14" hidden="1" outlineLevel="1" x14ac:dyDescent="0.25">
      <c r="A76" s="71">
        <f t="shared" si="4"/>
        <v>69</v>
      </c>
      <c r="B76" s="66">
        <f>+B75+30</f>
        <v>40872</v>
      </c>
      <c r="C76" s="117"/>
      <c r="D76" s="98">
        <v>-115913.65</v>
      </c>
      <c r="E76" s="98"/>
      <c r="F76" s="98">
        <f t="shared" si="1"/>
        <v>-115913.65</v>
      </c>
      <c r="G76" s="75">
        <f t="shared" si="3"/>
        <v>-1112108.4899999998</v>
      </c>
      <c r="H76" s="98"/>
      <c r="I76" s="98"/>
      <c r="J76" s="86"/>
      <c r="K76" s="86"/>
      <c r="L76" s="86"/>
      <c r="M76" s="86"/>
      <c r="N76" s="86"/>
    </row>
    <row r="77" spans="1:14" hidden="1" outlineLevel="1" x14ac:dyDescent="0.25">
      <c r="A77" s="71">
        <f t="shared" si="4"/>
        <v>70</v>
      </c>
      <c r="B77" s="66">
        <f>+B76+31</f>
        <v>40903</v>
      </c>
      <c r="C77" s="87"/>
      <c r="D77" s="98">
        <v>-109969.08</v>
      </c>
      <c r="E77" s="98"/>
      <c r="F77" s="98">
        <f t="shared" si="1"/>
        <v>-109969.08</v>
      </c>
      <c r="G77" s="75">
        <f t="shared" si="3"/>
        <v>-1222077.5699999998</v>
      </c>
      <c r="H77" s="98"/>
      <c r="I77" s="98"/>
      <c r="J77" s="86"/>
      <c r="K77" s="86"/>
      <c r="L77" s="86"/>
      <c r="M77" s="86"/>
      <c r="N77" s="86"/>
    </row>
    <row r="78" spans="1:14" hidden="1" outlineLevel="1" x14ac:dyDescent="0.25">
      <c r="A78" s="71">
        <f t="shared" si="4"/>
        <v>71</v>
      </c>
      <c r="B78" s="66">
        <f>+B77+31</f>
        <v>40934</v>
      </c>
      <c r="C78" s="87">
        <v>1</v>
      </c>
      <c r="D78" s="98">
        <v>-14090.24</v>
      </c>
      <c r="E78" s="98">
        <f>-G77</f>
        <v>1222077.5699999998</v>
      </c>
      <c r="F78" s="98">
        <f t="shared" si="1"/>
        <v>1207987.3299999998</v>
      </c>
      <c r="G78" s="75">
        <f t="shared" si="3"/>
        <v>-14090.239999999991</v>
      </c>
      <c r="H78" s="98"/>
      <c r="I78" s="98"/>
      <c r="J78" s="86"/>
      <c r="K78" s="86"/>
      <c r="L78" s="86"/>
      <c r="M78" s="86"/>
      <c r="N78" s="86"/>
    </row>
    <row r="79" spans="1:14" hidden="1" outlineLevel="1" x14ac:dyDescent="0.25">
      <c r="A79" s="71">
        <f t="shared" si="4"/>
        <v>72</v>
      </c>
      <c r="B79" s="66">
        <f>+B78+29</f>
        <v>40963</v>
      </c>
      <c r="C79" s="117"/>
      <c r="D79" s="98">
        <v>-50280.82</v>
      </c>
      <c r="E79" s="98"/>
      <c r="F79" s="98">
        <f t="shared" si="1"/>
        <v>-50280.82</v>
      </c>
      <c r="G79" s="75">
        <f t="shared" si="3"/>
        <v>-64371.05999999999</v>
      </c>
      <c r="H79" s="98"/>
      <c r="I79" s="98"/>
      <c r="J79" s="86"/>
      <c r="K79" s="86"/>
      <c r="L79" s="86"/>
      <c r="M79" s="86"/>
      <c r="N79" s="86"/>
    </row>
    <row r="80" spans="1:14" hidden="1" outlineLevel="1" x14ac:dyDescent="0.25">
      <c r="A80" s="71">
        <f t="shared" si="4"/>
        <v>73</v>
      </c>
      <c r="B80" s="66">
        <f>+B79+31</f>
        <v>40994</v>
      </c>
      <c r="C80" s="117"/>
      <c r="D80" s="98">
        <v>-97286.399999999994</v>
      </c>
      <c r="E80" s="98"/>
      <c r="F80" s="98">
        <f t="shared" ref="F80:F143" si="5">SUM(D80:E80)</f>
        <v>-97286.399999999994</v>
      </c>
      <c r="G80" s="75">
        <f t="shared" ref="G80:G111" si="6">+G79+F80</f>
        <v>-161657.46</v>
      </c>
      <c r="H80" s="98"/>
      <c r="I80" s="98"/>
      <c r="J80" s="67"/>
      <c r="K80" s="67"/>
      <c r="L80" s="67"/>
    </row>
    <row r="81" spans="1:12" hidden="1" outlineLevel="1" x14ac:dyDescent="0.25">
      <c r="A81" s="71">
        <f t="shared" si="4"/>
        <v>74</v>
      </c>
      <c r="B81" s="66">
        <f>+B80+30</f>
        <v>41024</v>
      </c>
      <c r="C81" s="117"/>
      <c r="D81" s="98">
        <v>-113375.7</v>
      </c>
      <c r="E81" s="98"/>
      <c r="F81" s="98">
        <f t="shared" si="5"/>
        <v>-113375.7</v>
      </c>
      <c r="G81" s="75">
        <f t="shared" si="6"/>
        <v>-275033.15999999997</v>
      </c>
      <c r="H81" s="98"/>
      <c r="I81" s="98"/>
      <c r="J81" s="67"/>
      <c r="K81" s="67"/>
      <c r="L81" s="67"/>
    </row>
    <row r="82" spans="1:12" hidden="1" outlineLevel="1" x14ac:dyDescent="0.25">
      <c r="A82" s="71">
        <f t="shared" si="4"/>
        <v>75</v>
      </c>
      <c r="B82" s="66">
        <f>+B81+31</f>
        <v>41055</v>
      </c>
      <c r="C82" s="117"/>
      <c r="D82" s="98">
        <f>-98741-14882.84</f>
        <v>-113623.84</v>
      </c>
      <c r="E82" s="98"/>
      <c r="F82" s="98">
        <f t="shared" si="5"/>
        <v>-113623.84</v>
      </c>
      <c r="G82" s="75">
        <f t="shared" si="6"/>
        <v>-388657</v>
      </c>
      <c r="H82" s="67"/>
      <c r="I82" s="98"/>
      <c r="J82" s="67"/>
      <c r="K82" s="67"/>
      <c r="L82" s="67"/>
    </row>
    <row r="83" spans="1:12" hidden="1" outlineLevel="1" x14ac:dyDescent="0.25">
      <c r="A83" s="71">
        <f t="shared" si="4"/>
        <v>76</v>
      </c>
      <c r="B83" s="66">
        <f>+B82+30</f>
        <v>41085</v>
      </c>
      <c r="C83" s="117"/>
      <c r="D83" s="98">
        <v>-102269.3</v>
      </c>
      <c r="E83" s="98"/>
      <c r="F83" s="98">
        <f t="shared" si="5"/>
        <v>-102269.3</v>
      </c>
      <c r="G83" s="75">
        <f t="shared" si="6"/>
        <v>-490926.3</v>
      </c>
      <c r="H83" s="98"/>
      <c r="I83" s="98"/>
      <c r="J83" s="67"/>
      <c r="K83" s="67"/>
      <c r="L83" s="67"/>
    </row>
    <row r="84" spans="1:12" hidden="1" outlineLevel="1" x14ac:dyDescent="0.25">
      <c r="A84" s="71">
        <f t="shared" si="4"/>
        <v>77</v>
      </c>
      <c r="B84" s="66">
        <f>+B83+31</f>
        <v>41116</v>
      </c>
      <c r="C84" s="117"/>
      <c r="D84" s="98">
        <v>-121526.05</v>
      </c>
      <c r="E84" s="98"/>
      <c r="F84" s="98">
        <f t="shared" si="5"/>
        <v>-121526.05</v>
      </c>
      <c r="G84" s="75">
        <f t="shared" si="6"/>
        <v>-612452.35</v>
      </c>
      <c r="H84" s="98"/>
      <c r="I84" s="98"/>
      <c r="J84" s="67"/>
      <c r="K84" s="67"/>
      <c r="L84" s="67"/>
    </row>
    <row r="85" spans="1:12" hidden="1" outlineLevel="1" x14ac:dyDescent="0.25">
      <c r="A85" s="71">
        <f t="shared" si="4"/>
        <v>78</v>
      </c>
      <c r="B85" s="66">
        <f>+B84+30</f>
        <v>41146</v>
      </c>
      <c r="C85" s="117"/>
      <c r="D85" s="98">
        <v>-122121.93</v>
      </c>
      <c r="E85" s="98"/>
      <c r="F85" s="98">
        <f t="shared" si="5"/>
        <v>-122121.93</v>
      </c>
      <c r="G85" s="75">
        <f t="shared" si="6"/>
        <v>-734574.28</v>
      </c>
      <c r="H85" s="98"/>
      <c r="I85" s="124"/>
      <c r="J85" s="67"/>
      <c r="K85" s="67"/>
      <c r="L85" s="67"/>
    </row>
    <row r="86" spans="1:12" hidden="1" outlineLevel="1" x14ac:dyDescent="0.25">
      <c r="A86" s="71">
        <f t="shared" si="4"/>
        <v>79</v>
      </c>
      <c r="B86" s="66">
        <f>+B85+30</f>
        <v>41176</v>
      </c>
      <c r="C86" s="117"/>
      <c r="D86" s="98">
        <v>-112520.67</v>
      </c>
      <c r="E86" s="98"/>
      <c r="F86" s="98">
        <f t="shared" si="5"/>
        <v>-112520.67</v>
      </c>
      <c r="G86" s="75">
        <f t="shared" si="6"/>
        <v>-847094.95000000007</v>
      </c>
      <c r="H86" s="98"/>
      <c r="I86" s="124"/>
      <c r="J86" s="67"/>
      <c r="K86" s="67"/>
      <c r="L86" s="67"/>
    </row>
    <row r="87" spans="1:12" hidden="1" outlineLevel="1" x14ac:dyDescent="0.25">
      <c r="A87" s="71">
        <f t="shared" si="4"/>
        <v>80</v>
      </c>
      <c r="B87" s="66">
        <f>+B86+31</f>
        <v>41207</v>
      </c>
      <c r="C87" s="117"/>
      <c r="D87" s="98">
        <v>-106341.86</v>
      </c>
      <c r="E87" s="98"/>
      <c r="F87" s="98">
        <f t="shared" si="5"/>
        <v>-106341.86</v>
      </c>
      <c r="G87" s="75">
        <f t="shared" si="6"/>
        <v>-953436.81</v>
      </c>
      <c r="H87" s="98"/>
      <c r="I87" s="124"/>
      <c r="J87" s="67"/>
      <c r="K87" s="67"/>
      <c r="L87" s="67"/>
    </row>
    <row r="88" spans="1:12" hidden="1" outlineLevel="1" x14ac:dyDescent="0.25">
      <c r="A88" s="71">
        <f t="shared" si="4"/>
        <v>81</v>
      </c>
      <c r="B88" s="66">
        <f>+B87+30</f>
        <v>41237</v>
      </c>
      <c r="C88" s="117"/>
      <c r="D88" s="98">
        <v>-118921.4</v>
      </c>
      <c r="E88" s="98"/>
      <c r="F88" s="98">
        <f t="shared" si="5"/>
        <v>-118921.4</v>
      </c>
      <c r="G88" s="75">
        <f t="shared" si="6"/>
        <v>-1072358.21</v>
      </c>
      <c r="H88" s="98"/>
      <c r="I88" s="124"/>
      <c r="J88" s="67"/>
      <c r="K88" s="67"/>
      <c r="L88" s="67"/>
    </row>
    <row r="89" spans="1:12" hidden="1" outlineLevel="1" x14ac:dyDescent="0.25">
      <c r="A89" s="71">
        <f t="shared" si="4"/>
        <v>82</v>
      </c>
      <c r="B89" s="66">
        <f>+B88+31</f>
        <v>41268</v>
      </c>
      <c r="C89" s="117"/>
      <c r="D89" s="98">
        <v>-127191.63</v>
      </c>
      <c r="E89" s="98"/>
      <c r="F89" s="98">
        <f t="shared" si="5"/>
        <v>-127191.63</v>
      </c>
      <c r="G89" s="75">
        <f t="shared" si="6"/>
        <v>-1199549.8399999999</v>
      </c>
      <c r="H89" s="98"/>
      <c r="I89" s="124"/>
      <c r="J89" s="67"/>
      <c r="K89" s="67"/>
      <c r="L89" s="67"/>
    </row>
    <row r="90" spans="1:12" hidden="1" outlineLevel="1" x14ac:dyDescent="0.25">
      <c r="A90" s="71">
        <f t="shared" si="4"/>
        <v>83</v>
      </c>
      <c r="B90" s="66">
        <f>+B89+31</f>
        <v>41299</v>
      </c>
      <c r="C90" s="87">
        <v>1</v>
      </c>
      <c r="D90" s="98">
        <v>-24381.279999999999</v>
      </c>
      <c r="E90" s="98">
        <f>-G89</f>
        <v>1199549.8399999999</v>
      </c>
      <c r="F90" s="98">
        <f t="shared" si="5"/>
        <v>1175168.5599999998</v>
      </c>
      <c r="G90" s="75">
        <f t="shared" si="6"/>
        <v>-24381.280000000028</v>
      </c>
      <c r="H90" s="98"/>
      <c r="I90" s="124"/>
      <c r="J90" s="67"/>
      <c r="K90" s="67"/>
      <c r="L90" s="67"/>
    </row>
    <row r="91" spans="1:12" hidden="1" outlineLevel="1" x14ac:dyDescent="0.25">
      <c r="A91" s="71">
        <f t="shared" si="4"/>
        <v>84</v>
      </c>
      <c r="B91" s="66">
        <f>+B90+28</f>
        <v>41327</v>
      </c>
      <c r="C91" s="117"/>
      <c r="D91" s="98">
        <v>-83537.95</v>
      </c>
      <c r="E91" s="98"/>
      <c r="F91" s="98">
        <f t="shared" si="5"/>
        <v>-83537.95</v>
      </c>
      <c r="G91" s="75">
        <f t="shared" si="6"/>
        <v>-107919.23000000003</v>
      </c>
      <c r="H91" s="98"/>
      <c r="I91" s="124"/>
      <c r="J91" s="67"/>
      <c r="K91" s="67"/>
      <c r="L91" s="67"/>
    </row>
    <row r="92" spans="1:12" hidden="1" outlineLevel="1" x14ac:dyDescent="0.25">
      <c r="A92" s="71">
        <f t="shared" si="4"/>
        <v>85</v>
      </c>
      <c r="B92" s="66">
        <f>+B91+31</f>
        <v>41358</v>
      </c>
      <c r="C92" s="117"/>
      <c r="D92" s="98">
        <v>-127523.72</v>
      </c>
      <c r="E92" s="98"/>
      <c r="F92" s="98">
        <f t="shared" si="5"/>
        <v>-127523.72</v>
      </c>
      <c r="G92" s="75">
        <f t="shared" si="6"/>
        <v>-235442.95</v>
      </c>
      <c r="H92" s="98"/>
      <c r="I92" s="124"/>
      <c r="J92" s="67"/>
      <c r="K92" s="67"/>
      <c r="L92" s="67"/>
    </row>
    <row r="93" spans="1:12" hidden="1" outlineLevel="1" x14ac:dyDescent="0.25">
      <c r="A93" s="71">
        <f t="shared" si="4"/>
        <v>86</v>
      </c>
      <c r="B93" s="66">
        <f>+B92+30</f>
        <v>41388</v>
      </c>
      <c r="C93" s="117"/>
      <c r="D93" s="98">
        <v>-107817.05</v>
      </c>
      <c r="E93" s="98"/>
      <c r="F93" s="98">
        <f t="shared" si="5"/>
        <v>-107817.05</v>
      </c>
      <c r="G93" s="75">
        <f t="shared" si="6"/>
        <v>-343260</v>
      </c>
      <c r="H93" s="98"/>
      <c r="I93" s="124"/>
      <c r="J93" s="67"/>
      <c r="K93" s="67"/>
      <c r="L93" s="67"/>
    </row>
    <row r="94" spans="1:12" hidden="1" outlineLevel="1" x14ac:dyDescent="0.25">
      <c r="A94" s="71">
        <f t="shared" si="4"/>
        <v>87</v>
      </c>
      <c r="B94" s="66">
        <f>+B93+31</f>
        <v>41419</v>
      </c>
      <c r="C94" s="117"/>
      <c r="D94" s="98">
        <v>-127189.64</v>
      </c>
      <c r="E94" s="98"/>
      <c r="F94" s="98">
        <f t="shared" si="5"/>
        <v>-127189.64</v>
      </c>
      <c r="G94" s="75">
        <f t="shared" si="6"/>
        <v>-470449.64</v>
      </c>
      <c r="H94" s="98"/>
      <c r="I94" s="124"/>
      <c r="J94" s="67"/>
      <c r="K94" s="67"/>
      <c r="L94" s="67"/>
    </row>
    <row r="95" spans="1:12" hidden="1" outlineLevel="1" x14ac:dyDescent="0.25">
      <c r="A95" s="71">
        <f t="shared" si="4"/>
        <v>88</v>
      </c>
      <c r="B95" s="66">
        <f>+B94+30</f>
        <v>41449</v>
      </c>
      <c r="C95" s="117"/>
      <c r="D95" s="98">
        <v>-127041.69</v>
      </c>
      <c r="E95" s="98"/>
      <c r="F95" s="98">
        <f t="shared" si="5"/>
        <v>-127041.69</v>
      </c>
      <c r="G95" s="75">
        <f t="shared" si="6"/>
        <v>-597491.33000000007</v>
      </c>
      <c r="H95" s="98"/>
      <c r="I95" s="124"/>
      <c r="J95" s="67"/>
      <c r="K95" s="67"/>
      <c r="L95" s="67"/>
    </row>
    <row r="96" spans="1:12" hidden="1" outlineLevel="1" x14ac:dyDescent="0.25">
      <c r="A96" s="71">
        <f t="shared" si="4"/>
        <v>89</v>
      </c>
      <c r="B96" s="66">
        <f>+B95+31</f>
        <v>41480</v>
      </c>
      <c r="C96" s="117"/>
      <c r="D96" s="98">
        <v>-130600.41</v>
      </c>
      <c r="E96" s="98"/>
      <c r="F96" s="98">
        <f t="shared" si="5"/>
        <v>-130600.41</v>
      </c>
      <c r="G96" s="75">
        <f t="shared" si="6"/>
        <v>-728091.74000000011</v>
      </c>
      <c r="H96" s="98"/>
      <c r="I96" s="124"/>
      <c r="J96" s="67"/>
      <c r="K96" s="67"/>
      <c r="L96" s="67"/>
    </row>
    <row r="97" spans="1:12" hidden="1" outlineLevel="1" x14ac:dyDescent="0.25">
      <c r="A97" s="71">
        <f t="shared" si="4"/>
        <v>90</v>
      </c>
      <c r="B97" s="66">
        <f>+B96+30</f>
        <v>41510</v>
      </c>
      <c r="C97" s="117"/>
      <c r="D97" s="98">
        <v>-117623.85</v>
      </c>
      <c r="E97" s="98"/>
      <c r="F97" s="98">
        <f t="shared" si="5"/>
        <v>-117623.85</v>
      </c>
      <c r="G97" s="75">
        <f t="shared" si="6"/>
        <v>-845715.59000000008</v>
      </c>
      <c r="H97" s="98"/>
      <c r="I97" s="124"/>
      <c r="J97" s="67"/>
      <c r="K97" s="67"/>
      <c r="L97" s="67"/>
    </row>
    <row r="98" spans="1:12" hidden="1" outlineLevel="1" x14ac:dyDescent="0.25">
      <c r="A98" s="71">
        <f t="shared" si="4"/>
        <v>91</v>
      </c>
      <c r="B98" s="66">
        <f>+B97+30</f>
        <v>41540</v>
      </c>
      <c r="C98" s="117"/>
      <c r="D98" s="98">
        <v>-141304.70000000001</v>
      </c>
      <c r="E98" s="98"/>
      <c r="F98" s="98">
        <f t="shared" si="5"/>
        <v>-141304.70000000001</v>
      </c>
      <c r="G98" s="75">
        <f t="shared" si="6"/>
        <v>-987020.29</v>
      </c>
      <c r="H98" s="98"/>
      <c r="I98" s="124"/>
      <c r="J98" s="67"/>
      <c r="K98" s="67"/>
      <c r="L98" s="67"/>
    </row>
    <row r="99" spans="1:12" hidden="1" outlineLevel="1" x14ac:dyDescent="0.25">
      <c r="A99" s="71">
        <f t="shared" si="4"/>
        <v>92</v>
      </c>
      <c r="B99" s="66">
        <f>+B98+31</f>
        <v>41571</v>
      </c>
      <c r="C99" s="117"/>
      <c r="D99" s="98">
        <v>-130857.36</v>
      </c>
      <c r="E99" s="98"/>
      <c r="F99" s="98">
        <f t="shared" si="5"/>
        <v>-130857.36</v>
      </c>
      <c r="G99" s="75">
        <f t="shared" si="6"/>
        <v>-1117877.6500000001</v>
      </c>
      <c r="H99" s="98"/>
      <c r="I99" s="124"/>
      <c r="J99" s="67"/>
      <c r="K99" s="67"/>
      <c r="L99" s="67"/>
    </row>
    <row r="100" spans="1:12" hidden="1" outlineLevel="1" x14ac:dyDescent="0.25">
      <c r="A100" s="71">
        <f t="shared" si="4"/>
        <v>93</v>
      </c>
      <c r="B100" s="66">
        <f>+B99+30</f>
        <v>41601</v>
      </c>
      <c r="C100" s="117"/>
      <c r="D100" s="98">
        <v>-120145.27</v>
      </c>
      <c r="E100" s="98"/>
      <c r="F100" s="98">
        <f t="shared" si="5"/>
        <v>-120145.27</v>
      </c>
      <c r="G100" s="75">
        <f t="shared" si="6"/>
        <v>-1238022.9200000002</v>
      </c>
      <c r="H100" s="98"/>
      <c r="I100" s="124"/>
      <c r="J100" s="67"/>
      <c r="K100" s="67"/>
      <c r="L100" s="67"/>
    </row>
    <row r="101" spans="1:12" hidden="1" outlineLevel="1" x14ac:dyDescent="0.25">
      <c r="A101" s="71">
        <f t="shared" si="4"/>
        <v>94</v>
      </c>
      <c r="B101" s="66">
        <f>+B100+31</f>
        <v>41632</v>
      </c>
      <c r="C101" s="117"/>
      <c r="D101" s="98">
        <v>-140030.45000000001</v>
      </c>
      <c r="E101" s="98"/>
      <c r="F101" s="98">
        <f t="shared" si="5"/>
        <v>-140030.45000000001</v>
      </c>
      <c r="G101" s="75">
        <f t="shared" si="6"/>
        <v>-1378053.37</v>
      </c>
      <c r="H101" s="98"/>
      <c r="I101" s="124"/>
      <c r="J101" s="67"/>
      <c r="K101" s="67"/>
      <c r="L101" s="67"/>
    </row>
    <row r="102" spans="1:12" hidden="1" outlineLevel="1" x14ac:dyDescent="0.25">
      <c r="A102" s="71">
        <f t="shared" si="4"/>
        <v>95</v>
      </c>
      <c r="B102" s="66">
        <f>+B101+31</f>
        <v>41663</v>
      </c>
      <c r="C102" s="87">
        <v>1</v>
      </c>
      <c r="D102" s="98">
        <v>-19544.39</v>
      </c>
      <c r="E102" s="98">
        <v>1378053.37</v>
      </c>
      <c r="F102" s="98">
        <f t="shared" si="5"/>
        <v>1358508.9800000002</v>
      </c>
      <c r="G102" s="75">
        <f t="shared" si="6"/>
        <v>-19544.389999999898</v>
      </c>
      <c r="H102" s="98"/>
      <c r="I102" s="124"/>
      <c r="J102" s="67"/>
      <c r="K102" s="67"/>
      <c r="L102" s="67"/>
    </row>
    <row r="103" spans="1:12" hidden="1" outlineLevel="1" x14ac:dyDescent="0.25">
      <c r="A103" s="71">
        <f t="shared" si="4"/>
        <v>96</v>
      </c>
      <c r="B103" s="66">
        <f>+B102+28</f>
        <v>41691</v>
      </c>
      <c r="C103" s="117"/>
      <c r="D103" s="98">
        <v>-79292.61</v>
      </c>
      <c r="E103" s="98"/>
      <c r="F103" s="98">
        <f t="shared" si="5"/>
        <v>-79292.61</v>
      </c>
      <c r="G103" s="75">
        <f t="shared" si="6"/>
        <v>-98836.999999999898</v>
      </c>
      <c r="H103" s="98"/>
      <c r="I103" s="124"/>
      <c r="J103" s="67"/>
      <c r="K103" s="67"/>
      <c r="L103" s="67"/>
    </row>
    <row r="104" spans="1:12" hidden="1" outlineLevel="1" x14ac:dyDescent="0.25">
      <c r="A104" s="71">
        <f t="shared" si="4"/>
        <v>97</v>
      </c>
      <c r="B104" s="66">
        <f>+B103+31</f>
        <v>41722</v>
      </c>
      <c r="C104" s="117"/>
      <c r="D104" s="98">
        <v>-121738.85</v>
      </c>
      <c r="E104" s="98"/>
      <c r="F104" s="98">
        <f t="shared" si="5"/>
        <v>-121738.85</v>
      </c>
      <c r="G104" s="75">
        <f t="shared" si="6"/>
        <v>-220575.84999999992</v>
      </c>
      <c r="H104" s="98"/>
      <c r="I104" s="124"/>
      <c r="J104" s="67"/>
      <c r="K104" s="67"/>
      <c r="L104" s="67"/>
    </row>
    <row r="105" spans="1:12" hidden="1" outlineLevel="1" x14ac:dyDescent="0.25">
      <c r="A105" s="71">
        <f t="shared" si="4"/>
        <v>98</v>
      </c>
      <c r="B105" s="66">
        <f>+B104+30</f>
        <v>41752</v>
      </c>
      <c r="C105" s="117"/>
      <c r="D105" s="98">
        <v>-98582.62</v>
      </c>
      <c r="E105" s="98"/>
      <c r="F105" s="98">
        <f t="shared" si="5"/>
        <v>-98582.62</v>
      </c>
      <c r="G105" s="75">
        <f t="shared" si="6"/>
        <v>-319158.46999999991</v>
      </c>
      <c r="H105" s="98"/>
      <c r="I105" s="124"/>
      <c r="J105" s="67"/>
      <c r="K105" s="67"/>
      <c r="L105" s="67"/>
    </row>
    <row r="106" spans="1:12" hidden="1" outlineLevel="1" x14ac:dyDescent="0.25">
      <c r="A106" s="71">
        <f t="shared" si="4"/>
        <v>99</v>
      </c>
      <c r="B106" s="66">
        <f>+B105+31</f>
        <v>41783</v>
      </c>
      <c r="C106" s="117"/>
      <c r="D106" s="98">
        <v>-108876.86</v>
      </c>
      <c r="E106" s="98"/>
      <c r="F106" s="98">
        <f t="shared" si="5"/>
        <v>-108876.86</v>
      </c>
      <c r="G106" s="75">
        <f t="shared" si="6"/>
        <v>-428035.3299999999</v>
      </c>
      <c r="H106" s="98"/>
      <c r="I106" s="124"/>
      <c r="J106" s="67"/>
      <c r="K106" s="67"/>
      <c r="L106" s="67"/>
    </row>
    <row r="107" spans="1:12" hidden="1" outlineLevel="1" x14ac:dyDescent="0.25">
      <c r="A107" s="71">
        <f t="shared" si="4"/>
        <v>100</v>
      </c>
      <c r="B107" s="66">
        <f>+B106+30</f>
        <v>41813</v>
      </c>
      <c r="C107" s="117"/>
      <c r="D107" s="98">
        <v>-121459.66</v>
      </c>
      <c r="E107" s="98"/>
      <c r="F107" s="98">
        <f t="shared" si="5"/>
        <v>-121459.66</v>
      </c>
      <c r="G107" s="75">
        <f t="shared" si="6"/>
        <v>-549494.98999999987</v>
      </c>
      <c r="H107" s="98"/>
      <c r="I107" s="124"/>
      <c r="J107" s="67"/>
      <c r="K107" s="67"/>
      <c r="L107" s="67"/>
    </row>
    <row r="108" spans="1:12" hidden="1" outlineLevel="1" x14ac:dyDescent="0.25">
      <c r="A108" s="71">
        <f t="shared" si="4"/>
        <v>101</v>
      </c>
      <c r="B108" s="66">
        <f>+B107+31</f>
        <v>41844</v>
      </c>
      <c r="C108" s="117"/>
      <c r="D108" s="98">
        <v>-120145.04</v>
      </c>
      <c r="E108" s="98"/>
      <c r="F108" s="98">
        <f t="shared" si="5"/>
        <v>-120145.04</v>
      </c>
      <c r="G108" s="75">
        <f t="shared" si="6"/>
        <v>-669640.02999999991</v>
      </c>
      <c r="H108" s="98"/>
      <c r="I108" s="124"/>
      <c r="J108" s="67"/>
      <c r="K108" s="67"/>
      <c r="L108" s="67"/>
    </row>
    <row r="109" spans="1:12" hidden="1" outlineLevel="1" x14ac:dyDescent="0.25">
      <c r="A109" s="71">
        <f t="shared" si="4"/>
        <v>102</v>
      </c>
      <c r="B109" s="66">
        <f>+B108+31</f>
        <v>41875</v>
      </c>
      <c r="C109" s="117"/>
      <c r="D109" s="98">
        <v>-118748.83</v>
      </c>
      <c r="E109" s="98"/>
      <c r="F109" s="98">
        <f t="shared" si="5"/>
        <v>-118748.83</v>
      </c>
      <c r="G109" s="75">
        <f t="shared" si="6"/>
        <v>-788388.85999999987</v>
      </c>
      <c r="H109" s="98"/>
      <c r="I109" s="124"/>
      <c r="J109" s="67"/>
      <c r="K109" s="67"/>
      <c r="L109" s="67"/>
    </row>
    <row r="110" spans="1:12" hidden="1" outlineLevel="1" x14ac:dyDescent="0.25">
      <c r="A110" s="71">
        <f t="shared" si="4"/>
        <v>103</v>
      </c>
      <c r="B110" s="66">
        <f>+B109+30</f>
        <v>41905</v>
      </c>
      <c r="C110" s="117"/>
      <c r="D110" s="98">
        <v>-119041.05</v>
      </c>
      <c r="E110" s="98"/>
      <c r="F110" s="98">
        <f t="shared" si="5"/>
        <v>-119041.05</v>
      </c>
      <c r="G110" s="75">
        <f t="shared" si="6"/>
        <v>-907429.90999999992</v>
      </c>
      <c r="H110" s="98"/>
      <c r="I110" s="124"/>
      <c r="J110" s="67"/>
      <c r="K110" s="67"/>
      <c r="L110" s="67"/>
    </row>
    <row r="111" spans="1:12" hidden="1" outlineLevel="1" x14ac:dyDescent="0.25">
      <c r="A111" s="71">
        <f t="shared" si="4"/>
        <v>104</v>
      </c>
      <c r="B111" s="66">
        <f>+B110+31</f>
        <v>41936</v>
      </c>
      <c r="C111" s="117"/>
      <c r="D111" s="98">
        <v>-108666.14</v>
      </c>
      <c r="E111" s="98"/>
      <c r="F111" s="98">
        <f t="shared" si="5"/>
        <v>-108666.14</v>
      </c>
      <c r="G111" s="75">
        <f t="shared" si="6"/>
        <v>-1016096.0499999999</v>
      </c>
      <c r="H111" s="98"/>
      <c r="I111" s="124"/>
      <c r="J111" s="67"/>
      <c r="K111" s="67"/>
      <c r="L111" s="67"/>
    </row>
    <row r="112" spans="1:12" hidden="1" outlineLevel="1" x14ac:dyDescent="0.25">
      <c r="A112" s="71">
        <f t="shared" si="4"/>
        <v>105</v>
      </c>
      <c r="B112" s="66">
        <f>+B111+31</f>
        <v>41967</v>
      </c>
      <c r="C112" s="117"/>
      <c r="D112" s="98">
        <v>-107433.34</v>
      </c>
      <c r="E112" s="98"/>
      <c r="F112" s="98">
        <f t="shared" si="5"/>
        <v>-107433.34</v>
      </c>
      <c r="G112" s="75">
        <f t="shared" ref="G112:G143" si="7">+G111+F112</f>
        <v>-1123529.3899999999</v>
      </c>
      <c r="H112" s="98"/>
      <c r="I112" s="124"/>
      <c r="J112" s="67"/>
      <c r="K112" s="67"/>
      <c r="L112" s="67"/>
    </row>
    <row r="113" spans="1:12" hidden="1" outlineLevel="1" x14ac:dyDescent="0.25">
      <c r="A113" s="71">
        <f t="shared" si="4"/>
        <v>106</v>
      </c>
      <c r="B113" s="66">
        <f>+B112+30</f>
        <v>41997</v>
      </c>
      <c r="C113" s="117"/>
      <c r="D113" s="98">
        <v>-99921.32</v>
      </c>
      <c r="E113" s="98"/>
      <c r="F113" s="98">
        <f t="shared" si="5"/>
        <v>-99921.32</v>
      </c>
      <c r="G113" s="75">
        <f t="shared" si="7"/>
        <v>-1223450.71</v>
      </c>
      <c r="H113" s="98"/>
      <c r="I113" s="124"/>
      <c r="J113" s="67"/>
      <c r="K113" s="67"/>
      <c r="L113" s="67"/>
    </row>
    <row r="114" spans="1:12" hidden="1" outlineLevel="1" x14ac:dyDescent="0.25">
      <c r="A114" s="71">
        <f t="shared" si="4"/>
        <v>107</v>
      </c>
      <c r="B114" s="66">
        <f>+B113+31</f>
        <v>42028</v>
      </c>
      <c r="C114" s="87">
        <v>1</v>
      </c>
      <c r="D114" s="98">
        <v>-11470.88</v>
      </c>
      <c r="E114" s="98">
        <v>1223450.71</v>
      </c>
      <c r="F114" s="98">
        <f t="shared" si="5"/>
        <v>1211979.83</v>
      </c>
      <c r="G114" s="75">
        <f t="shared" si="7"/>
        <v>-11470.879999999888</v>
      </c>
      <c r="H114" s="98"/>
      <c r="I114" s="124"/>
      <c r="J114" s="67"/>
      <c r="K114" s="67"/>
      <c r="L114" s="67"/>
    </row>
    <row r="115" spans="1:12" hidden="1" outlineLevel="1" x14ac:dyDescent="0.25">
      <c r="A115" s="71">
        <f t="shared" si="4"/>
        <v>108</v>
      </c>
      <c r="B115" s="66">
        <f>+B114+29</f>
        <v>42057</v>
      </c>
      <c r="C115" s="117"/>
      <c r="D115" s="98">
        <v>-48599.01</v>
      </c>
      <c r="E115" s="98"/>
      <c r="F115" s="98">
        <f t="shared" si="5"/>
        <v>-48599.01</v>
      </c>
      <c r="G115" s="75">
        <f t="shared" si="7"/>
        <v>-60069.88999999989</v>
      </c>
      <c r="H115" s="98"/>
      <c r="I115" s="124"/>
      <c r="J115" s="67"/>
      <c r="K115" s="67"/>
      <c r="L115" s="67"/>
    </row>
    <row r="116" spans="1:12" hidden="1" outlineLevel="1" x14ac:dyDescent="0.25">
      <c r="A116" s="71">
        <f t="shared" si="4"/>
        <v>109</v>
      </c>
      <c r="B116" s="66">
        <f>+B115+31</f>
        <v>42088</v>
      </c>
      <c r="C116" s="117"/>
      <c r="D116" s="98">
        <v>-122965.61</v>
      </c>
      <c r="E116" s="98"/>
      <c r="F116" s="98">
        <f t="shared" si="5"/>
        <v>-122965.61</v>
      </c>
      <c r="G116" s="75">
        <f t="shared" si="7"/>
        <v>-183035.49999999988</v>
      </c>
      <c r="H116" s="98"/>
      <c r="I116" s="124"/>
      <c r="J116" s="67"/>
      <c r="K116" s="67"/>
      <c r="L116" s="67"/>
    </row>
    <row r="117" spans="1:12" hidden="1" outlineLevel="1" x14ac:dyDescent="0.25">
      <c r="A117" s="71">
        <f t="shared" si="4"/>
        <v>110</v>
      </c>
      <c r="B117" s="66">
        <f>+B116+30</f>
        <v>42118</v>
      </c>
      <c r="C117" s="117"/>
      <c r="D117" s="98">
        <v>-96042.06</v>
      </c>
      <c r="E117" s="98"/>
      <c r="F117" s="98">
        <f t="shared" si="5"/>
        <v>-96042.06</v>
      </c>
      <c r="G117" s="75">
        <f t="shared" si="7"/>
        <v>-279077.55999999988</v>
      </c>
      <c r="H117" s="98"/>
      <c r="I117" s="124"/>
      <c r="J117" s="67"/>
      <c r="K117" s="67"/>
      <c r="L117" s="67"/>
    </row>
    <row r="118" spans="1:12" hidden="1" outlineLevel="1" x14ac:dyDescent="0.25">
      <c r="A118" s="71">
        <f t="shared" si="4"/>
        <v>111</v>
      </c>
      <c r="B118" s="66">
        <f>+B117+31</f>
        <v>42149</v>
      </c>
      <c r="C118" s="117"/>
      <c r="D118" s="98">
        <v>-111739.55</v>
      </c>
      <c r="E118" s="98"/>
      <c r="F118" s="98">
        <f t="shared" si="5"/>
        <v>-111739.55</v>
      </c>
      <c r="G118" s="75">
        <f t="shared" si="7"/>
        <v>-390817.10999999987</v>
      </c>
      <c r="H118" s="98"/>
      <c r="I118" s="124"/>
      <c r="J118" s="67"/>
      <c r="K118" s="67"/>
      <c r="L118" s="67"/>
    </row>
    <row r="119" spans="1:12" hidden="1" outlineLevel="1" x14ac:dyDescent="0.25">
      <c r="A119" s="71">
        <f t="shared" si="4"/>
        <v>112</v>
      </c>
      <c r="B119" s="66">
        <f>+B118+30</f>
        <v>42179</v>
      </c>
      <c r="C119" s="117"/>
      <c r="D119" s="98">
        <v>-119912.74</v>
      </c>
      <c r="E119" s="98"/>
      <c r="F119" s="98">
        <f t="shared" si="5"/>
        <v>-119912.74</v>
      </c>
      <c r="G119" s="75">
        <f t="shared" si="7"/>
        <v>-510729.84999999986</v>
      </c>
      <c r="H119" s="98"/>
      <c r="I119" s="124"/>
      <c r="J119" s="67"/>
      <c r="K119" s="67"/>
      <c r="L119" s="67"/>
    </row>
    <row r="120" spans="1:12" hidden="1" outlineLevel="1" x14ac:dyDescent="0.25">
      <c r="A120" s="71">
        <f t="shared" si="4"/>
        <v>113</v>
      </c>
      <c r="B120" s="66">
        <f>+B119+31</f>
        <v>42210</v>
      </c>
      <c r="C120" s="117"/>
      <c r="D120" s="98">
        <v>-129628.83</v>
      </c>
      <c r="E120" s="98"/>
      <c r="F120" s="98">
        <f t="shared" si="5"/>
        <v>-129628.83</v>
      </c>
      <c r="G120" s="75">
        <f t="shared" si="7"/>
        <v>-640358.67999999982</v>
      </c>
      <c r="H120" s="98"/>
      <c r="I120" s="116"/>
      <c r="J120" s="67"/>
      <c r="K120" s="67"/>
      <c r="L120" s="67"/>
    </row>
    <row r="121" spans="1:12" hidden="1" outlineLevel="1" x14ac:dyDescent="0.25">
      <c r="A121" s="71">
        <f t="shared" si="4"/>
        <v>114</v>
      </c>
      <c r="B121" s="66">
        <f>+B120+31</f>
        <v>42241</v>
      </c>
      <c r="C121" s="117"/>
      <c r="D121" s="98">
        <v>-137708.62</v>
      </c>
      <c r="E121" s="98"/>
      <c r="F121" s="98">
        <f t="shared" si="5"/>
        <v>-137708.62</v>
      </c>
      <c r="G121" s="75">
        <f t="shared" si="7"/>
        <v>-778067.29999999981</v>
      </c>
      <c r="H121" s="98"/>
      <c r="I121" s="124"/>
      <c r="J121" s="67"/>
      <c r="K121" s="67"/>
      <c r="L121" s="67"/>
    </row>
    <row r="122" spans="1:12" hidden="1" outlineLevel="1" x14ac:dyDescent="0.25">
      <c r="A122" s="71">
        <f t="shared" si="4"/>
        <v>115</v>
      </c>
      <c r="B122" s="66">
        <f>+B121+30</f>
        <v>42271</v>
      </c>
      <c r="C122" s="89"/>
      <c r="D122" s="98">
        <v>-122425.77</v>
      </c>
      <c r="E122" s="98"/>
      <c r="F122" s="98">
        <f t="shared" si="5"/>
        <v>-122425.77</v>
      </c>
      <c r="G122" s="75">
        <f t="shared" si="7"/>
        <v>-900493.06999999983</v>
      </c>
      <c r="H122" s="98"/>
      <c r="I122" s="124"/>
      <c r="J122" s="67"/>
      <c r="K122" s="67"/>
      <c r="L122" s="67"/>
    </row>
    <row r="123" spans="1:12" hidden="1" outlineLevel="1" x14ac:dyDescent="0.25">
      <c r="A123" s="71">
        <f t="shared" si="4"/>
        <v>116</v>
      </c>
      <c r="B123" s="66">
        <f>+B122+31</f>
        <v>42302</v>
      </c>
      <c r="C123" s="89"/>
      <c r="D123" s="98">
        <v>-116739.69</v>
      </c>
      <c r="E123" s="98"/>
      <c r="F123" s="98">
        <f t="shared" si="5"/>
        <v>-116739.69</v>
      </c>
      <c r="G123" s="75">
        <f t="shared" si="7"/>
        <v>-1017232.7599999998</v>
      </c>
      <c r="H123" s="98"/>
      <c r="I123" s="124"/>
      <c r="J123" s="67"/>
      <c r="K123" s="67"/>
      <c r="L123" s="67"/>
    </row>
    <row r="124" spans="1:12" hidden="1" outlineLevel="1" x14ac:dyDescent="0.25">
      <c r="A124" s="71">
        <f t="shared" si="4"/>
        <v>117</v>
      </c>
      <c r="B124" s="66">
        <f>B123+30</f>
        <v>42332</v>
      </c>
      <c r="C124" s="89"/>
      <c r="D124" s="98">
        <v>-97111.23</v>
      </c>
      <c r="E124" s="98"/>
      <c r="F124" s="98">
        <f t="shared" si="5"/>
        <v>-97111.23</v>
      </c>
      <c r="G124" s="75">
        <f t="shared" si="7"/>
        <v>-1114343.9899999998</v>
      </c>
      <c r="H124" s="98"/>
      <c r="I124" s="124"/>
      <c r="J124" s="67"/>
      <c r="K124" s="67"/>
      <c r="L124" s="67"/>
    </row>
    <row r="125" spans="1:12" hidden="1" outlineLevel="1" x14ac:dyDescent="0.25">
      <c r="A125" s="71">
        <f t="shared" si="4"/>
        <v>118</v>
      </c>
      <c r="B125" s="66">
        <f>B124+31</f>
        <v>42363</v>
      </c>
      <c r="C125" s="89"/>
      <c r="D125" s="98">
        <f>-104462.33</f>
        <v>-104462.33</v>
      </c>
      <c r="E125" s="98"/>
      <c r="F125" s="98">
        <f t="shared" si="5"/>
        <v>-104462.33</v>
      </c>
      <c r="G125" s="75">
        <f t="shared" si="7"/>
        <v>-1218806.3199999998</v>
      </c>
      <c r="H125" s="98"/>
      <c r="I125" s="124"/>
      <c r="J125" s="67"/>
      <c r="K125" s="67"/>
      <c r="L125" s="67"/>
    </row>
    <row r="126" spans="1:12" hidden="1" outlineLevel="1" x14ac:dyDescent="0.25">
      <c r="A126" s="71">
        <f t="shared" si="4"/>
        <v>119</v>
      </c>
      <c r="B126" s="66">
        <f>B125+31</f>
        <v>42394</v>
      </c>
      <c r="C126" s="87">
        <v>1</v>
      </c>
      <c r="D126" s="98">
        <v>-7449.15</v>
      </c>
      <c r="E126" s="98">
        <v>1218806.32</v>
      </c>
      <c r="F126" s="98">
        <f t="shared" si="5"/>
        <v>1211357.1700000002</v>
      </c>
      <c r="G126" s="75">
        <f t="shared" si="7"/>
        <v>-7449.149999999674</v>
      </c>
      <c r="H126" s="98"/>
      <c r="I126" s="124"/>
      <c r="J126" s="67"/>
      <c r="K126" s="67"/>
      <c r="L126" s="67"/>
    </row>
    <row r="127" spans="1:12" hidden="1" outlineLevel="1" x14ac:dyDescent="0.25">
      <c r="A127" s="71">
        <f t="shared" si="4"/>
        <v>120</v>
      </c>
      <c r="B127" s="66">
        <f>B126+29</f>
        <v>42423</v>
      </c>
      <c r="C127" s="89"/>
      <c r="D127" s="98">
        <v>-42848.68</v>
      </c>
      <c r="E127" s="98"/>
      <c r="F127" s="98">
        <f t="shared" si="5"/>
        <v>-42848.68</v>
      </c>
      <c r="G127" s="75">
        <f t="shared" si="7"/>
        <v>-50297.829999999674</v>
      </c>
      <c r="H127" s="98"/>
      <c r="I127" s="124"/>
      <c r="J127" s="67"/>
      <c r="K127" s="67"/>
      <c r="L127" s="67"/>
    </row>
    <row r="128" spans="1:12" hidden="1" outlineLevel="1" x14ac:dyDescent="0.25">
      <c r="A128" s="71">
        <f t="shared" si="4"/>
        <v>121</v>
      </c>
      <c r="B128" s="66">
        <f>B127+31</f>
        <v>42454</v>
      </c>
      <c r="C128" s="89"/>
      <c r="D128" s="98">
        <v>-109518.66</v>
      </c>
      <c r="E128" s="98"/>
      <c r="F128" s="98">
        <f t="shared" si="5"/>
        <v>-109518.66</v>
      </c>
      <c r="G128" s="75">
        <f t="shared" si="7"/>
        <v>-159816.48999999967</v>
      </c>
      <c r="H128" s="98"/>
      <c r="I128" s="124"/>
      <c r="J128" s="67"/>
      <c r="K128" s="67"/>
      <c r="L128" s="67"/>
    </row>
    <row r="129" spans="1:12" hidden="1" outlineLevel="1" x14ac:dyDescent="0.25">
      <c r="A129" s="71">
        <f t="shared" si="4"/>
        <v>122</v>
      </c>
      <c r="B129" s="66">
        <f>B128+30</f>
        <v>42484</v>
      </c>
      <c r="C129" s="89"/>
      <c r="D129" s="98">
        <v>-140623.31</v>
      </c>
      <c r="E129" s="98"/>
      <c r="F129" s="98">
        <f t="shared" si="5"/>
        <v>-140623.31</v>
      </c>
      <c r="G129" s="75">
        <f t="shared" si="7"/>
        <v>-300439.7999999997</v>
      </c>
      <c r="H129" s="98"/>
      <c r="I129" s="124"/>
      <c r="J129" s="67"/>
      <c r="K129" s="67"/>
      <c r="L129" s="67"/>
    </row>
    <row r="130" spans="1:12" hidden="1" outlineLevel="1" x14ac:dyDescent="0.25">
      <c r="A130" s="71">
        <f t="shared" si="4"/>
        <v>123</v>
      </c>
      <c r="B130" s="66">
        <f>B129+31</f>
        <v>42515</v>
      </c>
      <c r="C130" s="89"/>
      <c r="D130" s="98">
        <v>-174781.63</v>
      </c>
      <c r="E130" s="98"/>
      <c r="F130" s="98">
        <f t="shared" si="5"/>
        <v>-174781.63</v>
      </c>
      <c r="G130" s="75">
        <f t="shared" si="7"/>
        <v>-475221.4299999997</v>
      </c>
      <c r="H130" s="98"/>
      <c r="I130" s="124"/>
      <c r="J130" s="67"/>
      <c r="K130" s="67"/>
      <c r="L130" s="67"/>
    </row>
    <row r="131" spans="1:12" hidden="1" outlineLevel="1" x14ac:dyDescent="0.25">
      <c r="A131" s="71">
        <f t="shared" si="4"/>
        <v>124</v>
      </c>
      <c r="B131" s="66">
        <f>B130+30</f>
        <v>42545</v>
      </c>
      <c r="C131" s="89"/>
      <c r="D131" s="98">
        <v>-179254.96</v>
      </c>
      <c r="E131" s="98"/>
      <c r="F131" s="98">
        <f t="shared" si="5"/>
        <v>-179254.96</v>
      </c>
      <c r="G131" s="75">
        <f t="shared" si="7"/>
        <v>-654476.38999999966</v>
      </c>
      <c r="H131" s="98"/>
      <c r="I131" s="124"/>
      <c r="J131" s="67"/>
      <c r="K131" s="67"/>
      <c r="L131" s="67"/>
    </row>
    <row r="132" spans="1:12" hidden="1" outlineLevel="1" x14ac:dyDescent="0.25">
      <c r="A132" s="71">
        <f t="shared" si="4"/>
        <v>125</v>
      </c>
      <c r="B132" s="66">
        <f>B131+31</f>
        <v>42576</v>
      </c>
      <c r="C132" s="89"/>
      <c r="D132" s="98">
        <v>-163068.18</v>
      </c>
      <c r="E132" s="98"/>
      <c r="F132" s="98">
        <f t="shared" si="5"/>
        <v>-163068.18</v>
      </c>
      <c r="G132" s="75">
        <f t="shared" si="7"/>
        <v>-817544.5699999996</v>
      </c>
      <c r="H132" s="98"/>
      <c r="I132" s="124"/>
      <c r="J132" s="67"/>
      <c r="K132" s="67"/>
      <c r="L132" s="67"/>
    </row>
    <row r="133" spans="1:12" hidden="1" outlineLevel="1" x14ac:dyDescent="0.25">
      <c r="A133" s="71">
        <f t="shared" si="4"/>
        <v>126</v>
      </c>
      <c r="B133" s="66">
        <f>B132+31</f>
        <v>42607</v>
      </c>
      <c r="C133" s="89"/>
      <c r="D133" s="98">
        <v>-129621.45</v>
      </c>
      <c r="E133" s="98"/>
      <c r="F133" s="98">
        <f t="shared" si="5"/>
        <v>-129621.45</v>
      </c>
      <c r="G133" s="75">
        <f t="shared" si="7"/>
        <v>-947166.01999999955</v>
      </c>
      <c r="H133" s="98"/>
      <c r="I133" s="124"/>
      <c r="J133" s="67"/>
      <c r="K133" s="67"/>
      <c r="L133" s="67"/>
    </row>
    <row r="134" spans="1:12" hidden="1" outlineLevel="1" x14ac:dyDescent="0.25">
      <c r="A134" s="71">
        <f t="shared" si="4"/>
        <v>127</v>
      </c>
      <c r="B134" s="66">
        <f>B133+30</f>
        <v>42637</v>
      </c>
      <c r="C134" s="89"/>
      <c r="D134" s="98">
        <v>-154719.19</v>
      </c>
      <c r="E134" s="98"/>
      <c r="F134" s="98">
        <f t="shared" si="5"/>
        <v>-154719.19</v>
      </c>
      <c r="G134" s="75">
        <f t="shared" si="7"/>
        <v>-1101885.2099999995</v>
      </c>
      <c r="H134" s="98"/>
      <c r="I134" s="124"/>
      <c r="J134" s="67"/>
      <c r="K134" s="67"/>
      <c r="L134" s="67"/>
    </row>
    <row r="135" spans="1:12" hidden="1" outlineLevel="1" x14ac:dyDescent="0.25">
      <c r="A135" s="71">
        <f t="shared" si="4"/>
        <v>128</v>
      </c>
      <c r="B135" s="66">
        <f>B134+31</f>
        <v>42668</v>
      </c>
      <c r="C135" s="89"/>
      <c r="D135" s="98">
        <v>-129136.34</v>
      </c>
      <c r="E135" s="98"/>
      <c r="F135" s="98">
        <f t="shared" si="5"/>
        <v>-129136.34</v>
      </c>
      <c r="G135" s="75">
        <f t="shared" si="7"/>
        <v>-1231021.5499999996</v>
      </c>
      <c r="H135" s="98"/>
      <c r="I135" s="124"/>
      <c r="J135" s="67"/>
      <c r="K135" s="67"/>
      <c r="L135" s="67"/>
    </row>
    <row r="136" spans="1:12" hidden="1" outlineLevel="1" x14ac:dyDescent="0.25">
      <c r="A136" s="71">
        <f t="shared" si="4"/>
        <v>129</v>
      </c>
      <c r="B136" s="66">
        <f>B135+30</f>
        <v>42698</v>
      </c>
      <c r="C136" s="89"/>
      <c r="D136" s="98">
        <v>-90004.41</v>
      </c>
      <c r="E136" s="98"/>
      <c r="F136" s="98">
        <f t="shared" si="5"/>
        <v>-90004.41</v>
      </c>
      <c r="G136" s="75">
        <f t="shared" si="7"/>
        <v>-1321025.9599999995</v>
      </c>
      <c r="H136" s="98"/>
      <c r="I136" s="124"/>
      <c r="J136" s="67"/>
      <c r="K136" s="67"/>
      <c r="L136" s="67"/>
    </row>
    <row r="137" spans="1:12" hidden="1" outlineLevel="1" x14ac:dyDescent="0.25">
      <c r="A137" s="71">
        <f t="shared" ref="A137:A200" si="8">+A136+1</f>
        <v>130</v>
      </c>
      <c r="B137" s="66">
        <f t="shared" ref="B137:B147" si="9">B136+31</f>
        <v>42729</v>
      </c>
      <c r="C137" s="117"/>
      <c r="D137" s="98">
        <v>-109930.55</v>
      </c>
      <c r="E137" s="98"/>
      <c r="F137" s="98">
        <f t="shared" si="5"/>
        <v>-109930.55</v>
      </c>
      <c r="G137" s="75">
        <f t="shared" si="7"/>
        <v>-1430956.5099999995</v>
      </c>
      <c r="H137" s="98"/>
      <c r="I137" s="124"/>
      <c r="J137" s="67"/>
      <c r="K137" s="67"/>
      <c r="L137" s="67"/>
    </row>
    <row r="138" spans="1:12" hidden="1" outlineLevel="1" x14ac:dyDescent="0.25">
      <c r="A138" s="71">
        <f t="shared" si="8"/>
        <v>131</v>
      </c>
      <c r="B138" s="66">
        <f t="shared" si="9"/>
        <v>42760</v>
      </c>
      <c r="C138" s="87">
        <v>1</v>
      </c>
      <c r="D138" s="98">
        <v>0</v>
      </c>
      <c r="E138" s="98">
        <v>1430956.51</v>
      </c>
      <c r="F138" s="98">
        <f t="shared" si="5"/>
        <v>1430956.51</v>
      </c>
      <c r="G138" s="75">
        <f t="shared" si="7"/>
        <v>0</v>
      </c>
      <c r="H138" s="98"/>
      <c r="I138" s="124"/>
      <c r="J138" s="67"/>
      <c r="K138" s="67"/>
      <c r="L138" s="67"/>
    </row>
    <row r="139" spans="1:12" hidden="1" outlineLevel="1" x14ac:dyDescent="0.25">
      <c r="A139" s="71">
        <f t="shared" si="8"/>
        <v>132</v>
      </c>
      <c r="B139" s="66">
        <f t="shared" si="9"/>
        <v>42791</v>
      </c>
      <c r="C139" s="117"/>
      <c r="D139" s="98">
        <v>-41988.9</v>
      </c>
      <c r="E139" s="98"/>
      <c r="F139" s="98">
        <f t="shared" si="5"/>
        <v>-41988.9</v>
      </c>
      <c r="G139" s="75">
        <f t="shared" si="7"/>
        <v>-41988.9</v>
      </c>
      <c r="H139" s="98"/>
      <c r="I139" s="124"/>
      <c r="J139" s="67"/>
      <c r="K139" s="67"/>
      <c r="L139" s="67"/>
    </row>
    <row r="140" spans="1:12" hidden="1" outlineLevel="1" x14ac:dyDescent="0.25">
      <c r="A140" s="71">
        <f t="shared" si="8"/>
        <v>133</v>
      </c>
      <c r="B140" s="66">
        <f t="shared" si="9"/>
        <v>42822</v>
      </c>
      <c r="C140" s="117"/>
      <c r="D140" s="98">
        <v>-79377.490000000005</v>
      </c>
      <c r="E140" s="98"/>
      <c r="F140" s="98">
        <f t="shared" si="5"/>
        <v>-79377.490000000005</v>
      </c>
      <c r="G140" s="75">
        <f t="shared" si="7"/>
        <v>-121366.39000000001</v>
      </c>
      <c r="H140" s="98"/>
      <c r="I140" s="124"/>
      <c r="J140" s="67"/>
      <c r="K140" s="67"/>
      <c r="L140" s="67"/>
    </row>
    <row r="141" spans="1:12" hidden="1" outlineLevel="1" x14ac:dyDescent="0.25">
      <c r="A141" s="71">
        <f t="shared" si="8"/>
        <v>134</v>
      </c>
      <c r="B141" s="66">
        <f t="shared" si="9"/>
        <v>42853</v>
      </c>
      <c r="C141" s="117"/>
      <c r="D141" s="98">
        <v>-132510.79</v>
      </c>
      <c r="E141" s="98"/>
      <c r="F141" s="98">
        <f t="shared" si="5"/>
        <v>-132510.79</v>
      </c>
      <c r="G141" s="75">
        <f t="shared" si="7"/>
        <v>-253877.18000000002</v>
      </c>
      <c r="H141" s="98"/>
      <c r="I141" s="124"/>
      <c r="J141" s="67"/>
      <c r="K141" s="67"/>
      <c r="L141" s="67"/>
    </row>
    <row r="142" spans="1:12" hidden="1" outlineLevel="1" x14ac:dyDescent="0.25">
      <c r="A142" s="71">
        <f t="shared" si="8"/>
        <v>135</v>
      </c>
      <c r="B142" s="66">
        <f t="shared" si="9"/>
        <v>42884</v>
      </c>
      <c r="C142" s="117"/>
      <c r="D142" s="98">
        <v>-145262.17000000001</v>
      </c>
      <c r="E142" s="98"/>
      <c r="F142" s="98">
        <f t="shared" si="5"/>
        <v>-145262.17000000001</v>
      </c>
      <c r="G142" s="75">
        <f t="shared" si="7"/>
        <v>-399139.35000000003</v>
      </c>
      <c r="H142" s="98"/>
      <c r="I142" s="124"/>
      <c r="J142" s="67"/>
      <c r="K142" s="67"/>
      <c r="L142" s="67"/>
    </row>
    <row r="143" spans="1:12" hidden="1" outlineLevel="1" x14ac:dyDescent="0.25">
      <c r="A143" s="71">
        <f t="shared" si="8"/>
        <v>136</v>
      </c>
      <c r="B143" s="66">
        <f t="shared" si="9"/>
        <v>42915</v>
      </c>
      <c r="C143" s="117"/>
      <c r="D143" s="98">
        <v>-154709.62</v>
      </c>
      <c r="E143" s="98"/>
      <c r="F143" s="98">
        <f t="shared" si="5"/>
        <v>-154709.62</v>
      </c>
      <c r="G143" s="75">
        <f t="shared" si="7"/>
        <v>-553848.97</v>
      </c>
      <c r="H143" s="98"/>
      <c r="I143" s="124"/>
      <c r="J143" s="67"/>
      <c r="K143" s="67"/>
      <c r="L143" s="67"/>
    </row>
    <row r="144" spans="1:12" hidden="1" outlineLevel="1" x14ac:dyDescent="0.25">
      <c r="A144" s="71">
        <f t="shared" si="8"/>
        <v>137</v>
      </c>
      <c r="B144" s="66">
        <f t="shared" si="9"/>
        <v>42946</v>
      </c>
      <c r="C144" s="117"/>
      <c r="D144" s="98">
        <v>-203656.9</v>
      </c>
      <c r="E144" s="98"/>
      <c r="F144" s="98">
        <f t="shared" ref="F144:F207" si="10">SUM(D144:E144)</f>
        <v>-203656.9</v>
      </c>
      <c r="G144" s="75">
        <f t="shared" ref="G144:G175" si="11">+G143+F144</f>
        <v>-757505.87</v>
      </c>
      <c r="H144" s="98"/>
      <c r="I144" s="124"/>
      <c r="J144" s="67"/>
      <c r="K144" s="67"/>
      <c r="L144" s="67"/>
    </row>
    <row r="145" spans="1:12" hidden="1" outlineLevel="1" x14ac:dyDescent="0.25">
      <c r="A145" s="71">
        <f t="shared" si="8"/>
        <v>138</v>
      </c>
      <c r="B145" s="66">
        <f t="shared" si="9"/>
        <v>42977</v>
      </c>
      <c r="C145" s="117"/>
      <c r="D145" s="98">
        <v>-201865.84</v>
      </c>
      <c r="E145" s="98"/>
      <c r="F145" s="98">
        <f t="shared" si="10"/>
        <v>-201865.84</v>
      </c>
      <c r="G145" s="75">
        <f t="shared" si="11"/>
        <v>-959371.71</v>
      </c>
      <c r="H145" s="98"/>
      <c r="I145" s="124"/>
      <c r="J145" s="67"/>
      <c r="K145" s="67"/>
      <c r="L145" s="67"/>
    </row>
    <row r="146" spans="1:12" hidden="1" outlineLevel="1" x14ac:dyDescent="0.25">
      <c r="A146" s="71">
        <f t="shared" si="8"/>
        <v>139</v>
      </c>
      <c r="B146" s="66">
        <f t="shared" si="9"/>
        <v>43008</v>
      </c>
      <c r="C146" s="117"/>
      <c r="D146" s="98">
        <v>-149386.67000000001</v>
      </c>
      <c r="E146" s="98"/>
      <c r="F146" s="98">
        <f t="shared" si="10"/>
        <v>-149386.67000000001</v>
      </c>
      <c r="G146" s="75">
        <f t="shared" si="11"/>
        <v>-1108758.3799999999</v>
      </c>
      <c r="H146" s="98"/>
      <c r="I146" s="124"/>
      <c r="J146" s="67"/>
      <c r="K146" s="67"/>
      <c r="L146" s="67"/>
    </row>
    <row r="147" spans="1:12" hidden="1" outlineLevel="1" x14ac:dyDescent="0.25">
      <c r="A147" s="71">
        <f t="shared" si="8"/>
        <v>140</v>
      </c>
      <c r="B147" s="66">
        <f t="shared" si="9"/>
        <v>43039</v>
      </c>
      <c r="C147" s="117"/>
      <c r="D147" s="98">
        <v>-155966.21</v>
      </c>
      <c r="E147" s="98"/>
      <c r="F147" s="98">
        <f t="shared" si="10"/>
        <v>-155966.21</v>
      </c>
      <c r="G147" s="75">
        <f t="shared" si="11"/>
        <v>-1264724.5899999999</v>
      </c>
      <c r="H147" s="98"/>
      <c r="I147" s="124"/>
      <c r="J147" s="67"/>
      <c r="K147" s="67"/>
      <c r="L147" s="67"/>
    </row>
    <row r="148" spans="1:12" hidden="1" outlineLevel="1" x14ac:dyDescent="0.25">
      <c r="A148" s="71">
        <f t="shared" si="8"/>
        <v>141</v>
      </c>
      <c r="B148" s="66">
        <f>B147+30</f>
        <v>43069</v>
      </c>
      <c r="C148" s="117"/>
      <c r="D148" s="98">
        <v>-95615.84</v>
      </c>
      <c r="E148" s="98"/>
      <c r="F148" s="98">
        <f t="shared" si="10"/>
        <v>-95615.84</v>
      </c>
      <c r="G148" s="75">
        <f t="shared" si="11"/>
        <v>-1360340.43</v>
      </c>
      <c r="H148" s="98"/>
      <c r="I148" s="124"/>
      <c r="J148" s="67"/>
      <c r="K148" s="67"/>
      <c r="L148" s="67"/>
    </row>
    <row r="149" spans="1:12" hidden="1" outlineLevel="1" x14ac:dyDescent="0.25">
      <c r="A149" s="71">
        <f t="shared" si="8"/>
        <v>142</v>
      </c>
      <c r="B149" s="66">
        <f>B148+31</f>
        <v>43100</v>
      </c>
      <c r="C149" s="117"/>
      <c r="D149" s="98">
        <v>-101370.55</v>
      </c>
      <c r="E149" s="98"/>
      <c r="F149" s="98">
        <f t="shared" si="10"/>
        <v>-101370.55</v>
      </c>
      <c r="G149" s="75">
        <f t="shared" si="11"/>
        <v>-1461710.98</v>
      </c>
      <c r="H149" s="98"/>
      <c r="I149" s="124"/>
      <c r="J149" s="67"/>
      <c r="K149" s="67"/>
      <c r="L149" s="67"/>
    </row>
    <row r="150" spans="1:12" hidden="1" outlineLevel="1" x14ac:dyDescent="0.25">
      <c r="A150" s="71">
        <f t="shared" si="8"/>
        <v>143</v>
      </c>
      <c r="B150" s="66">
        <f>B149+31</f>
        <v>43131</v>
      </c>
      <c r="C150" s="87">
        <v>1</v>
      </c>
      <c r="D150" s="98">
        <v>-14681.84</v>
      </c>
      <c r="E150" s="98">
        <v>1461710.98</v>
      </c>
      <c r="F150" s="98">
        <f t="shared" si="10"/>
        <v>1447029.14</v>
      </c>
      <c r="G150" s="75">
        <f t="shared" si="11"/>
        <v>-14681.840000000084</v>
      </c>
      <c r="H150" s="98"/>
      <c r="I150" s="124"/>
      <c r="J150" s="67"/>
      <c r="K150" s="67"/>
      <c r="L150" s="67"/>
    </row>
    <row r="151" spans="1:12" hidden="1" outlineLevel="1" x14ac:dyDescent="0.25">
      <c r="A151" s="71">
        <f t="shared" si="8"/>
        <v>144</v>
      </c>
      <c r="B151" s="66">
        <f>B150+28</f>
        <v>43159</v>
      </c>
      <c r="C151" s="117"/>
      <c r="D151" s="98">
        <v>-53128.97</v>
      </c>
      <c r="E151" s="98"/>
      <c r="F151" s="98">
        <f t="shared" si="10"/>
        <v>-53128.97</v>
      </c>
      <c r="G151" s="75">
        <f t="shared" si="11"/>
        <v>-67810.810000000085</v>
      </c>
      <c r="H151" s="98"/>
      <c r="I151" s="124"/>
      <c r="J151" s="67"/>
      <c r="K151" s="67"/>
      <c r="L151" s="67"/>
    </row>
    <row r="152" spans="1:12" hidden="1" outlineLevel="1" x14ac:dyDescent="0.25">
      <c r="A152" s="71">
        <f t="shared" si="8"/>
        <v>145</v>
      </c>
      <c r="B152" s="66">
        <f>B151+31</f>
        <v>43190</v>
      </c>
      <c r="C152" s="117"/>
      <c r="D152" s="98">
        <v>-126286.12</v>
      </c>
      <c r="E152" s="98"/>
      <c r="F152" s="98">
        <f t="shared" si="10"/>
        <v>-126286.12</v>
      </c>
      <c r="G152" s="75">
        <f t="shared" si="11"/>
        <v>-194096.93000000008</v>
      </c>
      <c r="H152" s="98"/>
      <c r="I152" s="124"/>
      <c r="J152" s="67"/>
      <c r="K152" s="67"/>
      <c r="L152" s="67"/>
    </row>
    <row r="153" spans="1:12" hidden="1" outlineLevel="1" x14ac:dyDescent="0.25">
      <c r="A153" s="71">
        <f t="shared" si="8"/>
        <v>146</v>
      </c>
      <c r="B153" s="66">
        <f>B152+30</f>
        <v>43220</v>
      </c>
      <c r="C153" s="117"/>
      <c r="D153" s="98">
        <v>-127937.31</v>
      </c>
      <c r="E153" s="98"/>
      <c r="F153" s="98">
        <f t="shared" si="10"/>
        <v>-127937.31</v>
      </c>
      <c r="G153" s="75">
        <f t="shared" si="11"/>
        <v>-322034.24000000011</v>
      </c>
      <c r="H153" s="98"/>
      <c r="I153" s="124"/>
      <c r="J153" s="67"/>
      <c r="K153" s="67"/>
      <c r="L153" s="67"/>
    </row>
    <row r="154" spans="1:12" hidden="1" outlineLevel="1" x14ac:dyDescent="0.25">
      <c r="A154" s="71">
        <f t="shared" si="8"/>
        <v>147</v>
      </c>
      <c r="B154" s="66">
        <f>B153+31</f>
        <v>43251</v>
      </c>
      <c r="C154" s="117"/>
      <c r="D154" s="98">
        <v>-162656.76999999999</v>
      </c>
      <c r="E154" s="98"/>
      <c r="F154" s="98">
        <f t="shared" si="10"/>
        <v>-162656.76999999999</v>
      </c>
      <c r="G154" s="75">
        <f t="shared" si="11"/>
        <v>-484691.01000000013</v>
      </c>
      <c r="H154" s="98"/>
      <c r="I154" s="124"/>
      <c r="J154" s="67"/>
      <c r="K154" s="67"/>
      <c r="L154" s="67"/>
    </row>
    <row r="155" spans="1:12" hidden="1" outlineLevel="1" x14ac:dyDescent="0.25">
      <c r="A155" s="71">
        <f t="shared" si="8"/>
        <v>148</v>
      </c>
      <c r="B155" s="66">
        <f>B154+30</f>
        <v>43281</v>
      </c>
      <c r="C155" s="117"/>
      <c r="D155" s="98">
        <v>-173423.23</v>
      </c>
      <c r="E155" s="98"/>
      <c r="F155" s="98">
        <f t="shared" si="10"/>
        <v>-173423.23</v>
      </c>
      <c r="G155" s="75">
        <f t="shared" si="11"/>
        <v>-658114.24000000011</v>
      </c>
      <c r="H155" s="98"/>
      <c r="I155" s="124"/>
      <c r="J155" s="67"/>
      <c r="K155" s="67"/>
      <c r="L155" s="67"/>
    </row>
    <row r="156" spans="1:12" hidden="1" outlineLevel="1" x14ac:dyDescent="0.25">
      <c r="A156" s="71">
        <f t="shared" si="8"/>
        <v>149</v>
      </c>
      <c r="B156" s="66">
        <f>B155+31</f>
        <v>43312</v>
      </c>
      <c r="C156" s="117"/>
      <c r="D156" s="98">
        <v>-190293.18</v>
      </c>
      <c r="E156" s="98"/>
      <c r="F156" s="98">
        <f t="shared" si="10"/>
        <v>-190293.18</v>
      </c>
      <c r="G156" s="75">
        <f t="shared" si="11"/>
        <v>-848407.42000000016</v>
      </c>
      <c r="H156" s="98"/>
      <c r="I156" s="124"/>
      <c r="J156" s="67"/>
      <c r="K156" s="67"/>
      <c r="L156" s="67"/>
    </row>
    <row r="157" spans="1:12" hidden="1" outlineLevel="1" x14ac:dyDescent="0.25">
      <c r="A157" s="71">
        <f t="shared" si="8"/>
        <v>150</v>
      </c>
      <c r="B157" s="66">
        <f>B156+31</f>
        <v>43343</v>
      </c>
      <c r="C157" s="117"/>
      <c r="D157" s="98">
        <v>-185700.67</v>
      </c>
      <c r="E157" s="98"/>
      <c r="F157" s="98">
        <f t="shared" si="10"/>
        <v>-185700.67</v>
      </c>
      <c r="G157" s="75">
        <f t="shared" si="11"/>
        <v>-1034108.0900000002</v>
      </c>
      <c r="H157" s="98"/>
      <c r="I157" s="124"/>
      <c r="J157" s="67"/>
      <c r="K157" s="67"/>
      <c r="L157" s="67"/>
    </row>
    <row r="158" spans="1:12" hidden="1" outlineLevel="1" x14ac:dyDescent="0.25">
      <c r="A158" s="71">
        <f t="shared" si="8"/>
        <v>151</v>
      </c>
      <c r="B158" s="66">
        <v>43344</v>
      </c>
      <c r="C158" s="117"/>
      <c r="D158" s="98">
        <v>-169584.61</v>
      </c>
      <c r="E158" s="98"/>
      <c r="F158" s="98">
        <f t="shared" si="10"/>
        <v>-169584.61</v>
      </c>
      <c r="G158" s="75">
        <f t="shared" si="11"/>
        <v>-1203692.7000000002</v>
      </c>
      <c r="H158" s="98"/>
      <c r="I158" s="124"/>
      <c r="J158" s="67"/>
      <c r="K158" s="67"/>
      <c r="L158" s="67"/>
    </row>
    <row r="159" spans="1:12" hidden="1" outlineLevel="1" x14ac:dyDescent="0.25">
      <c r="A159" s="71">
        <f t="shared" si="8"/>
        <v>152</v>
      </c>
      <c r="B159" s="66">
        <v>43374</v>
      </c>
      <c r="C159" s="117"/>
      <c r="D159" s="98">
        <v>-243304.19</v>
      </c>
      <c r="E159" s="98"/>
      <c r="F159" s="98">
        <f t="shared" si="10"/>
        <v>-243304.19</v>
      </c>
      <c r="G159" s="75">
        <f t="shared" si="11"/>
        <v>-1446996.8900000001</v>
      </c>
      <c r="H159" s="98"/>
      <c r="I159" s="124"/>
      <c r="J159" s="67"/>
      <c r="K159" s="67"/>
      <c r="L159" s="67"/>
    </row>
    <row r="160" spans="1:12" hidden="1" outlineLevel="1" x14ac:dyDescent="0.25">
      <c r="A160" s="71">
        <f t="shared" si="8"/>
        <v>153</v>
      </c>
      <c r="B160" s="66">
        <v>43405</v>
      </c>
      <c r="C160" s="117"/>
      <c r="D160" s="98">
        <v>-269853.25</v>
      </c>
      <c r="E160" s="98"/>
      <c r="F160" s="98">
        <f t="shared" si="10"/>
        <v>-269853.25</v>
      </c>
      <c r="G160" s="75">
        <f t="shared" si="11"/>
        <v>-1716850.1400000001</v>
      </c>
      <c r="H160" s="98"/>
      <c r="I160" s="124"/>
      <c r="J160" s="67"/>
      <c r="K160" s="67"/>
      <c r="L160" s="67"/>
    </row>
    <row r="161" spans="1:12" hidden="1" outlineLevel="1" x14ac:dyDescent="0.25">
      <c r="A161" s="71">
        <f t="shared" si="8"/>
        <v>154</v>
      </c>
      <c r="B161" s="66">
        <v>43435</v>
      </c>
      <c r="C161" s="117"/>
      <c r="D161" s="98">
        <v>-147226.66</v>
      </c>
      <c r="E161" s="98"/>
      <c r="F161" s="98">
        <f t="shared" si="10"/>
        <v>-147226.66</v>
      </c>
      <c r="G161" s="75">
        <f t="shared" si="11"/>
        <v>-1864076.8</v>
      </c>
      <c r="H161" s="98"/>
      <c r="I161" s="124"/>
      <c r="J161" s="67"/>
      <c r="K161" s="67"/>
      <c r="L161" s="67"/>
    </row>
    <row r="162" spans="1:12" hidden="1" outlineLevel="1" x14ac:dyDescent="0.25">
      <c r="A162" s="71">
        <f t="shared" si="8"/>
        <v>155</v>
      </c>
      <c r="B162" s="66">
        <v>43466</v>
      </c>
      <c r="C162" s="87">
        <v>1</v>
      </c>
      <c r="D162" s="98">
        <v>0</v>
      </c>
      <c r="E162" s="98">
        <v>1864076.8</v>
      </c>
      <c r="F162" s="98">
        <f t="shared" si="10"/>
        <v>1864076.8</v>
      </c>
      <c r="G162" s="75">
        <f t="shared" si="11"/>
        <v>0</v>
      </c>
      <c r="H162" s="98"/>
      <c r="I162" s="124"/>
      <c r="J162" s="67"/>
      <c r="K162" s="67"/>
      <c r="L162" s="67"/>
    </row>
    <row r="163" spans="1:12" hidden="1" outlineLevel="1" x14ac:dyDescent="0.25">
      <c r="A163" s="71">
        <f t="shared" si="8"/>
        <v>156</v>
      </c>
      <c r="B163" s="66">
        <v>43497</v>
      </c>
      <c r="C163" s="117"/>
      <c r="D163" s="98">
        <v>-111838.75</v>
      </c>
      <c r="E163" s="98"/>
      <c r="F163" s="98">
        <f t="shared" si="10"/>
        <v>-111838.75</v>
      </c>
      <c r="G163" s="75">
        <f t="shared" si="11"/>
        <v>-111838.75</v>
      </c>
      <c r="H163" s="98"/>
      <c r="I163" s="124"/>
      <c r="J163" s="67"/>
      <c r="K163" s="67"/>
      <c r="L163" s="67"/>
    </row>
    <row r="164" spans="1:12" hidden="1" outlineLevel="1" x14ac:dyDescent="0.25">
      <c r="A164" s="71">
        <f t="shared" si="8"/>
        <v>157</v>
      </c>
      <c r="B164" s="66">
        <v>43525</v>
      </c>
      <c r="D164" s="98">
        <v>-238085.76000000001</v>
      </c>
      <c r="E164" s="66"/>
      <c r="F164" s="98">
        <f t="shared" si="10"/>
        <v>-238085.76000000001</v>
      </c>
      <c r="G164" s="75">
        <f t="shared" si="11"/>
        <v>-349924.51</v>
      </c>
      <c r="H164" s="98"/>
      <c r="I164" s="124"/>
      <c r="J164" s="67"/>
      <c r="K164" s="67"/>
      <c r="L164" s="67"/>
    </row>
    <row r="165" spans="1:12" hidden="1" outlineLevel="1" x14ac:dyDescent="0.25">
      <c r="A165" s="71">
        <f t="shared" si="8"/>
        <v>158</v>
      </c>
      <c r="B165" s="66">
        <v>43556</v>
      </c>
      <c r="C165" s="117"/>
      <c r="D165" s="98">
        <v>-171982.36</v>
      </c>
      <c r="E165" s="98"/>
      <c r="F165" s="98">
        <f t="shared" si="10"/>
        <v>-171982.36</v>
      </c>
      <c r="G165" s="75">
        <f t="shared" si="11"/>
        <v>-521906.87</v>
      </c>
      <c r="H165" s="98"/>
      <c r="I165" s="124"/>
      <c r="J165" s="67"/>
      <c r="K165" s="67"/>
      <c r="L165" s="67"/>
    </row>
    <row r="166" spans="1:12" hidden="1" outlineLevel="1" x14ac:dyDescent="0.25">
      <c r="A166" s="71">
        <f t="shared" si="8"/>
        <v>159</v>
      </c>
      <c r="B166" s="66">
        <v>43586</v>
      </c>
      <c r="C166" s="117"/>
      <c r="D166" s="98">
        <v>-186244.52</v>
      </c>
      <c r="E166" s="98"/>
      <c r="F166" s="98">
        <f t="shared" si="10"/>
        <v>-186244.52</v>
      </c>
      <c r="G166" s="75">
        <f t="shared" si="11"/>
        <v>-708151.39</v>
      </c>
      <c r="H166" s="98"/>
      <c r="I166" s="124"/>
      <c r="J166" s="67"/>
      <c r="K166" s="67"/>
      <c r="L166" s="67"/>
    </row>
    <row r="167" spans="1:12" hidden="1" outlineLevel="1" x14ac:dyDescent="0.25">
      <c r="A167" s="71">
        <f t="shared" si="8"/>
        <v>160</v>
      </c>
      <c r="B167" s="66">
        <v>43617</v>
      </c>
      <c r="C167" s="117"/>
      <c r="D167" s="98">
        <v>-161919.73000000001</v>
      </c>
      <c r="E167" s="98"/>
      <c r="F167" s="98">
        <f t="shared" si="10"/>
        <v>-161919.73000000001</v>
      </c>
      <c r="G167" s="75">
        <f t="shared" si="11"/>
        <v>-870071.12</v>
      </c>
      <c r="H167" s="98"/>
      <c r="I167" s="124"/>
      <c r="J167" s="67"/>
      <c r="K167" s="67"/>
      <c r="L167" s="67"/>
    </row>
    <row r="168" spans="1:12" hidden="1" outlineLevel="1" x14ac:dyDescent="0.25">
      <c r="A168" s="71">
        <f t="shared" si="8"/>
        <v>161</v>
      </c>
      <c r="B168" s="66">
        <v>43647</v>
      </c>
      <c r="C168" s="117"/>
      <c r="D168" s="98">
        <v>-153500.01</v>
      </c>
      <c r="E168" s="98"/>
      <c r="F168" s="98">
        <f t="shared" si="10"/>
        <v>-153500.01</v>
      </c>
      <c r="G168" s="75">
        <f t="shared" si="11"/>
        <v>-1023571.13</v>
      </c>
      <c r="H168" s="98"/>
      <c r="I168" s="124"/>
      <c r="J168" s="67"/>
      <c r="K168" s="67"/>
      <c r="L168" s="67"/>
    </row>
    <row r="169" spans="1:12" hidden="1" outlineLevel="1" x14ac:dyDescent="0.25">
      <c r="A169" s="71">
        <f t="shared" si="8"/>
        <v>162</v>
      </c>
      <c r="B169" s="66">
        <v>43678</v>
      </c>
      <c r="C169" s="117"/>
      <c r="D169" s="98">
        <v>-141134.82</v>
      </c>
      <c r="E169" s="98"/>
      <c r="F169" s="98">
        <f t="shared" si="10"/>
        <v>-141134.82</v>
      </c>
      <c r="G169" s="75">
        <f t="shared" si="11"/>
        <v>-1164705.95</v>
      </c>
      <c r="H169" s="98"/>
      <c r="I169" s="124"/>
      <c r="J169" s="67"/>
      <c r="K169" s="67"/>
      <c r="L169" s="67"/>
    </row>
    <row r="170" spans="1:12" hidden="1" outlineLevel="1" x14ac:dyDescent="0.25">
      <c r="A170" s="71">
        <f t="shared" si="8"/>
        <v>163</v>
      </c>
      <c r="B170" s="66">
        <v>43709</v>
      </c>
      <c r="C170" s="117"/>
      <c r="D170" s="98">
        <v>-138441.60000000001</v>
      </c>
      <c r="E170" s="98"/>
      <c r="F170" s="98">
        <f t="shared" si="10"/>
        <v>-138441.60000000001</v>
      </c>
      <c r="G170" s="75">
        <f t="shared" si="11"/>
        <v>-1303147.55</v>
      </c>
      <c r="H170" s="98"/>
      <c r="I170" s="124"/>
      <c r="J170" s="67"/>
      <c r="K170" s="67"/>
      <c r="L170" s="67"/>
    </row>
    <row r="171" spans="1:12" hidden="1" outlineLevel="1" x14ac:dyDescent="0.25">
      <c r="A171" s="71">
        <f t="shared" si="8"/>
        <v>164</v>
      </c>
      <c r="B171" s="66">
        <v>43739</v>
      </c>
      <c r="C171" s="117"/>
      <c r="D171" s="98">
        <v>-148918.88</v>
      </c>
      <c r="E171" s="98"/>
      <c r="F171" s="98">
        <f t="shared" si="10"/>
        <v>-148918.88</v>
      </c>
      <c r="G171" s="75">
        <f t="shared" si="11"/>
        <v>-1452066.4300000002</v>
      </c>
      <c r="H171" s="98"/>
      <c r="I171" s="124"/>
      <c r="J171" s="67"/>
      <c r="K171" s="67"/>
      <c r="L171" s="67"/>
    </row>
    <row r="172" spans="1:12" hidden="1" outlineLevel="1" x14ac:dyDescent="0.25">
      <c r="A172" s="71">
        <f t="shared" si="8"/>
        <v>165</v>
      </c>
      <c r="B172" s="66">
        <v>43770</v>
      </c>
      <c r="C172" s="117"/>
      <c r="D172" s="98">
        <v>-95213.93</v>
      </c>
      <c r="E172" s="98"/>
      <c r="F172" s="98">
        <f t="shared" si="10"/>
        <v>-95213.93</v>
      </c>
      <c r="G172" s="75">
        <f t="shared" si="11"/>
        <v>-1547280.36</v>
      </c>
      <c r="H172" s="98"/>
      <c r="I172" s="124"/>
      <c r="J172" s="67"/>
      <c r="K172" s="67"/>
      <c r="L172" s="67"/>
    </row>
    <row r="173" spans="1:12" hidden="1" outlineLevel="1" x14ac:dyDescent="0.25">
      <c r="A173" s="71">
        <f t="shared" si="8"/>
        <v>166</v>
      </c>
      <c r="B173" s="66">
        <v>43800</v>
      </c>
      <c r="C173" s="117"/>
      <c r="D173" s="98">
        <v>-96038.92</v>
      </c>
      <c r="E173" s="98"/>
      <c r="F173" s="98">
        <f t="shared" si="10"/>
        <v>-96038.92</v>
      </c>
      <c r="G173" s="75">
        <f t="shared" si="11"/>
        <v>-1643319.28</v>
      </c>
      <c r="H173" s="98"/>
      <c r="I173" s="124"/>
      <c r="J173" s="67"/>
      <c r="K173" s="67"/>
      <c r="L173" s="67"/>
    </row>
    <row r="174" spans="1:12" hidden="1" outlineLevel="1" x14ac:dyDescent="0.25">
      <c r="A174" s="71">
        <f t="shared" si="8"/>
        <v>167</v>
      </c>
      <c r="B174" s="66">
        <v>43831</v>
      </c>
      <c r="C174" s="117"/>
      <c r="D174" s="98">
        <v>-2939.66</v>
      </c>
      <c r="E174" s="98">
        <v>1643319.28</v>
      </c>
      <c r="F174" s="98">
        <f t="shared" si="10"/>
        <v>1640379.62</v>
      </c>
      <c r="G174" s="75">
        <f t="shared" si="11"/>
        <v>-2939.6599999999162</v>
      </c>
      <c r="H174" s="98"/>
      <c r="I174" s="124"/>
      <c r="J174" s="67"/>
      <c r="K174" s="67"/>
      <c r="L174" s="67"/>
    </row>
    <row r="175" spans="1:12" hidden="1" outlineLevel="1" x14ac:dyDescent="0.25">
      <c r="A175" s="71">
        <f t="shared" si="8"/>
        <v>168</v>
      </c>
      <c r="B175" s="66">
        <v>43862</v>
      </c>
      <c r="C175" s="117"/>
      <c r="D175" s="98">
        <v>-37975.93</v>
      </c>
      <c r="E175" s="98"/>
      <c r="F175" s="98">
        <f t="shared" si="10"/>
        <v>-37975.93</v>
      </c>
      <c r="G175" s="75">
        <f t="shared" si="11"/>
        <v>-40915.589999999916</v>
      </c>
      <c r="H175" s="98"/>
      <c r="I175" s="124"/>
      <c r="J175" s="67"/>
      <c r="K175" s="67"/>
      <c r="L175" s="67"/>
    </row>
    <row r="176" spans="1:12" hidden="1" outlineLevel="1" x14ac:dyDescent="0.25">
      <c r="A176" s="71">
        <f t="shared" si="8"/>
        <v>169</v>
      </c>
      <c r="B176" s="66">
        <v>43891</v>
      </c>
      <c r="C176" s="117"/>
      <c r="D176" s="98">
        <v>-69841.070000000007</v>
      </c>
      <c r="E176" s="98"/>
      <c r="F176" s="98">
        <f t="shared" si="10"/>
        <v>-69841.070000000007</v>
      </c>
      <c r="G176" s="75">
        <f t="shared" ref="G176:G196" si="12">+G175+F176</f>
        <v>-110756.65999999992</v>
      </c>
      <c r="H176" s="98"/>
      <c r="I176" s="124"/>
      <c r="J176" s="67"/>
      <c r="K176" s="67"/>
      <c r="L176" s="67"/>
    </row>
    <row r="177" spans="1:12" hidden="1" outlineLevel="1" x14ac:dyDescent="0.25">
      <c r="A177" s="71">
        <f t="shared" si="8"/>
        <v>170</v>
      </c>
      <c r="B177" s="66">
        <v>43922</v>
      </c>
      <c r="C177" s="117"/>
      <c r="D177" s="98">
        <v>-123285.38</v>
      </c>
      <c r="E177" s="98"/>
      <c r="F177" s="98">
        <f t="shared" si="10"/>
        <v>-123285.38</v>
      </c>
      <c r="G177" s="75">
        <f t="shared" si="12"/>
        <v>-234042.03999999992</v>
      </c>
      <c r="H177" s="98"/>
      <c r="I177" s="124"/>
      <c r="J177" s="67"/>
      <c r="K177" s="67"/>
      <c r="L177" s="67"/>
    </row>
    <row r="178" spans="1:12" hidden="1" outlineLevel="1" x14ac:dyDescent="0.25">
      <c r="A178" s="71">
        <f t="shared" si="8"/>
        <v>171</v>
      </c>
      <c r="B178" s="66">
        <v>43952</v>
      </c>
      <c r="C178" s="117"/>
      <c r="D178" s="98">
        <v>-125564.47</v>
      </c>
      <c r="E178" s="98"/>
      <c r="F178" s="98">
        <f t="shared" si="10"/>
        <v>-125564.47</v>
      </c>
      <c r="G178" s="75">
        <f t="shared" si="12"/>
        <v>-359606.50999999989</v>
      </c>
      <c r="H178" s="98"/>
      <c r="I178" s="124"/>
      <c r="J178" s="67"/>
      <c r="K178" s="67"/>
      <c r="L178" s="67"/>
    </row>
    <row r="179" spans="1:12" hidden="1" outlineLevel="1" x14ac:dyDescent="0.25">
      <c r="A179" s="71">
        <f t="shared" si="8"/>
        <v>172</v>
      </c>
      <c r="B179" s="66">
        <v>43983</v>
      </c>
      <c r="C179" s="117"/>
      <c r="D179" s="98">
        <v>-123243.84</v>
      </c>
      <c r="E179" s="98"/>
      <c r="F179" s="98">
        <f t="shared" si="10"/>
        <v>-123243.84</v>
      </c>
      <c r="G179" s="75">
        <f t="shared" si="12"/>
        <v>-482850.34999999986</v>
      </c>
      <c r="H179" s="98"/>
      <c r="I179" s="124"/>
      <c r="J179" s="67"/>
      <c r="K179" s="67"/>
      <c r="L179" s="67"/>
    </row>
    <row r="180" spans="1:12" hidden="1" outlineLevel="1" x14ac:dyDescent="0.25">
      <c r="A180" s="71">
        <f t="shared" si="8"/>
        <v>173</v>
      </c>
      <c r="B180" s="66">
        <v>44013</v>
      </c>
      <c r="C180" s="117"/>
      <c r="D180" s="98">
        <v>-126704.18</v>
      </c>
      <c r="E180" s="98"/>
      <c r="F180" s="98">
        <f t="shared" si="10"/>
        <v>-126704.18</v>
      </c>
      <c r="G180" s="75">
        <f t="shared" si="12"/>
        <v>-609554.5299999998</v>
      </c>
      <c r="H180" s="98"/>
      <c r="I180" s="124"/>
      <c r="J180" s="67"/>
      <c r="K180" s="67"/>
      <c r="L180" s="67"/>
    </row>
    <row r="181" spans="1:12" hidden="1" outlineLevel="1" x14ac:dyDescent="0.25">
      <c r="A181" s="71">
        <f t="shared" si="8"/>
        <v>174</v>
      </c>
      <c r="B181" s="66">
        <v>44044</v>
      </c>
      <c r="C181" s="117"/>
      <c r="D181" s="98">
        <v>-128593.8</v>
      </c>
      <c r="E181" s="98"/>
      <c r="F181" s="98">
        <f t="shared" si="10"/>
        <v>-128593.8</v>
      </c>
      <c r="G181" s="75">
        <f t="shared" si="12"/>
        <v>-738148.32999999984</v>
      </c>
      <c r="H181" s="98"/>
      <c r="I181" s="124"/>
      <c r="J181" s="67"/>
      <c r="K181" s="67"/>
      <c r="L181" s="67"/>
    </row>
    <row r="182" spans="1:12" hidden="1" outlineLevel="1" x14ac:dyDescent="0.25">
      <c r="A182" s="71">
        <f t="shared" si="8"/>
        <v>175</v>
      </c>
      <c r="B182" s="66">
        <v>44075</v>
      </c>
      <c r="C182" s="117"/>
      <c r="D182" s="98">
        <v>-130136.42</v>
      </c>
      <c r="E182" s="98"/>
      <c r="F182" s="98">
        <f t="shared" si="10"/>
        <v>-130136.42</v>
      </c>
      <c r="G182" s="75">
        <f t="shared" si="12"/>
        <v>-868284.74999999988</v>
      </c>
      <c r="H182" s="98"/>
      <c r="I182" s="124"/>
      <c r="J182" s="67"/>
      <c r="K182" s="67"/>
      <c r="L182" s="67"/>
    </row>
    <row r="183" spans="1:12" hidden="1" outlineLevel="1" x14ac:dyDescent="0.25">
      <c r="A183" s="71">
        <f t="shared" si="8"/>
        <v>176</v>
      </c>
      <c r="B183" s="66">
        <v>44105</v>
      </c>
      <c r="C183" s="117"/>
      <c r="D183" s="98">
        <v>-119605.9</v>
      </c>
      <c r="E183" s="98"/>
      <c r="F183" s="98">
        <f t="shared" si="10"/>
        <v>-119605.9</v>
      </c>
      <c r="G183" s="75">
        <f t="shared" si="12"/>
        <v>-987890.64999999991</v>
      </c>
      <c r="H183" s="98"/>
      <c r="I183" s="124"/>
      <c r="J183" s="67"/>
      <c r="K183" s="67"/>
      <c r="L183" s="67"/>
    </row>
    <row r="184" spans="1:12" hidden="1" outlineLevel="1" x14ac:dyDescent="0.25">
      <c r="A184" s="71">
        <f t="shared" si="8"/>
        <v>177</v>
      </c>
      <c r="B184" s="66">
        <v>44136</v>
      </c>
      <c r="C184" s="117"/>
      <c r="D184" s="98">
        <v>-93924.65</v>
      </c>
      <c r="E184" s="98"/>
      <c r="F184" s="98">
        <f t="shared" si="10"/>
        <v>-93924.65</v>
      </c>
      <c r="G184" s="75">
        <f t="shared" si="12"/>
        <v>-1081815.2999999998</v>
      </c>
      <c r="H184" s="98"/>
      <c r="I184" s="124"/>
      <c r="J184" s="67"/>
      <c r="K184" s="67"/>
      <c r="L184" s="67"/>
    </row>
    <row r="185" spans="1:12" hidden="1" outlineLevel="1" collapsed="1" x14ac:dyDescent="0.25">
      <c r="A185" s="71">
        <f t="shared" si="8"/>
        <v>178</v>
      </c>
      <c r="B185" s="66">
        <v>44166</v>
      </c>
      <c r="C185" s="117"/>
      <c r="D185" s="98">
        <v>-99751.76</v>
      </c>
      <c r="E185" s="98"/>
      <c r="F185" s="98">
        <f t="shared" si="10"/>
        <v>-99751.76</v>
      </c>
      <c r="G185" s="75">
        <f t="shared" si="12"/>
        <v>-1181567.0599999998</v>
      </c>
      <c r="H185" s="98"/>
      <c r="I185" s="124"/>
      <c r="J185" s="67"/>
      <c r="K185" s="67"/>
      <c r="L185" s="67"/>
    </row>
    <row r="186" spans="1:12" hidden="1" outlineLevel="1" x14ac:dyDescent="0.25">
      <c r="A186" s="71">
        <f t="shared" si="8"/>
        <v>179</v>
      </c>
      <c r="B186" s="66">
        <v>44197</v>
      </c>
      <c r="C186" s="117"/>
      <c r="D186" s="98">
        <v>-2285.65</v>
      </c>
      <c r="E186" s="98"/>
      <c r="F186" s="98">
        <f t="shared" si="10"/>
        <v>-2285.65</v>
      </c>
      <c r="G186" s="75">
        <f t="shared" si="12"/>
        <v>-1183852.7099999997</v>
      </c>
      <c r="H186" s="98"/>
      <c r="I186" s="124"/>
      <c r="J186" s="67"/>
      <c r="K186" s="67"/>
      <c r="L186" s="67"/>
    </row>
    <row r="187" spans="1:12" hidden="1" outlineLevel="1" x14ac:dyDescent="0.25">
      <c r="A187" s="71">
        <f t="shared" si="8"/>
        <v>180</v>
      </c>
      <c r="B187" s="66">
        <v>44228</v>
      </c>
      <c r="C187" s="127" t="s">
        <v>321</v>
      </c>
      <c r="D187" s="98">
        <v>-2282435.79</v>
      </c>
      <c r="E187" s="98">
        <v>1181567.06</v>
      </c>
      <c r="F187" s="98">
        <f t="shared" si="10"/>
        <v>-1100868.73</v>
      </c>
      <c r="G187" s="75">
        <f t="shared" si="12"/>
        <v>-2284721.4399999995</v>
      </c>
      <c r="H187" s="98"/>
      <c r="I187" s="124"/>
      <c r="J187" s="67"/>
      <c r="K187" s="67"/>
      <c r="L187" s="67"/>
    </row>
    <row r="188" spans="1:12" hidden="1" outlineLevel="1" x14ac:dyDescent="0.25">
      <c r="A188" s="71">
        <f t="shared" si="8"/>
        <v>181</v>
      </c>
      <c r="B188" s="66">
        <v>44256</v>
      </c>
      <c r="C188" s="117"/>
      <c r="D188" s="98">
        <v>-110621.62</v>
      </c>
      <c r="E188" s="98"/>
      <c r="F188" s="98">
        <f t="shared" si="10"/>
        <v>-110621.62</v>
      </c>
      <c r="G188" s="75">
        <f t="shared" si="12"/>
        <v>-2395343.0599999996</v>
      </c>
      <c r="H188" s="98"/>
      <c r="I188" s="124"/>
      <c r="J188" s="67"/>
      <c r="K188" s="67"/>
      <c r="L188" s="67"/>
    </row>
    <row r="189" spans="1:12" hidden="1" outlineLevel="1" x14ac:dyDescent="0.25">
      <c r="A189" s="71">
        <f t="shared" si="8"/>
        <v>182</v>
      </c>
      <c r="B189" s="66">
        <v>44287</v>
      </c>
      <c r="C189" s="117"/>
      <c r="D189" s="98">
        <v>-117459.84</v>
      </c>
      <c r="E189" s="98"/>
      <c r="F189" s="98">
        <f t="shared" si="10"/>
        <v>-117459.84</v>
      </c>
      <c r="G189" s="75">
        <f t="shared" si="12"/>
        <v>-2512802.8999999994</v>
      </c>
      <c r="H189" s="98"/>
      <c r="I189" s="124"/>
      <c r="J189" s="67"/>
      <c r="K189" s="67"/>
      <c r="L189" s="67"/>
    </row>
    <row r="190" spans="1:12" hidden="1" outlineLevel="1" x14ac:dyDescent="0.25">
      <c r="A190" s="71">
        <f t="shared" si="8"/>
        <v>183</v>
      </c>
      <c r="B190" s="66">
        <v>44317</v>
      </c>
      <c r="C190" s="117"/>
      <c r="D190" s="98">
        <v>-140963.94</v>
      </c>
      <c r="E190" s="98"/>
      <c r="F190" s="98">
        <f t="shared" si="10"/>
        <v>-140963.94</v>
      </c>
      <c r="G190" s="75">
        <f t="shared" si="12"/>
        <v>-2653766.8399999994</v>
      </c>
      <c r="H190" s="98"/>
      <c r="I190" s="124"/>
      <c r="J190" s="67"/>
      <c r="K190" s="67"/>
      <c r="L190" s="67"/>
    </row>
    <row r="191" spans="1:12" hidden="1" outlineLevel="1" x14ac:dyDescent="0.25">
      <c r="A191" s="71">
        <f t="shared" si="8"/>
        <v>184</v>
      </c>
      <c r="B191" s="66">
        <v>44348</v>
      </c>
      <c r="C191" s="117"/>
      <c r="D191" s="98">
        <v>-143329.03</v>
      </c>
      <c r="E191" s="98"/>
      <c r="F191" s="98">
        <f t="shared" si="10"/>
        <v>-143329.03</v>
      </c>
      <c r="G191" s="75">
        <f t="shared" si="12"/>
        <v>-2797095.8699999992</v>
      </c>
      <c r="H191" s="98"/>
      <c r="I191" s="124"/>
      <c r="J191" s="67"/>
      <c r="K191" s="67"/>
      <c r="L191" s="67"/>
    </row>
    <row r="192" spans="1:12" hidden="1" outlineLevel="1" x14ac:dyDescent="0.25">
      <c r="A192" s="71">
        <f t="shared" si="8"/>
        <v>185</v>
      </c>
      <c r="B192" s="66">
        <v>44378</v>
      </c>
      <c r="C192" s="117"/>
      <c r="D192" s="98">
        <v>-149010.67000000001</v>
      </c>
      <c r="E192" s="98"/>
      <c r="F192" s="98">
        <f t="shared" si="10"/>
        <v>-149010.67000000001</v>
      </c>
      <c r="G192" s="75">
        <f t="shared" si="12"/>
        <v>-2946106.5399999991</v>
      </c>
      <c r="H192" s="98"/>
      <c r="I192" s="124"/>
      <c r="J192" s="67"/>
      <c r="K192" s="67"/>
      <c r="L192" s="67"/>
    </row>
    <row r="193" spans="1:12" hidden="1" outlineLevel="1" x14ac:dyDescent="0.25">
      <c r="A193" s="71">
        <f t="shared" si="8"/>
        <v>186</v>
      </c>
      <c r="B193" s="66">
        <v>44409</v>
      </c>
      <c r="C193" s="117"/>
      <c r="D193" s="98">
        <v>-161288.79</v>
      </c>
      <c r="E193" s="98"/>
      <c r="F193" s="98">
        <f t="shared" si="10"/>
        <v>-161288.79</v>
      </c>
      <c r="G193" s="75">
        <f t="shared" si="12"/>
        <v>-3107395.3299999991</v>
      </c>
      <c r="H193" s="98"/>
      <c r="I193" s="124"/>
      <c r="J193" s="67"/>
      <c r="K193" s="67"/>
      <c r="L193" s="67"/>
    </row>
    <row r="194" spans="1:12" hidden="1" outlineLevel="1" x14ac:dyDescent="0.25">
      <c r="A194" s="71">
        <f t="shared" si="8"/>
        <v>187</v>
      </c>
      <c r="B194" s="66">
        <v>44440</v>
      </c>
      <c r="C194" s="117"/>
      <c r="D194" s="98">
        <v>-168211.14</v>
      </c>
      <c r="E194" s="98"/>
      <c r="F194" s="98">
        <f t="shared" si="10"/>
        <v>-168211.14</v>
      </c>
      <c r="G194" s="75">
        <f t="shared" si="12"/>
        <v>-3275606.4699999993</v>
      </c>
      <c r="H194" s="98"/>
      <c r="I194" s="124"/>
      <c r="J194" s="67"/>
      <c r="K194" s="67"/>
      <c r="L194" s="67"/>
    </row>
    <row r="195" spans="1:12" hidden="1" outlineLevel="1" x14ac:dyDescent="0.25">
      <c r="A195" s="71">
        <f t="shared" si="8"/>
        <v>188</v>
      </c>
      <c r="B195" s="66">
        <v>44470</v>
      </c>
      <c r="C195" s="117"/>
      <c r="D195" s="98">
        <v>-122764.84</v>
      </c>
      <c r="E195" s="98"/>
      <c r="F195" s="98">
        <f t="shared" si="10"/>
        <v>-122764.84</v>
      </c>
      <c r="G195" s="75">
        <f t="shared" si="12"/>
        <v>-3398371.3099999991</v>
      </c>
      <c r="H195" s="98"/>
      <c r="I195" s="124"/>
      <c r="J195" s="67"/>
      <c r="K195" s="67"/>
      <c r="L195" s="67"/>
    </row>
    <row r="196" spans="1:12" hidden="1" outlineLevel="1" collapsed="1" x14ac:dyDescent="0.25">
      <c r="A196" s="71">
        <f t="shared" si="8"/>
        <v>189</v>
      </c>
      <c r="B196" s="66">
        <v>44501</v>
      </c>
      <c r="C196" s="117"/>
      <c r="D196" s="98">
        <v>-113168.27</v>
      </c>
      <c r="E196" s="98"/>
      <c r="F196" s="98">
        <f t="shared" si="10"/>
        <v>-113168.27</v>
      </c>
      <c r="G196" s="75">
        <f t="shared" si="12"/>
        <v>-3511539.5799999991</v>
      </c>
      <c r="H196" s="98"/>
      <c r="I196" s="124"/>
      <c r="J196" s="67"/>
      <c r="K196" s="67"/>
      <c r="L196" s="67"/>
    </row>
    <row r="197" spans="1:12" hidden="1" outlineLevel="1" x14ac:dyDescent="0.25">
      <c r="A197" s="71">
        <f t="shared" si="8"/>
        <v>190</v>
      </c>
      <c r="B197" s="66">
        <v>44531</v>
      </c>
      <c r="C197" s="117"/>
      <c r="D197" s="98">
        <v>-134945.14000000001</v>
      </c>
      <c r="E197" s="98"/>
      <c r="F197" s="98">
        <f t="shared" si="10"/>
        <v>-134945.14000000001</v>
      </c>
      <c r="G197" s="75">
        <f>+G196+F197-1</f>
        <v>-3646485.7199999993</v>
      </c>
      <c r="H197" s="98"/>
      <c r="I197" s="124"/>
      <c r="J197" s="67"/>
      <c r="K197" s="67"/>
      <c r="L197" s="67"/>
    </row>
    <row r="198" spans="1:12" hidden="1" outlineLevel="1" x14ac:dyDescent="0.25">
      <c r="A198" s="71">
        <f t="shared" si="8"/>
        <v>191</v>
      </c>
      <c r="B198" s="66">
        <v>44562</v>
      </c>
      <c r="C198" s="127" t="s">
        <v>321</v>
      </c>
      <c r="D198" s="98">
        <v>-11722.76</v>
      </c>
      <c r="E198" s="98">
        <v>3646485.72</v>
      </c>
      <c r="F198" s="98">
        <f t="shared" si="10"/>
        <v>3634762.9600000004</v>
      </c>
      <c r="G198" s="75">
        <f t="shared" ref="G198:G243" si="13">+G197+F198</f>
        <v>-11722.759999998845</v>
      </c>
      <c r="H198" s="98"/>
      <c r="I198" s="124"/>
      <c r="J198" s="67"/>
      <c r="K198" s="67"/>
      <c r="L198" s="67"/>
    </row>
    <row r="199" spans="1:12" hidden="1" outlineLevel="1" x14ac:dyDescent="0.25">
      <c r="A199" s="71">
        <f t="shared" si="8"/>
        <v>192</v>
      </c>
      <c r="B199" s="66">
        <v>44593</v>
      </c>
      <c r="C199" s="117"/>
      <c r="D199" s="98">
        <v>-49990.81</v>
      </c>
      <c r="E199" s="98"/>
      <c r="F199" s="98">
        <f t="shared" si="10"/>
        <v>-49990.81</v>
      </c>
      <c r="G199" s="75">
        <f t="shared" si="13"/>
        <v>-61713.569999998843</v>
      </c>
      <c r="H199" s="98"/>
      <c r="I199" s="124"/>
      <c r="J199" s="67"/>
      <c r="K199" s="67"/>
      <c r="L199" s="67"/>
    </row>
    <row r="200" spans="1:12" hidden="1" outlineLevel="1" x14ac:dyDescent="0.25">
      <c r="A200" s="71">
        <f t="shared" si="8"/>
        <v>193</v>
      </c>
      <c r="B200" s="66">
        <v>44621</v>
      </c>
      <c r="C200" s="117"/>
      <c r="D200" s="98">
        <v>-139455.28</v>
      </c>
      <c r="E200" s="98"/>
      <c r="F200" s="98">
        <f t="shared" si="10"/>
        <v>-139455.28</v>
      </c>
      <c r="G200" s="75">
        <f t="shared" si="13"/>
        <v>-201168.84999999884</v>
      </c>
      <c r="H200" s="98"/>
      <c r="I200" s="124"/>
      <c r="J200" s="67"/>
      <c r="K200" s="67"/>
      <c r="L200" s="67"/>
    </row>
    <row r="201" spans="1:12" hidden="1" outlineLevel="1" x14ac:dyDescent="0.25">
      <c r="A201" s="71">
        <f t="shared" ref="A201:A248" si="14">+A200+1</f>
        <v>194</v>
      </c>
      <c r="B201" s="66">
        <v>44652</v>
      </c>
      <c r="C201" s="117"/>
      <c r="D201" s="98">
        <v>-132335.95000000001</v>
      </c>
      <c r="E201" s="98"/>
      <c r="F201" s="98">
        <f t="shared" si="10"/>
        <v>-132335.95000000001</v>
      </c>
      <c r="G201" s="75">
        <f t="shared" si="13"/>
        <v>-333504.79999999888</v>
      </c>
      <c r="H201" s="98"/>
      <c r="I201" s="124"/>
      <c r="J201" s="67"/>
      <c r="K201" s="67"/>
      <c r="L201" s="67"/>
    </row>
    <row r="202" spans="1:12" hidden="1" outlineLevel="1" x14ac:dyDescent="0.25">
      <c r="A202" s="71">
        <f t="shared" si="14"/>
        <v>195</v>
      </c>
      <c r="B202" s="66">
        <v>44682</v>
      </c>
      <c r="C202" s="117"/>
      <c r="D202" s="98">
        <v>-160287.85999999999</v>
      </c>
      <c r="E202" s="98"/>
      <c r="F202" s="98">
        <f t="shared" si="10"/>
        <v>-160287.85999999999</v>
      </c>
      <c r="G202" s="75">
        <f t="shared" si="13"/>
        <v>-493792.65999999887</v>
      </c>
      <c r="H202" s="98"/>
      <c r="I202" s="124"/>
      <c r="J202" s="67"/>
      <c r="K202" s="67"/>
      <c r="L202" s="67"/>
    </row>
    <row r="203" spans="1:12" hidden="1" outlineLevel="1" x14ac:dyDescent="0.25">
      <c r="A203" s="71">
        <f t="shared" si="14"/>
        <v>196</v>
      </c>
      <c r="B203" s="66">
        <v>44713</v>
      </c>
      <c r="C203" s="117"/>
      <c r="D203" s="98">
        <v>-208071.18</v>
      </c>
      <c r="E203" s="98"/>
      <c r="F203" s="98">
        <f t="shared" si="10"/>
        <v>-208071.18</v>
      </c>
      <c r="G203" s="75">
        <f t="shared" si="13"/>
        <v>-701863.83999999892</v>
      </c>
      <c r="H203" s="98"/>
      <c r="I203" s="124"/>
      <c r="J203" s="67"/>
      <c r="K203" s="67"/>
      <c r="L203" s="67"/>
    </row>
    <row r="204" spans="1:12" hidden="1" outlineLevel="1" x14ac:dyDescent="0.25">
      <c r="A204" s="71">
        <f t="shared" si="14"/>
        <v>197</v>
      </c>
      <c r="B204" s="66">
        <v>44743</v>
      </c>
      <c r="C204" s="117"/>
      <c r="D204" s="98">
        <v>-356421.55</v>
      </c>
      <c r="E204" s="98"/>
      <c r="F204" s="98">
        <f t="shared" si="10"/>
        <v>-356421.55</v>
      </c>
      <c r="G204" s="75">
        <f t="shared" si="13"/>
        <v>-1058285.389999999</v>
      </c>
      <c r="H204" s="98"/>
      <c r="I204" s="124"/>
      <c r="J204" s="67"/>
      <c r="K204" s="67"/>
      <c r="L204" s="67"/>
    </row>
    <row r="205" spans="1:12" hidden="1" outlineLevel="1" x14ac:dyDescent="0.25">
      <c r="A205" s="71">
        <f t="shared" si="14"/>
        <v>198</v>
      </c>
      <c r="B205" s="66">
        <v>44774</v>
      </c>
      <c r="C205" s="117"/>
      <c r="D205" s="98">
        <v>-432157.49</v>
      </c>
      <c r="E205" s="98"/>
      <c r="F205" s="98">
        <f t="shared" si="10"/>
        <v>-432157.49</v>
      </c>
      <c r="G205" s="75">
        <f t="shared" si="13"/>
        <v>-1490442.879999999</v>
      </c>
      <c r="H205" s="98"/>
      <c r="I205" s="124"/>
      <c r="J205" s="67"/>
      <c r="K205" s="67"/>
      <c r="L205" s="67"/>
    </row>
    <row r="206" spans="1:12" hidden="1" outlineLevel="1" x14ac:dyDescent="0.25">
      <c r="A206" s="71">
        <f t="shared" si="14"/>
        <v>199</v>
      </c>
      <c r="B206" s="66">
        <v>44805</v>
      </c>
      <c r="C206" s="117"/>
      <c r="D206" s="98">
        <v>-368261.26</v>
      </c>
      <c r="E206" s="98"/>
      <c r="F206" s="98">
        <f t="shared" si="10"/>
        <v>-368261.26</v>
      </c>
      <c r="G206" s="75">
        <f t="shared" si="13"/>
        <v>-1858704.139999999</v>
      </c>
      <c r="H206" s="98"/>
      <c r="I206" s="124"/>
      <c r="J206" s="67"/>
      <c r="K206" s="67"/>
      <c r="L206" s="67"/>
    </row>
    <row r="207" spans="1:12" hidden="1" outlineLevel="1" x14ac:dyDescent="0.25">
      <c r="A207" s="71">
        <f t="shared" si="14"/>
        <v>200</v>
      </c>
      <c r="B207" s="66">
        <v>44835</v>
      </c>
      <c r="C207" s="117"/>
      <c r="D207" s="98">
        <v>-209012.47</v>
      </c>
      <c r="E207" s="98"/>
      <c r="F207" s="98">
        <f t="shared" si="10"/>
        <v>-209012.47</v>
      </c>
      <c r="G207" s="75">
        <f t="shared" si="13"/>
        <v>-2067716.6099999989</v>
      </c>
      <c r="H207" s="98"/>
      <c r="I207" s="124"/>
      <c r="J207" s="67"/>
      <c r="K207" s="67"/>
      <c r="L207" s="67"/>
    </row>
    <row r="208" spans="1:12" hidden="1" outlineLevel="1" x14ac:dyDescent="0.25">
      <c r="A208" s="71">
        <f t="shared" si="14"/>
        <v>201</v>
      </c>
      <c r="B208" s="66">
        <v>44866</v>
      </c>
      <c r="C208" s="117"/>
      <c r="D208" s="98">
        <v>-153636.87</v>
      </c>
      <c r="E208" s="98"/>
      <c r="F208" s="98">
        <f t="shared" ref="F208:F243" si="15">SUM(D208:E208)</f>
        <v>-153636.87</v>
      </c>
      <c r="G208" s="75">
        <f t="shared" si="13"/>
        <v>-2221353.4799999991</v>
      </c>
      <c r="H208" s="98"/>
      <c r="I208" s="124"/>
      <c r="J208" s="67"/>
      <c r="K208" s="67"/>
      <c r="L208" s="67"/>
    </row>
    <row r="209" spans="1:12" hidden="1" outlineLevel="1" x14ac:dyDescent="0.25">
      <c r="A209" s="71">
        <f t="shared" si="14"/>
        <v>202</v>
      </c>
      <c r="B209" s="66">
        <v>44896</v>
      </c>
      <c r="C209" s="117"/>
      <c r="D209" s="98">
        <v>-605805.25</v>
      </c>
      <c r="E209" s="98"/>
      <c r="F209" s="98">
        <f t="shared" si="15"/>
        <v>-605805.25</v>
      </c>
      <c r="G209" s="75">
        <f t="shared" si="13"/>
        <v>-2827158.7299999991</v>
      </c>
      <c r="H209" s="98"/>
      <c r="I209" s="124"/>
      <c r="J209" s="67"/>
      <c r="K209" s="67"/>
      <c r="L209" s="67"/>
    </row>
    <row r="210" spans="1:12" hidden="1" outlineLevel="1" x14ac:dyDescent="0.25">
      <c r="A210" s="71">
        <f t="shared" si="14"/>
        <v>203</v>
      </c>
      <c r="B210" s="66">
        <v>44927</v>
      </c>
      <c r="C210" s="127" t="s">
        <v>321</v>
      </c>
      <c r="D210" s="98">
        <f>-228960.66+33937.61</f>
        <v>-195023.05</v>
      </c>
      <c r="E210" s="98">
        <v>2827158.73</v>
      </c>
      <c r="F210" s="98">
        <f t="shared" si="15"/>
        <v>2632135.6800000002</v>
      </c>
      <c r="G210" s="75">
        <f t="shared" si="13"/>
        <v>-195023.04999999888</v>
      </c>
      <c r="H210" s="98"/>
      <c r="I210" s="124"/>
      <c r="J210" s="67"/>
      <c r="K210" s="67"/>
      <c r="L210" s="67"/>
    </row>
    <row r="211" spans="1:12" hidden="1" outlineLevel="1" x14ac:dyDescent="0.25">
      <c r="A211" s="71">
        <f t="shared" si="14"/>
        <v>204</v>
      </c>
      <c r="B211" s="66">
        <v>44958</v>
      </c>
      <c r="C211" s="117"/>
      <c r="D211" s="98">
        <v>-319378.34000000003</v>
      </c>
      <c r="E211" s="98"/>
      <c r="F211" s="98">
        <f t="shared" si="15"/>
        <v>-319378.34000000003</v>
      </c>
      <c r="G211" s="75">
        <f t="shared" si="13"/>
        <v>-514401.38999999891</v>
      </c>
      <c r="H211" s="98"/>
      <c r="I211" s="124"/>
      <c r="J211" s="67"/>
      <c r="K211" s="67"/>
      <c r="L211" s="67"/>
    </row>
    <row r="212" spans="1:12" hidden="1" outlineLevel="1" x14ac:dyDescent="0.25">
      <c r="A212" s="71">
        <f t="shared" si="14"/>
        <v>205</v>
      </c>
      <c r="B212" s="66">
        <v>44986</v>
      </c>
      <c r="C212" s="117"/>
      <c r="D212" s="98">
        <v>-245670.55</v>
      </c>
      <c r="E212" s="98"/>
      <c r="F212" s="98">
        <f t="shared" si="15"/>
        <v>-245670.55</v>
      </c>
      <c r="G212" s="75">
        <f t="shared" si="13"/>
        <v>-760071.9399999989</v>
      </c>
      <c r="H212" s="98"/>
      <c r="I212" s="124"/>
      <c r="J212" s="67"/>
      <c r="K212" s="67"/>
      <c r="L212" s="67"/>
    </row>
    <row r="213" spans="1:12" hidden="1" outlineLevel="1" x14ac:dyDescent="0.25">
      <c r="A213" s="71">
        <f t="shared" si="14"/>
        <v>206</v>
      </c>
      <c r="B213" s="66">
        <v>45017</v>
      </c>
      <c r="C213" s="117"/>
      <c r="D213" s="98">
        <v>-203273.4</v>
      </c>
      <c r="E213" s="98"/>
      <c r="F213" s="98">
        <f t="shared" si="15"/>
        <v>-203273.4</v>
      </c>
      <c r="G213" s="75">
        <f t="shared" si="13"/>
        <v>-963345.33999999892</v>
      </c>
      <c r="H213" s="98"/>
      <c r="I213" s="124"/>
      <c r="J213" s="67"/>
      <c r="K213" s="67"/>
      <c r="L213" s="67"/>
    </row>
    <row r="214" spans="1:12" hidden="1" outlineLevel="1" x14ac:dyDescent="0.25">
      <c r="A214" s="71">
        <f t="shared" si="14"/>
        <v>207</v>
      </c>
      <c r="B214" s="66">
        <v>45047</v>
      </c>
      <c r="C214" s="117"/>
      <c r="D214" s="98">
        <v>-147450.76</v>
      </c>
      <c r="E214" s="98"/>
      <c r="F214" s="98">
        <f t="shared" si="15"/>
        <v>-147450.76</v>
      </c>
      <c r="G214" s="75">
        <f t="shared" si="13"/>
        <v>-1110796.0999999989</v>
      </c>
      <c r="H214" s="98"/>
      <c r="I214" s="124"/>
      <c r="J214" s="67"/>
      <c r="K214" s="67"/>
      <c r="L214" s="67"/>
    </row>
    <row r="215" spans="1:12" hidden="1" outlineLevel="1" x14ac:dyDescent="0.25">
      <c r="A215" s="71">
        <f t="shared" si="14"/>
        <v>208</v>
      </c>
      <c r="B215" s="66">
        <v>45078</v>
      </c>
      <c r="C215" s="117"/>
      <c r="D215" s="98">
        <v>-146901.29</v>
      </c>
      <c r="E215" s="98"/>
      <c r="F215" s="98">
        <f t="shared" si="15"/>
        <v>-146901.29</v>
      </c>
      <c r="G215" s="75">
        <f t="shared" si="13"/>
        <v>-1257697.389999999</v>
      </c>
      <c r="H215" s="98"/>
      <c r="I215" s="124"/>
      <c r="J215" s="67"/>
      <c r="K215" s="67"/>
      <c r="L215" s="67"/>
    </row>
    <row r="216" spans="1:12" hidden="1" outlineLevel="1" x14ac:dyDescent="0.25">
      <c r="A216" s="71">
        <f t="shared" si="14"/>
        <v>209</v>
      </c>
      <c r="B216" s="66">
        <v>45108</v>
      </c>
      <c r="C216" s="117"/>
      <c r="D216" s="98">
        <v>-251617.27</v>
      </c>
      <c r="E216" s="98"/>
      <c r="F216" s="98">
        <f t="shared" si="15"/>
        <v>-251617.27</v>
      </c>
      <c r="G216" s="75">
        <f t="shared" si="13"/>
        <v>-1509314.659999999</v>
      </c>
      <c r="H216" s="98"/>
      <c r="I216" s="124"/>
      <c r="J216" s="67"/>
      <c r="K216" s="67"/>
      <c r="L216" s="67"/>
    </row>
    <row r="217" spans="1:12" hidden="1" outlineLevel="1" x14ac:dyDescent="0.25">
      <c r="A217" s="71">
        <f t="shared" si="14"/>
        <v>210</v>
      </c>
      <c r="B217" s="66">
        <v>45139</v>
      </c>
      <c r="C217" s="117"/>
      <c r="D217" s="98">
        <v>-264436.34999999998</v>
      </c>
      <c r="E217" s="98"/>
      <c r="F217" s="98">
        <f t="shared" si="15"/>
        <v>-264436.34999999998</v>
      </c>
      <c r="G217" s="75">
        <f t="shared" si="13"/>
        <v>-1773751.0099999988</v>
      </c>
      <c r="H217" s="98"/>
      <c r="I217" s="124"/>
      <c r="J217" s="67"/>
      <c r="K217" s="67"/>
      <c r="L217" s="67"/>
    </row>
    <row r="218" spans="1:12" hidden="1" outlineLevel="1" x14ac:dyDescent="0.25">
      <c r="A218" s="71">
        <f t="shared" si="14"/>
        <v>211</v>
      </c>
      <c r="B218" s="66">
        <v>45170</v>
      </c>
      <c r="C218" s="117"/>
      <c r="D218" s="98">
        <v>-158299.44</v>
      </c>
      <c r="E218" s="98"/>
      <c r="F218" s="98">
        <f t="shared" si="15"/>
        <v>-158299.44</v>
      </c>
      <c r="G218" s="75">
        <f t="shared" si="13"/>
        <v>-1932050.4499999988</v>
      </c>
      <c r="H218" s="98"/>
      <c r="I218" s="124"/>
      <c r="J218" s="67"/>
      <c r="K218" s="67"/>
      <c r="L218" s="67"/>
    </row>
    <row r="219" spans="1:12" hidden="1" outlineLevel="1" x14ac:dyDescent="0.25">
      <c r="A219" s="71">
        <f t="shared" si="14"/>
        <v>212</v>
      </c>
      <c r="B219" s="66">
        <v>45200</v>
      </c>
      <c r="C219" s="117"/>
      <c r="D219" s="98">
        <v>-158870.09</v>
      </c>
      <c r="E219" s="98"/>
      <c r="F219" s="98">
        <f t="shared" si="15"/>
        <v>-158870.09</v>
      </c>
      <c r="G219" s="75">
        <f t="shared" si="13"/>
        <v>-2090920.5399999989</v>
      </c>
      <c r="H219" s="98"/>
      <c r="I219" s="124"/>
      <c r="J219" s="67"/>
      <c r="K219" s="67"/>
      <c r="L219" s="67"/>
    </row>
    <row r="220" spans="1:12" hidden="1" outlineLevel="1" collapsed="1" x14ac:dyDescent="0.25">
      <c r="A220" s="71">
        <f t="shared" si="14"/>
        <v>213</v>
      </c>
      <c r="B220" s="66">
        <v>45231</v>
      </c>
      <c r="C220" s="117"/>
      <c r="D220" s="98">
        <v>-173339.68</v>
      </c>
      <c r="E220" s="98"/>
      <c r="F220" s="98">
        <f t="shared" si="15"/>
        <v>-173339.68</v>
      </c>
      <c r="G220" s="75">
        <f t="shared" si="13"/>
        <v>-2264260.2199999988</v>
      </c>
      <c r="H220" s="98"/>
      <c r="I220" s="124"/>
      <c r="J220" s="67"/>
      <c r="K220" s="67"/>
      <c r="L220" s="67"/>
    </row>
    <row r="221" spans="1:12" hidden="1" outlineLevel="1" x14ac:dyDescent="0.25">
      <c r="A221" s="71">
        <f t="shared" si="14"/>
        <v>214</v>
      </c>
      <c r="B221" s="66">
        <v>45261</v>
      </c>
      <c r="C221" s="117"/>
      <c r="D221" s="98">
        <v>-150585.42000000001</v>
      </c>
      <c r="E221" s="98"/>
      <c r="F221" s="98">
        <f t="shared" si="15"/>
        <v>-150585.42000000001</v>
      </c>
      <c r="G221" s="75">
        <f t="shared" si="13"/>
        <v>-2414845.6399999987</v>
      </c>
      <c r="H221" s="98"/>
      <c r="I221" s="124"/>
      <c r="J221" s="67"/>
      <c r="K221" s="67"/>
      <c r="L221" s="67"/>
    </row>
    <row r="222" spans="1:12" hidden="1" outlineLevel="1" x14ac:dyDescent="0.25">
      <c r="A222" s="71">
        <f t="shared" si="14"/>
        <v>215</v>
      </c>
      <c r="B222" s="66">
        <v>45292</v>
      </c>
      <c r="C222" s="126">
        <v>1</v>
      </c>
      <c r="D222" s="98">
        <v>-5925.94</v>
      </c>
      <c r="E222" s="98">
        <v>2414845.64</v>
      </c>
      <c r="F222" s="98">
        <f t="shared" si="15"/>
        <v>2408919.7000000002</v>
      </c>
      <c r="G222" s="75">
        <f t="shared" si="13"/>
        <v>-5925.9399999985471</v>
      </c>
      <c r="H222" s="98"/>
      <c r="I222" s="124"/>
      <c r="J222" s="67"/>
      <c r="K222" s="67"/>
      <c r="L222" s="67"/>
    </row>
    <row r="223" spans="1:12" hidden="1" outlineLevel="1" x14ac:dyDescent="0.25">
      <c r="A223" s="71">
        <f t="shared" si="14"/>
        <v>216</v>
      </c>
      <c r="B223" s="66">
        <v>45323</v>
      </c>
      <c r="C223" s="117"/>
      <c r="D223" s="98">
        <v>-43229.89</v>
      </c>
      <c r="E223" s="98"/>
      <c r="F223" s="98">
        <f t="shared" si="15"/>
        <v>-43229.89</v>
      </c>
      <c r="G223" s="75">
        <f t="shared" si="13"/>
        <v>-49155.829999998547</v>
      </c>
      <c r="H223" s="98"/>
      <c r="I223" s="124"/>
      <c r="J223" s="67"/>
      <c r="K223" s="67"/>
      <c r="L223" s="67"/>
    </row>
    <row r="224" spans="1:12" hidden="1" outlineLevel="1" x14ac:dyDescent="0.25">
      <c r="A224" s="71">
        <f t="shared" si="14"/>
        <v>217</v>
      </c>
      <c r="B224" s="66">
        <v>45352</v>
      </c>
      <c r="C224" s="117"/>
      <c r="D224" s="98">
        <v>-121337.52</v>
      </c>
      <c r="E224" s="98"/>
      <c r="F224" s="98">
        <f t="shared" si="15"/>
        <v>-121337.52</v>
      </c>
      <c r="G224" s="75">
        <f t="shared" si="13"/>
        <v>-170493.34999999855</v>
      </c>
      <c r="H224" s="98"/>
      <c r="I224" s="124"/>
      <c r="J224" s="67"/>
      <c r="K224" s="67"/>
      <c r="L224" s="67"/>
    </row>
    <row r="225" spans="1:12" hidden="1" outlineLevel="1" x14ac:dyDescent="0.25">
      <c r="A225" s="71">
        <f t="shared" si="14"/>
        <v>218</v>
      </c>
      <c r="B225" s="66">
        <v>45383</v>
      </c>
      <c r="C225" s="117"/>
      <c r="D225" s="98">
        <v>-149758.03</v>
      </c>
      <c r="E225" s="98"/>
      <c r="F225" s="98">
        <f t="shared" si="15"/>
        <v>-149758.03</v>
      </c>
      <c r="G225" s="75">
        <f t="shared" si="13"/>
        <v>-320251.37999999855</v>
      </c>
      <c r="H225" s="98"/>
      <c r="I225" s="124"/>
      <c r="J225" s="67"/>
      <c r="K225" s="67"/>
      <c r="L225" s="67"/>
    </row>
    <row r="226" spans="1:12" hidden="1" outlineLevel="1" x14ac:dyDescent="0.25">
      <c r="A226" s="71">
        <f t="shared" si="14"/>
        <v>219</v>
      </c>
      <c r="B226" s="66">
        <v>45413</v>
      </c>
      <c r="C226" s="117"/>
      <c r="D226" s="98">
        <v>-134816.20000000001</v>
      </c>
      <c r="E226" s="98"/>
      <c r="F226" s="98">
        <f t="shared" si="15"/>
        <v>-134816.20000000001</v>
      </c>
      <c r="G226" s="75">
        <f t="shared" si="13"/>
        <v>-455067.57999999856</v>
      </c>
      <c r="H226" s="98"/>
      <c r="I226" s="124"/>
      <c r="J226" s="67"/>
      <c r="K226" s="67"/>
      <c r="L226" s="67"/>
    </row>
    <row r="227" spans="1:12" hidden="1" outlineLevel="1" x14ac:dyDescent="0.25">
      <c r="A227" s="71">
        <f t="shared" si="14"/>
        <v>220</v>
      </c>
      <c r="B227" s="66">
        <v>45444</v>
      </c>
      <c r="C227" s="117"/>
      <c r="D227" s="98">
        <v>-224751.34</v>
      </c>
      <c r="E227" s="98"/>
      <c r="F227" s="98">
        <f t="shared" si="15"/>
        <v>-224751.34</v>
      </c>
      <c r="G227" s="75">
        <f t="shared" si="13"/>
        <v>-679818.91999999853</v>
      </c>
      <c r="H227" s="98"/>
      <c r="I227" s="124"/>
      <c r="J227" s="67"/>
      <c r="K227" s="67"/>
      <c r="L227" s="67"/>
    </row>
    <row r="228" spans="1:12" hidden="1" outlineLevel="1" x14ac:dyDescent="0.25">
      <c r="A228" s="71">
        <f t="shared" si="14"/>
        <v>221</v>
      </c>
      <c r="B228" s="66">
        <v>45474</v>
      </c>
      <c r="C228" s="117"/>
      <c r="D228" s="98">
        <v>-267573.71999999997</v>
      </c>
      <c r="E228" s="98"/>
      <c r="F228" s="98">
        <f t="shared" si="15"/>
        <v>-267573.71999999997</v>
      </c>
      <c r="G228" s="75">
        <f t="shared" si="13"/>
        <v>-947392.6399999985</v>
      </c>
      <c r="H228" s="98"/>
      <c r="I228" s="124"/>
      <c r="J228" s="67"/>
      <c r="K228" s="67"/>
      <c r="L228" s="67"/>
    </row>
    <row r="229" spans="1:12" hidden="1" outlineLevel="1" x14ac:dyDescent="0.25">
      <c r="A229" s="71">
        <f t="shared" si="14"/>
        <v>222</v>
      </c>
      <c r="B229" s="66">
        <v>45505</v>
      </c>
      <c r="C229" s="117"/>
      <c r="D229" s="98">
        <v>-244602.8</v>
      </c>
      <c r="E229" s="98"/>
      <c r="F229" s="98">
        <f t="shared" si="15"/>
        <v>-244602.8</v>
      </c>
      <c r="G229" s="75">
        <f t="shared" si="13"/>
        <v>-1191995.4399999985</v>
      </c>
      <c r="H229" s="98"/>
      <c r="I229" s="124"/>
      <c r="J229" s="67"/>
      <c r="K229" s="67"/>
      <c r="L229" s="67"/>
    </row>
    <row r="230" spans="1:12" hidden="1" outlineLevel="1" x14ac:dyDescent="0.25">
      <c r="A230" s="71">
        <f t="shared" si="14"/>
        <v>223</v>
      </c>
      <c r="B230" s="66">
        <v>45536</v>
      </c>
      <c r="C230" s="117"/>
      <c r="D230" s="98">
        <v>-251928.95999999999</v>
      </c>
      <c r="E230" s="98"/>
      <c r="F230" s="98">
        <f t="shared" si="15"/>
        <v>-251928.95999999999</v>
      </c>
      <c r="G230" s="75">
        <f t="shared" si="13"/>
        <v>-1443924.3999999985</v>
      </c>
      <c r="H230" s="98"/>
      <c r="I230" s="124"/>
      <c r="J230" s="67"/>
      <c r="K230" s="67"/>
      <c r="L230" s="67"/>
    </row>
    <row r="231" spans="1:12" hidden="1" outlineLevel="1" x14ac:dyDescent="0.25">
      <c r="A231" s="71">
        <f t="shared" si="14"/>
        <v>224</v>
      </c>
      <c r="B231" s="66">
        <v>45566</v>
      </c>
      <c r="C231" s="117"/>
      <c r="D231" s="98">
        <v>-215301.05</v>
      </c>
      <c r="E231" s="98"/>
      <c r="F231" s="98">
        <f t="shared" si="15"/>
        <v>-215301.05</v>
      </c>
      <c r="G231" s="75">
        <f t="shared" si="13"/>
        <v>-1659225.4499999986</v>
      </c>
      <c r="H231" s="98"/>
      <c r="I231" s="124"/>
      <c r="J231" s="67"/>
      <c r="K231" s="67"/>
      <c r="L231" s="67"/>
    </row>
    <row r="232" spans="1:12" collapsed="1" x14ac:dyDescent="0.25">
      <c r="A232" s="71">
        <f t="shared" si="14"/>
        <v>225</v>
      </c>
      <c r="B232" s="66">
        <v>45597</v>
      </c>
      <c r="C232" s="117"/>
      <c r="D232" s="98">
        <v>-181570.14</v>
      </c>
      <c r="E232" s="98"/>
      <c r="F232" s="98">
        <f t="shared" si="15"/>
        <v>-181570.14</v>
      </c>
      <c r="G232" s="75">
        <f t="shared" si="13"/>
        <v>-1840795.5899999985</v>
      </c>
      <c r="H232" s="98"/>
      <c r="I232" s="124"/>
      <c r="J232" s="67"/>
      <c r="K232" s="67"/>
      <c r="L232" s="67"/>
    </row>
    <row r="233" spans="1:12" x14ac:dyDescent="0.25">
      <c r="A233" s="71">
        <f t="shared" si="14"/>
        <v>226</v>
      </c>
      <c r="B233" s="66">
        <v>45627</v>
      </c>
      <c r="C233" s="117"/>
      <c r="D233" s="98">
        <v>-187860.38</v>
      </c>
      <c r="E233" s="98"/>
      <c r="F233" s="98">
        <f t="shared" si="15"/>
        <v>-187860.38</v>
      </c>
      <c r="G233" s="75">
        <f t="shared" si="13"/>
        <v>-2028655.9699999983</v>
      </c>
      <c r="H233" s="98"/>
      <c r="I233" s="124"/>
      <c r="J233" s="67"/>
      <c r="K233" s="67"/>
      <c r="L233" s="67"/>
    </row>
    <row r="234" spans="1:12" x14ac:dyDescent="0.25">
      <c r="A234" s="71">
        <f t="shared" si="14"/>
        <v>227</v>
      </c>
      <c r="B234" s="66">
        <v>45658</v>
      </c>
      <c r="C234" s="117"/>
      <c r="D234" s="98">
        <v>-54811.86</v>
      </c>
      <c r="E234" s="98">
        <f>-G233</f>
        <v>2028655.9699999983</v>
      </c>
      <c r="F234" s="98">
        <f t="shared" si="15"/>
        <v>1973844.1099999982</v>
      </c>
      <c r="G234" s="75">
        <f t="shared" si="13"/>
        <v>-54811.860000000102</v>
      </c>
      <c r="H234" s="98"/>
      <c r="I234" s="124"/>
      <c r="J234" s="67"/>
      <c r="K234" s="67"/>
      <c r="L234" s="67"/>
    </row>
    <row r="235" spans="1:12" x14ac:dyDescent="0.25">
      <c r="A235" s="71">
        <f t="shared" si="14"/>
        <v>228</v>
      </c>
      <c r="B235" s="66">
        <v>45689</v>
      </c>
      <c r="C235" s="117"/>
      <c r="D235" s="98">
        <v>-218657.96</v>
      </c>
      <c r="E235" s="98"/>
      <c r="F235" s="98">
        <f t="shared" si="15"/>
        <v>-218657.96</v>
      </c>
      <c r="G235" s="75">
        <f t="shared" si="13"/>
        <v>-273469.82000000007</v>
      </c>
      <c r="H235" s="98"/>
      <c r="I235" s="124"/>
      <c r="J235" s="67"/>
      <c r="K235" s="67"/>
      <c r="L235" s="67"/>
    </row>
    <row r="236" spans="1:12" x14ac:dyDescent="0.25">
      <c r="A236" s="71">
        <f t="shared" si="14"/>
        <v>229</v>
      </c>
      <c r="B236" s="66">
        <v>45717</v>
      </c>
      <c r="C236" s="117"/>
      <c r="D236" s="98">
        <v>-293484.12</v>
      </c>
      <c r="E236" s="98"/>
      <c r="F236" s="98">
        <f t="shared" si="15"/>
        <v>-293484.12</v>
      </c>
      <c r="G236" s="75">
        <f t="shared" si="13"/>
        <v>-566953.94000000006</v>
      </c>
      <c r="H236" s="98"/>
      <c r="I236" s="124"/>
      <c r="J236" s="67"/>
      <c r="K236" s="67"/>
      <c r="L236" s="67"/>
    </row>
    <row r="237" spans="1:12" x14ac:dyDescent="0.25">
      <c r="A237" s="71">
        <f t="shared" si="14"/>
        <v>230</v>
      </c>
      <c r="B237" s="66">
        <v>45748</v>
      </c>
      <c r="C237" s="117"/>
      <c r="D237" s="98">
        <v>-229146.04</v>
      </c>
      <c r="E237" s="98"/>
      <c r="F237" s="98">
        <f t="shared" si="15"/>
        <v>-229146.04</v>
      </c>
      <c r="G237" s="75">
        <f t="shared" si="13"/>
        <v>-796099.9800000001</v>
      </c>
      <c r="H237" s="98"/>
      <c r="I237" s="124"/>
      <c r="J237" s="67"/>
      <c r="K237" s="67"/>
      <c r="L237" s="67"/>
    </row>
    <row r="238" spans="1:12" x14ac:dyDescent="0.25">
      <c r="A238" s="71">
        <f t="shared" si="14"/>
        <v>231</v>
      </c>
      <c r="B238" s="66">
        <v>45778</v>
      </c>
      <c r="C238" s="117"/>
      <c r="D238" s="98">
        <v>-226579.5</v>
      </c>
      <c r="E238" s="98"/>
      <c r="F238" s="98">
        <f t="shared" si="15"/>
        <v>-226579.5</v>
      </c>
      <c r="G238" s="75">
        <f t="shared" si="13"/>
        <v>-1022679.4800000001</v>
      </c>
      <c r="H238" s="98"/>
      <c r="I238" s="124"/>
      <c r="J238" s="67"/>
      <c r="K238" s="67"/>
      <c r="L238" s="67"/>
    </row>
    <row r="239" spans="1:12" x14ac:dyDescent="0.25">
      <c r="A239" s="71">
        <f t="shared" si="14"/>
        <v>232</v>
      </c>
      <c r="B239" s="66">
        <v>45809</v>
      </c>
      <c r="C239" s="117"/>
      <c r="D239" s="98">
        <v>-230642.26</v>
      </c>
      <c r="E239" s="98"/>
      <c r="F239" s="98">
        <f t="shared" si="15"/>
        <v>-230642.26</v>
      </c>
      <c r="G239" s="75">
        <f t="shared" si="13"/>
        <v>-1253321.7400000002</v>
      </c>
      <c r="H239" s="98"/>
      <c r="I239" s="124"/>
      <c r="J239" s="67"/>
      <c r="K239" s="67"/>
      <c r="L239" s="67"/>
    </row>
    <row r="240" spans="1:12" x14ac:dyDescent="0.25">
      <c r="A240" s="71">
        <f t="shared" si="14"/>
        <v>233</v>
      </c>
      <c r="B240" s="66">
        <v>45839</v>
      </c>
      <c r="C240" s="117"/>
      <c r="D240" s="98">
        <v>-317693.48</v>
      </c>
      <c r="E240" s="98"/>
      <c r="F240" s="98">
        <f t="shared" si="15"/>
        <v>-317693.48</v>
      </c>
      <c r="G240" s="75">
        <f t="shared" si="13"/>
        <v>-1571015.2200000002</v>
      </c>
      <c r="H240" s="98"/>
      <c r="I240" s="124"/>
      <c r="J240" s="67"/>
      <c r="K240" s="67"/>
      <c r="L240" s="67"/>
    </row>
    <row r="241" spans="1:12" x14ac:dyDescent="0.25">
      <c r="A241" s="71">
        <f t="shared" si="14"/>
        <v>234</v>
      </c>
      <c r="B241" s="66">
        <v>45870</v>
      </c>
      <c r="C241" s="117"/>
      <c r="D241" s="125">
        <v>-341894.62</v>
      </c>
      <c r="E241" s="98"/>
      <c r="F241" s="98">
        <f t="shared" si="15"/>
        <v>-341894.62</v>
      </c>
      <c r="G241" s="75">
        <f t="shared" si="13"/>
        <v>-1912909.8400000003</v>
      </c>
      <c r="H241" s="98"/>
      <c r="I241" s="124"/>
      <c r="J241" s="67"/>
      <c r="K241" s="67"/>
      <c r="L241" s="67"/>
    </row>
    <row r="242" spans="1:12" x14ac:dyDescent="0.25">
      <c r="A242" s="71">
        <f t="shared" si="14"/>
        <v>235</v>
      </c>
      <c r="B242" s="66">
        <v>45901</v>
      </c>
      <c r="C242" s="117"/>
      <c r="D242" s="98"/>
      <c r="E242" s="98"/>
      <c r="F242" s="98">
        <f t="shared" si="15"/>
        <v>0</v>
      </c>
      <c r="G242" s="75">
        <f t="shared" si="13"/>
        <v>-1912909.8400000003</v>
      </c>
      <c r="H242" s="98"/>
      <c r="I242" s="124"/>
      <c r="J242" s="67"/>
      <c r="K242" s="67"/>
      <c r="L242" s="67"/>
    </row>
    <row r="243" spans="1:12" x14ac:dyDescent="0.25">
      <c r="A243" s="71">
        <f t="shared" si="14"/>
        <v>236</v>
      </c>
      <c r="B243" s="66">
        <v>45931</v>
      </c>
      <c r="C243" s="117"/>
      <c r="D243" s="98"/>
      <c r="E243" s="98"/>
      <c r="F243" s="98">
        <f t="shared" si="15"/>
        <v>0</v>
      </c>
      <c r="G243" s="75">
        <f t="shared" si="13"/>
        <v>-1912909.8400000003</v>
      </c>
      <c r="H243" s="98"/>
      <c r="I243" s="124"/>
      <c r="J243" s="67"/>
      <c r="K243" s="67"/>
      <c r="L243" s="67"/>
    </row>
    <row r="244" spans="1:12" x14ac:dyDescent="0.25">
      <c r="A244" s="71">
        <f t="shared" si="14"/>
        <v>237</v>
      </c>
      <c r="C244" s="117"/>
      <c r="D244" s="98"/>
      <c r="E244" s="98"/>
      <c r="F244" s="98"/>
      <c r="G244" s="98"/>
      <c r="H244" s="98"/>
      <c r="I244" s="124"/>
      <c r="J244" s="67"/>
      <c r="K244" s="67"/>
      <c r="L244" s="67"/>
    </row>
    <row r="245" spans="1:12" x14ac:dyDescent="0.25">
      <c r="A245" s="71">
        <f t="shared" si="14"/>
        <v>238</v>
      </c>
      <c r="B245" s="74" t="s">
        <v>320</v>
      </c>
      <c r="C245" s="117"/>
      <c r="D245" s="98"/>
      <c r="E245" s="98"/>
      <c r="F245" s="98"/>
      <c r="G245" s="98"/>
      <c r="H245" s="98"/>
      <c r="I245" s="124"/>
      <c r="J245" s="67"/>
      <c r="K245" s="67"/>
      <c r="L245" s="67"/>
    </row>
    <row r="246" spans="1:12" x14ac:dyDescent="0.25">
      <c r="A246" s="71">
        <f t="shared" si="14"/>
        <v>239</v>
      </c>
      <c r="B246" s="73"/>
      <c r="C246" s="117"/>
      <c r="D246" s="98"/>
      <c r="E246" s="98"/>
      <c r="F246" s="98"/>
      <c r="G246" s="98"/>
      <c r="H246" s="98"/>
      <c r="I246" s="124"/>
      <c r="J246" s="67"/>
      <c r="K246" s="67"/>
      <c r="L246" s="67"/>
    </row>
    <row r="247" spans="1:12" x14ac:dyDescent="0.25">
      <c r="A247" s="71">
        <f t="shared" si="14"/>
        <v>240</v>
      </c>
      <c r="B247" s="72" t="s">
        <v>318</v>
      </c>
      <c r="C247" s="117"/>
      <c r="D247" s="98"/>
      <c r="E247" s="98"/>
      <c r="F247" s="98"/>
      <c r="G247" s="98"/>
      <c r="H247" s="98"/>
      <c r="I247" s="124"/>
      <c r="J247" s="67"/>
      <c r="K247" s="67"/>
      <c r="L247" s="67"/>
    </row>
    <row r="248" spans="1:12" x14ac:dyDescent="0.25">
      <c r="A248" s="71">
        <f t="shared" si="14"/>
        <v>241</v>
      </c>
      <c r="B248" s="117" t="s">
        <v>369</v>
      </c>
      <c r="C248" s="117"/>
      <c r="D248" s="98"/>
      <c r="E248" s="98"/>
      <c r="F248" s="98"/>
      <c r="G248" s="98"/>
      <c r="H248" s="98"/>
      <c r="I248" s="124"/>
      <c r="J248" s="67"/>
      <c r="K248" s="67"/>
      <c r="L248" s="67"/>
    </row>
    <row r="249" spans="1:12" x14ac:dyDescent="0.25">
      <c r="A249" s="71"/>
      <c r="C249" s="117"/>
      <c r="D249" s="98"/>
      <c r="E249" s="98"/>
      <c r="F249" s="98"/>
      <c r="G249" s="98"/>
      <c r="H249" s="98"/>
      <c r="I249" s="98"/>
      <c r="J249" s="67"/>
      <c r="K249" s="67"/>
      <c r="L249" s="67"/>
    </row>
    <row r="250" spans="1:12" x14ac:dyDescent="0.25">
      <c r="A250" s="71"/>
      <c r="H250" s="67"/>
      <c r="I250" s="67"/>
      <c r="J250" s="67"/>
      <c r="K250" s="67"/>
      <c r="L250" s="67"/>
    </row>
    <row r="251" spans="1:12" x14ac:dyDescent="0.25">
      <c r="A251" s="71"/>
      <c r="H251" s="67"/>
      <c r="I251" s="67"/>
      <c r="J251" s="67"/>
      <c r="K251" s="67"/>
      <c r="L251" s="67"/>
    </row>
    <row r="252" spans="1:12" x14ac:dyDescent="0.25">
      <c r="A252" s="71"/>
    </row>
    <row r="253" spans="1:12" x14ac:dyDescent="0.25">
      <c r="A253" s="71"/>
    </row>
    <row r="254" spans="1:12" x14ac:dyDescent="0.25">
      <c r="A254" s="71"/>
      <c r="B254" s="73"/>
    </row>
    <row r="255" spans="1:12" x14ac:dyDescent="0.25">
      <c r="A255" s="71"/>
    </row>
  </sheetData>
  <pageMargins left="0.7" right="0.7" top="0.75" bottom="0.75" header="0.3" footer="0.3"/>
  <pageSetup scale="93" orientation="portrait" r:id="rId1"/>
  <headerFooter alignWithMargins="0">
    <oddHeader>&amp;R&amp;"Arial,Regular"UG-250717 - NWN WUTC Advice 25-08A
Exhibit A - Supporting Materials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CFCEB923708B7B4099D88D1B5B6B758F" ma:contentTypeVersion="19" ma:contentTypeDescription="" ma:contentTypeScope="" ma:versionID="71a5d8e7c144933170a588695336252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Pending</CaseStatus>
    <OpenedDate xmlns="dc463f71-b30c-4ab2-9473-d307f9d35888">2025-09-15T07:00:00+00:00</OpenedDate>
    <SignificantOrder xmlns="dc463f71-b30c-4ab2-9473-d307f9d35888">false</SignificantOrder>
    <Date1 xmlns="dc463f71-b30c-4ab2-9473-d307f9d35888">2025-10-07T07:00:00+00:00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Northwest Natural Gas Company</CaseCompanyNames>
    <Nickname xmlns="http://schemas.microsoft.com/sharepoint/v3" xsi:nil="true"/>
    <DocketNumber xmlns="dc463f71-b30c-4ab2-9473-d307f9d35888">250717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ACA95B3D-7539-42C7-8648-A9306CCA76E2}"/>
</file>

<file path=customXml/itemProps2.xml><?xml version="1.0" encoding="utf-8"?>
<ds:datastoreItem xmlns:ds="http://schemas.openxmlformats.org/officeDocument/2006/customXml" ds:itemID="{60069803-28F1-43B1-B958-64C080EF5795}"/>
</file>

<file path=customXml/itemProps3.xml><?xml version="1.0" encoding="utf-8"?>
<ds:datastoreItem xmlns:ds="http://schemas.openxmlformats.org/officeDocument/2006/customXml" ds:itemID="{3EC1C5FC-42D7-4F81-ACFE-5C2B6020B22E}"/>
</file>

<file path=customXml/itemProps4.xml><?xml version="1.0" encoding="utf-8"?>
<ds:datastoreItem xmlns:ds="http://schemas.openxmlformats.org/officeDocument/2006/customXml" ds:itemID="{EE8A08CA-DC58-47C6-88B5-2C055CA485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18</vt:i4>
      </vt:variant>
    </vt:vector>
  </HeadingPairs>
  <TitlesOfParts>
    <vt:vector size="32" baseType="lpstr">
      <vt:lpstr>Summary of Temporaries </vt:lpstr>
      <vt:lpstr> Increments  equal ¢ per therm</vt:lpstr>
      <vt:lpstr>Effect on Cust Avg Bill by RS</vt:lpstr>
      <vt:lpstr>Summary of Deferrred Acccounts</vt:lpstr>
      <vt:lpstr>151540 WACOG Deferral</vt:lpstr>
      <vt:lpstr>151545 WACOG Amortization </vt:lpstr>
      <vt:lpstr>151550 Demand Accrual</vt:lpstr>
      <vt:lpstr>151555 Demand Amortization</vt:lpstr>
      <vt:lpstr>232035 Storage Sharing</vt:lpstr>
      <vt:lpstr>Total Commodity Summary</vt:lpstr>
      <vt:lpstr>Demand Charges</vt:lpstr>
      <vt:lpstr>Derivation of Demand rates WA</vt:lpstr>
      <vt:lpstr>Winter WACOG </vt:lpstr>
      <vt:lpstr>Effects on Revenue</vt:lpstr>
      <vt:lpstr>' Increments  equal ¢ per therm'!Print_Area</vt:lpstr>
      <vt:lpstr>'151545 WACOG Amortization '!Print_Area</vt:lpstr>
      <vt:lpstr>'151550 Demand Accrual'!Print_Area</vt:lpstr>
      <vt:lpstr>'151555 Demand Amortization'!Print_Area</vt:lpstr>
      <vt:lpstr>'232035 Storage Sharing'!Print_Area</vt:lpstr>
      <vt:lpstr>'Demand Charges'!Print_Area</vt:lpstr>
      <vt:lpstr>'Derivation of Demand rates WA'!Print_Area</vt:lpstr>
      <vt:lpstr>'Effect on Cust Avg Bill by RS'!Print_Area</vt:lpstr>
      <vt:lpstr>'Effects on Revenue'!Print_Area</vt:lpstr>
      <vt:lpstr>'Summary of Deferrred Acccounts'!Print_Area</vt:lpstr>
      <vt:lpstr>'Summary of Temporaries '!Print_Area</vt:lpstr>
      <vt:lpstr>'Total Commodity Summary'!Print_Area</vt:lpstr>
      <vt:lpstr>'Winter WACOG '!Print_Area</vt:lpstr>
      <vt:lpstr>' Increments  equal ¢ per therm'!Print_Titles</vt:lpstr>
      <vt:lpstr>'Effect on Cust Avg Bill by RS'!Print_Titles</vt:lpstr>
      <vt:lpstr>'Summary of Temporaries '!Print_Titles</vt:lpstr>
      <vt:lpstr>'Total Commodity Summary'!Print_Titles</vt:lpstr>
      <vt:lpstr>'Demand Charges'!revsens</vt:lpstr>
    </vt:vector>
  </TitlesOfParts>
  <Company>NW Natural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Michael</dc:creator>
  <cp:lastModifiedBy>Funk, Fay</cp:lastModifiedBy>
  <cp:lastPrinted>2025-10-06T21:38:35Z</cp:lastPrinted>
  <dcterms:created xsi:type="dcterms:W3CDTF">2025-09-14T03:38:00Z</dcterms:created>
  <dcterms:modified xsi:type="dcterms:W3CDTF">2025-10-06T23:09:15Z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0x0101006E56B4D1795A2E4DB2F0B01679ED314A00CFCEB923708B7B4099D88D1B5B6B758F</vt:lpwstr>
  </property>
  <property fmtid="{D5CDD505-2E9C-101B-9397-08002B2CF9AE}" pid="3" name="_docset_NoMedatataSyncRequired">
    <vt:lpwstr>False</vt:lpwstr>
  </property>
</Properties>
</file>