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steea\Desktop\PSE\2020 PCORC\Free\"/>
    </mc:Choice>
  </mc:AlternateContent>
  <xr:revisionPtr revIDLastSave="0" documentId="8_{2A808192-C2C1-4677-A806-91640B44015B}" xr6:coauthVersionLast="41" xr6:coauthVersionMax="41" xr10:uidLastSave="{00000000-0000-0000-0000-000000000000}"/>
  <bookViews>
    <workbookView xWindow="22930" yWindow="-110" windowWidth="20380" windowHeight="12220" xr2:uid="{00000000-000D-0000-FFFF-FFFF00000000}"/>
  </bookViews>
  <sheets>
    <sheet name="SEF-7 A-1 Compare" sheetId="1" r:id="rId1"/>
  </sheets>
  <externalReferences>
    <externalReference r:id="rId2"/>
  </externalReferences>
  <definedNames>
    <definedName name="_PC_BaselineComparison">'SEF-7 A-1 Compare'!$B$1:$K$60</definedName>
    <definedName name="_xlnm.Print_Area" localSheetId="0">'SEF-7 A-1 Compare'!$B$2:$K$61</definedName>
    <definedName name="RY">'[1]Name Ranges'!$B$4</definedName>
    <definedName name="TY">'[1]Name Ranges'!$B$3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1" i="1" l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H37" i="1"/>
  <c r="F38" i="1"/>
  <c r="B42" i="1"/>
  <c r="B41" i="1"/>
  <c r="H40" i="1"/>
  <c r="F40" i="1"/>
  <c r="B40" i="1"/>
  <c r="B39" i="1"/>
  <c r="H38" i="1"/>
  <c r="I38" i="1"/>
  <c r="B38" i="1"/>
  <c r="F37" i="1"/>
  <c r="B37" i="1"/>
  <c r="H36" i="1"/>
  <c r="I36" i="1"/>
  <c r="B36" i="1"/>
  <c r="F35" i="1"/>
  <c r="B35" i="1"/>
  <c r="H34" i="1"/>
  <c r="I34" i="1"/>
  <c r="B34" i="1"/>
  <c r="I33" i="1"/>
  <c r="B33" i="1"/>
  <c r="H32" i="1"/>
  <c r="I32" i="1"/>
  <c r="B32" i="1"/>
  <c r="H31" i="1"/>
  <c r="I31" i="1"/>
  <c r="B31" i="1"/>
  <c r="H30" i="1"/>
  <c r="I30" i="1"/>
  <c r="B30" i="1"/>
  <c r="H29" i="1"/>
  <c r="I29" i="1"/>
  <c r="B29" i="1"/>
  <c r="H28" i="1"/>
  <c r="I28" i="1"/>
  <c r="B28" i="1"/>
  <c r="H27" i="1"/>
  <c r="F27" i="1"/>
  <c r="J27" i="1" s="1"/>
  <c r="K27" i="1" s="1"/>
  <c r="B27" i="1"/>
  <c r="H26" i="1"/>
  <c r="I26" i="1"/>
  <c r="B26" i="1"/>
  <c r="H25" i="1"/>
  <c r="I25" i="1"/>
  <c r="B25" i="1"/>
  <c r="H24" i="1"/>
  <c r="I24" i="1"/>
  <c r="B24" i="1"/>
  <c r="H23" i="1"/>
  <c r="F23" i="1"/>
  <c r="J23" i="1" s="1"/>
  <c r="K23" i="1" s="1"/>
  <c r="B23" i="1"/>
  <c r="H22" i="1"/>
  <c r="I22" i="1"/>
  <c r="B22" i="1"/>
  <c r="H21" i="1"/>
  <c r="I21" i="1"/>
  <c r="B21" i="1"/>
  <c r="B20" i="1"/>
  <c r="B19" i="1"/>
  <c r="H18" i="1"/>
  <c r="I18" i="1"/>
  <c r="B18" i="1"/>
  <c r="B17" i="1"/>
  <c r="B16" i="1"/>
  <c r="B15" i="1"/>
  <c r="B14" i="1"/>
  <c r="E17" i="1"/>
  <c r="B13" i="1"/>
  <c r="B12" i="1"/>
  <c r="G12" i="1"/>
  <c r="E12" i="1"/>
  <c r="B11" i="1"/>
  <c r="I10" i="1"/>
  <c r="G19" i="1"/>
  <c r="H19" i="1" s="1"/>
  <c r="B10" i="1"/>
  <c r="I9" i="1"/>
  <c r="G17" i="1"/>
  <c r="B9" i="1"/>
  <c r="I17" i="1" l="1"/>
  <c r="F17" i="1"/>
  <c r="J37" i="1"/>
  <c r="K37" i="1" s="1"/>
  <c r="H17" i="1"/>
  <c r="J38" i="1"/>
  <c r="K38" i="1" s="1"/>
  <c r="I23" i="1"/>
  <c r="I27" i="1"/>
  <c r="I35" i="1"/>
  <c r="I37" i="1"/>
  <c r="K40" i="1"/>
  <c r="I11" i="1"/>
  <c r="I12" i="1" s="1"/>
  <c r="F21" i="1"/>
  <c r="J21" i="1" s="1"/>
  <c r="K21" i="1" s="1"/>
  <c r="F25" i="1"/>
  <c r="J25" i="1" s="1"/>
  <c r="K25" i="1" s="1"/>
  <c r="F29" i="1"/>
  <c r="J29" i="1" s="1"/>
  <c r="K29" i="1" s="1"/>
  <c r="F31" i="1"/>
  <c r="J31" i="1" s="1"/>
  <c r="K31" i="1" s="1"/>
  <c r="F33" i="1"/>
  <c r="E19" i="1"/>
  <c r="G20" i="1"/>
  <c r="H20" i="1" s="1"/>
  <c r="E20" i="1"/>
  <c r="E39" i="1" s="1"/>
  <c r="E41" i="1" s="1"/>
  <c r="F18" i="1"/>
  <c r="J18" i="1" s="1"/>
  <c r="K18" i="1" s="1"/>
  <c r="F22" i="1"/>
  <c r="J22" i="1" s="1"/>
  <c r="K22" i="1" s="1"/>
  <c r="F24" i="1"/>
  <c r="J24" i="1" s="1"/>
  <c r="K24" i="1" s="1"/>
  <c r="F26" i="1"/>
  <c r="J26" i="1" s="1"/>
  <c r="K26" i="1" s="1"/>
  <c r="F28" i="1"/>
  <c r="J28" i="1" s="1"/>
  <c r="K28" i="1" s="1"/>
  <c r="F30" i="1"/>
  <c r="J30" i="1" s="1"/>
  <c r="K30" i="1" s="1"/>
  <c r="F32" i="1"/>
  <c r="J32" i="1" s="1"/>
  <c r="K32" i="1" s="1"/>
  <c r="H33" i="1"/>
  <c r="F34" i="1"/>
  <c r="J34" i="1" s="1"/>
  <c r="K34" i="1" s="1"/>
  <c r="H35" i="1"/>
  <c r="J35" i="1" s="1"/>
  <c r="K35" i="1" s="1"/>
  <c r="F36" i="1"/>
  <c r="J36" i="1" s="1"/>
  <c r="K36" i="1" s="1"/>
  <c r="G39" i="1" l="1"/>
  <c r="G41" i="1" s="1"/>
  <c r="G47" i="1" s="1"/>
  <c r="E47" i="1"/>
  <c r="I19" i="1"/>
  <c r="F19" i="1"/>
  <c r="J19" i="1" s="1"/>
  <c r="K19" i="1" s="1"/>
  <c r="F20" i="1"/>
  <c r="J20" i="1" s="1"/>
  <c r="K20" i="1" s="1"/>
  <c r="I53" i="1" s="1"/>
  <c r="I20" i="1"/>
  <c r="I55" i="1"/>
  <c r="H39" i="1"/>
  <c r="H41" i="1" s="1"/>
  <c r="I59" i="1"/>
  <c r="J33" i="1"/>
  <c r="K33" i="1" s="1"/>
  <c r="I54" i="1" s="1"/>
  <c r="J17" i="1"/>
  <c r="I39" i="1" l="1"/>
  <c r="I41" i="1"/>
  <c r="I44" i="1" s="1"/>
  <c r="F39" i="1"/>
  <c r="F41" i="1" s="1"/>
  <c r="J41" i="1" s="1"/>
  <c r="K17" i="1"/>
  <c r="J39" i="1"/>
  <c r="I47" i="1"/>
  <c r="I43" i="1" l="1"/>
  <c r="I45" i="1" s="1"/>
  <c r="I52" i="1"/>
  <c r="K39" i="1"/>
  <c r="I58" i="1"/>
  <c r="J44" i="1"/>
  <c r="J43" i="1"/>
  <c r="J47" i="1"/>
  <c r="I60" i="1" l="1"/>
  <c r="I61" i="1" s="1"/>
  <c r="K41" i="1"/>
  <c r="K43" i="1" s="1"/>
  <c r="J45" i="1"/>
  <c r="I56" i="1"/>
  <c r="K44" i="1" l="1"/>
  <c r="K45" i="1" s="1"/>
  <c r="I57" i="1"/>
  <c r="K47" i="1"/>
  <c r="K52" i="1" s="1"/>
  <c r="K58" i="1" l="1"/>
  <c r="K55" i="1"/>
  <c r="K53" i="1"/>
  <c r="K54" i="1"/>
  <c r="K59" i="1"/>
  <c r="K56" i="1" l="1"/>
  <c r="K57" i="1" s="1"/>
  <c r="K60" i="1"/>
  <c r="K61" i="1" s="1"/>
  <c r="K5" i="1" s="1"/>
</calcChain>
</file>

<file path=xl/sharedStrings.xml><?xml version="1.0" encoding="utf-8"?>
<sst xmlns="http://schemas.openxmlformats.org/spreadsheetml/2006/main" count="88" uniqueCount="62">
  <si>
    <t>PUGET SOUND ENERGY</t>
  </si>
  <si>
    <t>POWER COST BASELINE RATE COMPARISON</t>
  </si>
  <si>
    <t>Exhibit A-1 Power Cost Rate</t>
  </si>
  <si>
    <t>2020 PCORC Original Filing                                                              TYE 06/30/2020</t>
  </si>
  <si>
    <t>2019 GRC as revised 
in UE-200907
TYE 12/31/2018</t>
  </si>
  <si>
    <t>Deficiency / (Surplus)</t>
  </si>
  <si>
    <t>Row</t>
  </si>
  <si>
    <t>Change in Variable</t>
  </si>
  <si>
    <t xml:space="preserve"> Unit Cost or Fixed </t>
  </si>
  <si>
    <t>Whole $</t>
  </si>
  <si>
    <t>Per MWh</t>
  </si>
  <si>
    <t>Unit Cost</t>
  </si>
  <si>
    <t>A</t>
  </si>
  <si>
    <t>B = (A / H)</t>
  </si>
  <si>
    <t>C</t>
  </si>
  <si>
    <t>D = (C / I)</t>
  </si>
  <si>
    <t>E = (A - C)</t>
  </si>
  <si>
    <t>F = (B - D)</t>
  </si>
  <si>
    <t>G = (F * H)</t>
  </si>
  <si>
    <t>Fixed</t>
  </si>
  <si>
    <t>Variable</t>
  </si>
  <si>
    <t>Revenue Sensitive</t>
  </si>
  <si>
    <t>B4 Rev Sens</t>
  </si>
  <si>
    <t>After Rev Sens</t>
  </si>
  <si>
    <t>Decrease from Regulatory Assets</t>
  </si>
  <si>
    <t>Decrease from Plant in Service</t>
  </si>
  <si>
    <t>Increase in Power Costs and Other Variable Items</t>
  </si>
  <si>
    <t>Other</t>
  </si>
  <si>
    <t>F</t>
  </si>
  <si>
    <t>V</t>
  </si>
  <si>
    <t>&lt;=rounding</t>
  </si>
  <si>
    <t>Regulatory Assets</t>
  </si>
  <si>
    <t>Transmission Rate Base</t>
  </si>
  <si>
    <t>Production Rate Base</t>
  </si>
  <si>
    <t xml:space="preserve">Net of tax rate of return </t>
  </si>
  <si>
    <t>Regulatory Asset Rate Base Return (on Row 3)</t>
  </si>
  <si>
    <t>Equity Adder Centralia Coal Transition PPA</t>
  </si>
  <si>
    <t>Transmission Rate Base Return (on Row 4)</t>
  </si>
  <si>
    <t>Production Rate Base Return (on Row 5)</t>
  </si>
  <si>
    <t>501-Steam Fuel Incl Reg Amort</t>
  </si>
  <si>
    <t>555-Purchased power Incl Reg Amort</t>
  </si>
  <si>
    <t>557-Other Power Exp</t>
  </si>
  <si>
    <t>Payroll Overheads - Benefits</t>
  </si>
  <si>
    <t>Property Insurance</t>
  </si>
  <si>
    <t>Montana Electric Energy Tax</t>
  </si>
  <si>
    <t>Payroll Taxes on Production Wages</t>
  </si>
  <si>
    <t>Brokerage Fees #55700003</t>
  </si>
  <si>
    <t>547-Fuel Incl Reg Amort</t>
  </si>
  <si>
    <t>565-Wheeling Incl Reg Amort</t>
  </si>
  <si>
    <t>456-1 OATT Transmission Income</t>
  </si>
  <si>
    <t>Production O&amp;M</t>
  </si>
  <si>
    <t>447-Sales to Others</t>
  </si>
  <si>
    <t>456-Purch/Sales Non-Core Gas</t>
  </si>
  <si>
    <t>Transmission Exp - 500KV</t>
  </si>
  <si>
    <t>Depreciation-Production (FERC 403)</t>
  </si>
  <si>
    <t>Depreciation-Transmission</t>
  </si>
  <si>
    <t>Amortization  - Reg Assets - Non PC Only</t>
  </si>
  <si>
    <t>Subtotal &amp; Baseline Rate</t>
  </si>
  <si>
    <t>Revenue Sensitive Items</t>
  </si>
  <si>
    <t>Grossed up for RSI</t>
  </si>
  <si>
    <t>Test Year DELIVERED Load (MWh's)</t>
  </si>
  <si>
    <t>2020 POWER COST ONLY RATE CASE ORIGINAL FILING vs 2019 GRC PER UE-200907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</si>
</sst>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0"/>
    <numFmt numFmtId="167" formatCode="_(* #,##0_);_(* \(#,##0\);_(* &quot;-&quot;???_);_(@_)"/>
    <numFmt numFmtId="168" formatCode="_(* #,##0.000_);_(* \(#,##0.000\);_(* &quot;-&quot;???_);_(@_)"/>
    <numFmt numFmtId="169" formatCode="_(&quot;$&quot;* #,##0.000_);_(&quot;$&quot;* \(#,##0.000\);_(&quot;$&quot;* &quot;-&quot;??_);_(@_)"/>
    <numFmt numFmtId="170" formatCode="_(* #,##0.0000000_);_(* \(#,##0.0000000\);_(* &quot;-&quot;??_);_(@_)"/>
    <numFmt numFmtId="171" formatCode="_(* #,##0.000_);_(* \(#,##0.000\);_(* &quot;-&quot;??_);_(@_)"/>
    <numFmt numFmtId="172" formatCode="_(&quot;$&quot;* #,##0.000_);_(&quot;$&quot;* \(#,##0.000\);_(&quot;$&quot;* &quot;-&quot;???_);_(@_)"/>
    <numFmt numFmtId="173" formatCode="_(&quot;$&quot;* #,##0.000000_);_(&quot;$&quot;* \(#,##0.000000\);_(&quot;$&quot;* &quot;-&quot;??_);_(@_)"/>
  </numFmts>
  <fonts count="15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color theme="0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2"/>
      <color rgb="FFFF0000"/>
      <name val="Times New Roman"/>
      <family val="1"/>
    </font>
    <font>
      <b/>
      <sz val="10"/>
      <color rgb="FFFF0000"/>
      <name val="Times New Roman"/>
      <family val="1"/>
    </font>
    <font>
      <sz val="11"/>
      <name val="Times New Roman"/>
      <family val="1"/>
    </font>
    <font>
      <b/>
      <i/>
      <sz val="10"/>
      <name val="Times New Roman"/>
      <family val="1"/>
    </font>
    <font>
      <sz val="8"/>
      <color rgb="FFFF0000"/>
      <name val="Times New Roman"/>
      <family val="1"/>
    </font>
    <font>
      <u/>
      <sz val="10"/>
      <name val="Times New Roman"/>
      <family val="1"/>
    </font>
    <font>
      <b/>
      <sz val="8"/>
      <color rgb="FFFF0000"/>
      <name val="Times New Roman"/>
      <family val="1"/>
    </font>
    <font>
      <sz val="10"/>
      <color rgb="FF0000FF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166" fontId="1" fillId="0" borderId="0">
      <alignment horizontal="left" wrapText="1"/>
    </xf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15">
    <xf numFmtId="0" fontId="0" fillId="0" borderId="0" xfId="0"/>
    <xf numFmtId="0" fontId="2" fillId="0" borderId="0" xfId="0" applyNumberFormat="1" applyFont="1" applyFill="1" applyAlignment="1"/>
    <xf numFmtId="164" fontId="2" fillId="0" borderId="0" xfId="0" applyNumberFormat="1" applyFont="1" applyFill="1"/>
    <xf numFmtId="164" fontId="2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centerContinuous"/>
    </xf>
    <xf numFmtId="164" fontId="3" fillId="0" borderId="0" xfId="0" applyNumberFormat="1" applyFont="1" applyFill="1" applyAlignment="1">
      <alignment horizontal="centerContinuous"/>
    </xf>
    <xf numFmtId="164" fontId="4" fillId="0" borderId="1" xfId="0" applyNumberFormat="1" applyFont="1" applyFill="1" applyBorder="1" applyAlignment="1">
      <alignment horizontal="centerContinuous"/>
    </xf>
    <xf numFmtId="0" fontId="2" fillId="0" borderId="2" xfId="0" applyNumberFormat="1" applyFont="1" applyFill="1" applyBorder="1" applyAlignment="1"/>
    <xf numFmtId="0" fontId="5" fillId="0" borderId="3" xfId="0" applyNumberFormat="1" applyFont="1" applyFill="1" applyBorder="1" applyAlignment="1">
      <alignment horizontal="left" vertical="center"/>
    </xf>
    <xf numFmtId="0" fontId="5" fillId="0" borderId="4" xfId="0" applyNumberFormat="1" applyFont="1" applyFill="1" applyBorder="1" applyAlignment="1">
      <alignment horizontal="left" vertical="center"/>
    </xf>
    <xf numFmtId="0" fontId="6" fillId="0" borderId="2" xfId="0" applyNumberFormat="1" applyFont="1" applyFill="1" applyBorder="1" applyAlignment="1">
      <alignment horizontal="centerContinuous" vertical="center" wrapText="1"/>
    </xf>
    <xf numFmtId="0" fontId="6" fillId="0" borderId="4" xfId="0" applyNumberFormat="1" applyFont="1" applyFill="1" applyBorder="1" applyAlignment="1">
      <alignment horizontal="centerContinuous" vertical="center" wrapText="1"/>
    </xf>
    <xf numFmtId="0" fontId="6" fillId="0" borderId="2" xfId="0" applyNumberFormat="1" applyFont="1" applyFill="1" applyBorder="1" applyAlignment="1">
      <alignment horizontal="centerContinuous" vertical="center"/>
    </xf>
    <xf numFmtId="0" fontId="6" fillId="0" borderId="5" xfId="0" applyNumberFormat="1" applyFont="1" applyFill="1" applyBorder="1" applyAlignment="1">
      <alignment horizontal="centerContinuous" vertical="center"/>
    </xf>
    <xf numFmtId="0" fontId="2" fillId="0" borderId="6" xfId="0" quotePrefix="1" applyNumberFormat="1" applyFont="1" applyFill="1" applyBorder="1" applyAlignment="1">
      <alignment horizontal="left"/>
    </xf>
    <xf numFmtId="0" fontId="7" fillId="0" borderId="0" xfId="0" applyFont="1" applyFill="1"/>
    <xf numFmtId="0" fontId="2" fillId="0" borderId="7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/>
    <xf numFmtId="0" fontId="2" fillId="0" borderId="7" xfId="0" applyNumberFormat="1" applyFont="1" applyFill="1" applyBorder="1" applyAlignment="1"/>
    <xf numFmtId="164" fontId="2" fillId="0" borderId="6" xfId="0" applyNumberFormat="1" applyFont="1" applyFill="1" applyBorder="1"/>
    <xf numFmtId="164" fontId="2" fillId="0" borderId="7" xfId="0" applyNumberFormat="1" applyFont="1" applyFill="1" applyBorder="1"/>
    <xf numFmtId="164" fontId="2" fillId="0" borderId="0" xfId="0" applyNumberFormat="1" applyFont="1" applyFill="1" applyBorder="1"/>
    <xf numFmtId="164" fontId="4" fillId="0" borderId="7" xfId="0" applyNumberFormat="1" applyFont="1" applyFill="1" applyBorder="1" applyAlignment="1">
      <alignment horizontal="centerContinuous"/>
    </xf>
    <xf numFmtId="0" fontId="2" fillId="0" borderId="6" xfId="0" applyNumberFormat="1" applyFont="1" applyFill="1" applyBorder="1" applyAlignment="1">
      <alignment horizontal="center"/>
    </xf>
    <xf numFmtId="0" fontId="2" fillId="0" borderId="0" xfId="0" quotePrefix="1" applyNumberFormat="1" applyFont="1" applyFill="1" applyBorder="1" applyAlignment="1">
      <alignment horizontal="left"/>
    </xf>
    <xf numFmtId="0" fontId="2" fillId="0" borderId="7" xfId="0" quotePrefix="1" applyNumberFormat="1" applyFont="1" applyFill="1" applyBorder="1" applyAlignment="1">
      <alignment horizontal="left"/>
    </xf>
    <xf numFmtId="0" fontId="6" fillId="0" borderId="6" xfId="0" applyFont="1" applyFill="1" applyBorder="1" applyAlignment="1"/>
    <xf numFmtId="0" fontId="6" fillId="0" borderId="7" xfId="0" applyFont="1" applyFill="1" applyBorder="1" applyAlignment="1"/>
    <xf numFmtId="0" fontId="6" fillId="0" borderId="7" xfId="0" applyFont="1" applyFill="1" applyBorder="1" applyAlignment="1">
      <alignment horizontal="center"/>
    </xf>
    <xf numFmtId="165" fontId="2" fillId="0" borderId="0" xfId="0" applyNumberFormat="1" applyFont="1" applyFill="1" applyBorder="1"/>
    <xf numFmtId="0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left"/>
    </xf>
    <xf numFmtId="0" fontId="2" fillId="0" borderId="7" xfId="0" applyNumberFormat="1" applyFont="1" applyFill="1" applyBorder="1" applyAlignment="1">
      <alignment horizontal="left"/>
    </xf>
    <xf numFmtId="165" fontId="2" fillId="0" borderId="6" xfId="0" applyNumberFormat="1" applyFont="1" applyFill="1" applyBorder="1"/>
    <xf numFmtId="165" fontId="2" fillId="0" borderId="7" xfId="0" applyNumberFormat="1" applyFont="1" applyFill="1" applyBorder="1"/>
    <xf numFmtId="41" fontId="2" fillId="0" borderId="6" xfId="0" applyNumberFormat="1" applyFont="1" applyFill="1" applyBorder="1"/>
    <xf numFmtId="41" fontId="2" fillId="0" borderId="7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165" fontId="2" fillId="0" borderId="8" xfId="0" applyNumberFormat="1" applyFont="1" applyFill="1" applyBorder="1" applyAlignment="1">
      <alignment horizontal="right"/>
    </xf>
    <xf numFmtId="165" fontId="2" fillId="0" borderId="7" xfId="0" applyNumberFormat="1" applyFont="1" applyFill="1" applyBorder="1" applyAlignment="1">
      <alignment horizontal="right"/>
    </xf>
    <xf numFmtId="165" fontId="2" fillId="0" borderId="9" xfId="0" applyNumberFormat="1" applyFont="1" applyFill="1" applyBorder="1" applyAlignment="1">
      <alignment horizontal="right"/>
    </xf>
    <xf numFmtId="165" fontId="2" fillId="0" borderId="10" xfId="0" applyNumberFormat="1" applyFont="1" applyFill="1" applyBorder="1" applyAlignment="1">
      <alignment horizontal="right"/>
    </xf>
    <xf numFmtId="164" fontId="2" fillId="0" borderId="11" xfId="0" applyNumberFormat="1" applyFont="1" applyFill="1" applyBorder="1" applyAlignment="1">
      <alignment horizontal="center"/>
    </xf>
    <xf numFmtId="10" fontId="2" fillId="0" borderId="6" xfId="0" applyNumberFormat="1" applyFont="1" applyFill="1" applyBorder="1" applyAlignment="1">
      <alignment horizontal="right"/>
    </xf>
    <xf numFmtId="10" fontId="2" fillId="0" borderId="7" xfId="0" applyNumberFormat="1" applyFont="1" applyFill="1" applyBorder="1" applyAlignment="1">
      <alignment horizontal="right"/>
    </xf>
    <xf numFmtId="10" fontId="2" fillId="0" borderId="0" xfId="0" applyNumberFormat="1" applyFont="1" applyFill="1" applyBorder="1" applyAlignment="1">
      <alignment horizontal="right"/>
    </xf>
    <xf numFmtId="164" fontId="2" fillId="0" borderId="12" xfId="0" applyNumberFormat="1" applyFont="1" applyFill="1" applyBorder="1" applyAlignment="1">
      <alignment horizontal="center"/>
    </xf>
    <xf numFmtId="10" fontId="2" fillId="0" borderId="5" xfId="2" applyNumberFormat="1" applyFont="1" applyFill="1" applyBorder="1" applyAlignment="1">
      <alignment horizontal="right"/>
    </xf>
    <xf numFmtId="164" fontId="2" fillId="0" borderId="5" xfId="3" applyNumberFormat="1" applyFont="1" applyFill="1" applyBorder="1" applyAlignment="1">
      <alignment horizontal="center"/>
    </xf>
    <xf numFmtId="164" fontId="2" fillId="0" borderId="10" xfId="0" applyNumberFormat="1" applyFont="1" applyFill="1" applyBorder="1"/>
    <xf numFmtId="164" fontId="8" fillId="0" borderId="7" xfId="0" applyNumberFormat="1" applyFont="1" applyFill="1" applyBorder="1" applyAlignment="1">
      <alignment horizontal="center"/>
    </xf>
    <xf numFmtId="164" fontId="2" fillId="0" borderId="7" xfId="0" quotePrefix="1" applyNumberFormat="1" applyFont="1" applyFill="1" applyBorder="1" applyAlignment="1">
      <alignment horizontal="center"/>
    </xf>
    <xf numFmtId="0" fontId="2" fillId="0" borderId="12" xfId="2" applyNumberFormat="1" applyFont="1" applyFill="1" applyBorder="1" applyAlignment="1">
      <alignment horizontal="center"/>
    </xf>
    <xf numFmtId="164" fontId="2" fillId="0" borderId="12" xfId="3" quotePrefix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44" fontId="2" fillId="0" borderId="7" xfId="1" applyFont="1" applyFill="1" applyBorder="1"/>
    <xf numFmtId="167" fontId="2" fillId="0" borderId="7" xfId="0" applyNumberFormat="1" applyFont="1" applyFill="1" applyBorder="1"/>
    <xf numFmtId="165" fontId="2" fillId="0" borderId="12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168" fontId="2" fillId="0" borderId="7" xfId="0" applyNumberFormat="1" applyFont="1" applyFill="1" applyBorder="1"/>
    <xf numFmtId="41" fontId="2" fillId="0" borderId="12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 indent="1"/>
    </xf>
    <xf numFmtId="0" fontId="9" fillId="0" borderId="0" xfId="0" applyNumberFormat="1" applyFont="1" applyFill="1" applyBorder="1" applyAlignment="1">
      <alignment horizontal="left" indent="1"/>
    </xf>
    <xf numFmtId="0" fontId="2" fillId="0" borderId="0" xfId="0" applyNumberFormat="1" applyFont="1" applyFill="1" applyBorder="1" applyAlignment="1">
      <alignment vertical="top"/>
    </xf>
    <xf numFmtId="0" fontId="2" fillId="0" borderId="0" xfId="0" quotePrefix="1" applyFont="1" applyFill="1" applyBorder="1" applyAlignment="1">
      <alignment horizontal="left"/>
    </xf>
    <xf numFmtId="0" fontId="2" fillId="0" borderId="7" xfId="0" applyNumberFormat="1" applyFont="1" applyFill="1" applyBorder="1" applyAlignment="1">
      <alignment horizontal="left" vertical="center" indent="1"/>
    </xf>
    <xf numFmtId="165" fontId="2" fillId="0" borderId="13" xfId="0" applyNumberFormat="1" applyFont="1" applyFill="1" applyBorder="1"/>
    <xf numFmtId="169" fontId="2" fillId="0" borderId="10" xfId="0" applyNumberFormat="1" applyFont="1" applyFill="1" applyBorder="1"/>
    <xf numFmtId="165" fontId="2" fillId="0" borderId="14" xfId="0" applyNumberFormat="1" applyFont="1" applyFill="1" applyBorder="1"/>
    <xf numFmtId="169" fontId="10" fillId="0" borderId="10" xfId="4" applyNumberFormat="1" applyFont="1" applyFill="1" applyBorder="1"/>
    <xf numFmtId="165" fontId="2" fillId="0" borderId="10" xfId="0" applyNumberFormat="1" applyFont="1" applyFill="1" applyBorder="1"/>
    <xf numFmtId="0" fontId="2" fillId="0" borderId="0" xfId="0" applyNumberFormat="1" applyFont="1" applyFill="1" applyBorder="1" applyAlignment="1">
      <alignment horizontal="left" vertical="center" indent="1"/>
    </xf>
    <xf numFmtId="170" fontId="2" fillId="0" borderId="6" xfId="0" applyNumberFormat="1" applyFont="1" applyFill="1" applyBorder="1"/>
    <xf numFmtId="170" fontId="2" fillId="0" borderId="7" xfId="0" applyNumberFormat="1" applyFont="1" applyFill="1" applyBorder="1"/>
    <xf numFmtId="170" fontId="2" fillId="0" borderId="0" xfId="0" applyNumberFormat="1" applyFont="1" applyFill="1" applyBorder="1"/>
    <xf numFmtId="167" fontId="2" fillId="0" borderId="6" xfId="0" applyNumberFormat="1" applyFont="1" applyFill="1" applyBorder="1"/>
    <xf numFmtId="169" fontId="2" fillId="0" borderId="15" xfId="0" applyNumberFormat="1" applyFont="1" applyFill="1" applyBorder="1"/>
    <xf numFmtId="164" fontId="2" fillId="0" borderId="16" xfId="0" applyNumberFormat="1" applyFont="1" applyFill="1" applyBorder="1"/>
    <xf numFmtId="164" fontId="11" fillId="0" borderId="7" xfId="0" applyNumberFormat="1" applyFont="1" applyFill="1" applyBorder="1"/>
    <xf numFmtId="164" fontId="11" fillId="0" borderId="7" xfId="0" applyNumberFormat="1" applyFont="1" applyFill="1" applyBorder="1" applyAlignment="1">
      <alignment horizontal="right"/>
    </xf>
    <xf numFmtId="169" fontId="2" fillId="0" borderId="7" xfId="0" applyNumberFormat="1" applyFont="1" applyFill="1" applyBorder="1" applyAlignment="1">
      <alignment horizontal="right"/>
    </xf>
    <xf numFmtId="42" fontId="2" fillId="0" borderId="0" xfId="0" applyNumberFormat="1" applyFont="1" applyFill="1" applyBorder="1"/>
    <xf numFmtId="169" fontId="2" fillId="0" borderId="0" xfId="0" applyNumberFormat="1" applyFont="1" applyFill="1" applyBorder="1"/>
    <xf numFmtId="42" fontId="2" fillId="0" borderId="14" xfId="0" applyNumberFormat="1" applyFont="1" applyFill="1" applyBorder="1"/>
    <xf numFmtId="169" fontId="10" fillId="0" borderId="14" xfId="4" applyNumberFormat="1" applyFont="1" applyFill="1" applyBorder="1"/>
    <xf numFmtId="164" fontId="2" fillId="0" borderId="0" xfId="5" applyNumberFormat="1" applyFont="1" applyFill="1" applyBorder="1"/>
    <xf numFmtId="171" fontId="12" fillId="0" borderId="7" xfId="0" applyNumberFormat="1" applyFont="1" applyFill="1" applyBorder="1" applyAlignment="1">
      <alignment horizontal="right"/>
    </xf>
    <xf numFmtId="42" fontId="2" fillId="0" borderId="0" xfId="0" applyNumberFormat="1" applyFont="1" applyFill="1" applyBorder="1" applyAlignment="1">
      <alignment horizontal="right"/>
    </xf>
    <xf numFmtId="172" fontId="10" fillId="0" borderId="0" xfId="6" applyNumberFormat="1" applyFont="1" applyFill="1" applyBorder="1" applyAlignment="1">
      <alignment horizontal="right"/>
    </xf>
    <xf numFmtId="42" fontId="2" fillId="0" borderId="7" xfId="0" applyNumberFormat="1" applyFont="1" applyFill="1" applyBorder="1"/>
    <xf numFmtId="0" fontId="2" fillId="0" borderId="17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/>
    <xf numFmtId="0" fontId="2" fillId="0" borderId="18" xfId="0" applyNumberFormat="1" applyFont="1" applyFill="1" applyBorder="1" applyAlignment="1"/>
    <xf numFmtId="0" fontId="2" fillId="0" borderId="17" xfId="0" applyNumberFormat="1" applyFont="1" applyFill="1" applyBorder="1" applyAlignment="1"/>
    <xf numFmtId="164" fontId="2" fillId="0" borderId="17" xfId="0" applyNumberFormat="1" applyFont="1" applyFill="1" applyBorder="1"/>
    <xf numFmtId="164" fontId="2" fillId="0" borderId="18" xfId="0" applyNumberFormat="1" applyFont="1" applyFill="1" applyBorder="1"/>
    <xf numFmtId="164" fontId="2" fillId="0" borderId="1" xfId="0" applyNumberFormat="1" applyFont="1" applyFill="1" applyBorder="1"/>
    <xf numFmtId="0" fontId="13" fillId="0" borderId="0" xfId="0" applyNumberFormat="1" applyFont="1" applyFill="1" applyBorder="1" applyAlignment="1"/>
    <xf numFmtId="0" fontId="2" fillId="0" borderId="0" xfId="0" applyNumberFormat="1" applyFont="1" applyFill="1" applyAlignment="1">
      <alignment horizontal="center"/>
    </xf>
    <xf numFmtId="0" fontId="14" fillId="0" borderId="0" xfId="0" applyFont="1" applyFill="1" applyAlignment="1">
      <alignment horizontal="left"/>
    </xf>
    <xf numFmtId="164" fontId="2" fillId="0" borderId="2" xfId="0" applyNumberFormat="1" applyFont="1" applyFill="1" applyBorder="1" applyAlignment="1">
      <alignment horizontal="centerContinuous"/>
    </xf>
    <xf numFmtId="164" fontId="2" fillId="0" borderId="3" xfId="0" applyNumberFormat="1" applyFont="1" applyFill="1" applyBorder="1" applyAlignment="1">
      <alignment horizontal="centerContinuous"/>
    </xf>
    <xf numFmtId="164" fontId="2" fillId="0" borderId="4" xfId="0" applyNumberFormat="1" applyFont="1" applyFill="1" applyBorder="1" applyAlignment="1">
      <alignment horizontal="centerContinuous"/>
    </xf>
    <xf numFmtId="0" fontId="2" fillId="0" borderId="1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left" indent="6"/>
    </xf>
    <xf numFmtId="0" fontId="2" fillId="0" borderId="0" xfId="0" applyNumberFormat="1" applyFont="1" applyFill="1" applyBorder="1" applyAlignment="1">
      <alignment horizontal="right"/>
    </xf>
    <xf numFmtId="165" fontId="2" fillId="0" borderId="0" xfId="0" applyNumberFormat="1" applyFont="1" applyFill="1" applyBorder="1" applyAlignment="1"/>
    <xf numFmtId="164" fontId="2" fillId="0" borderId="0" xfId="0" applyNumberFormat="1" applyFont="1" applyFill="1" applyBorder="1" applyAlignment="1"/>
    <xf numFmtId="173" fontId="2" fillId="0" borderId="0" xfId="0" applyNumberFormat="1" applyFont="1" applyFill="1" applyBorder="1"/>
    <xf numFmtId="165" fontId="2" fillId="0" borderId="19" xfId="0" applyNumberFormat="1" applyFont="1" applyFill="1" applyBorder="1" applyAlignment="1"/>
    <xf numFmtId="164" fontId="2" fillId="0" borderId="20" xfId="0" applyNumberFormat="1" applyFont="1" applyFill="1" applyBorder="1"/>
    <xf numFmtId="0" fontId="2" fillId="0" borderId="0" xfId="0" applyFont="1"/>
    <xf numFmtId="164" fontId="11" fillId="0" borderId="0" xfId="0" applyNumberFormat="1" applyFont="1" applyFill="1"/>
  </cellXfs>
  <cellStyles count="7">
    <cellStyle name="Comma 39" xfId="3" xr:uid="{00000000-0005-0000-0000-000000000000}"/>
    <cellStyle name="Comma_PCA Adj Agrmt Exhibit A3 2" xfId="5" xr:uid="{00000000-0005-0000-0000-000001000000}"/>
    <cellStyle name="Currency" xfId="1" builtinId="4"/>
    <cellStyle name="Currency 23" xfId="4" xr:uid="{00000000-0005-0000-0000-000003000000}"/>
    <cellStyle name="Normal" xfId="0" builtinId="0"/>
    <cellStyle name="Normal 123" xfId="2" xr:uid="{00000000-0005-0000-0000-000005000000}"/>
    <cellStyle name="Normal_PCA Adj Agrmt Exhibit A3 2" xfId="6" xr:uid="{00000000-0005-0000-0000-000006000000}"/>
  </cellStyles>
  <dxfs count="4"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31028</xdr:colOff>
      <xdr:row>40</xdr:row>
      <xdr:rowOff>152400</xdr:rowOff>
    </xdr:from>
    <xdr:to>
      <xdr:col>6</xdr:col>
      <xdr:colOff>227301</xdr:colOff>
      <xdr:row>42</xdr:row>
      <xdr:rowOff>54120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5793653" y="7305675"/>
          <a:ext cx="196273" cy="23509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I</a:t>
          </a:r>
        </a:p>
      </xdr:txBody>
    </xdr:sp>
    <xdr:clientData/>
  </xdr:twoCellAnchor>
  <xdr:twoCellAnchor>
    <xdr:from>
      <xdr:col>4</xdr:col>
      <xdr:colOff>43729</xdr:colOff>
      <xdr:row>41</xdr:row>
      <xdr:rowOff>0</xdr:rowOff>
    </xdr:from>
    <xdr:to>
      <xdr:col>4</xdr:col>
      <xdr:colOff>248949</xdr:colOff>
      <xdr:row>42</xdr:row>
      <xdr:rowOff>75767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3977554" y="7324725"/>
          <a:ext cx="205220" cy="237692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H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20%20PCORC\Original%20Filing\2020%20PCORC%20Work%20Papers%20To%20File%20-%20Fix%20Fixed\NEW-PSE-WP-SEF-5.00-PCORC-MODEL-ORIGINAL-20PCORC-12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ciency"/>
      <sheetName val="SEF-5 Summary"/>
      <sheetName val="SEF-5 Adjustments"/>
      <sheetName val="SEF-6 2020 PCORC A-1"/>
      <sheetName val="SEF-7 A-1 Compare"/>
      <sheetName val="2019 GRC A-1 UE-200907"/>
      <sheetName val="ROR"/>
      <sheetName val="Name Ranges"/>
      <sheetName val="Recon"/>
      <sheetName val="Recon Depr"/>
      <sheetName val="ARC Dep-ARO Accr"/>
      <sheetName val="Col Depr Adj"/>
      <sheetName val="Col Acq Adj"/>
      <sheetName val="Prod Rel GP"/>
      <sheetName val="Reconcile PKW to A-1"/>
    </sheetNames>
    <sheetDataSet>
      <sheetData sheetId="0">
        <row r="26">
          <cell r="G26">
            <v>88387834.591944814</v>
          </cell>
        </row>
      </sheetData>
      <sheetData sheetId="1"/>
      <sheetData sheetId="2"/>
      <sheetData sheetId="3">
        <row r="6">
          <cell r="A6">
            <v>3</v>
          </cell>
        </row>
      </sheetData>
      <sheetData sheetId="4"/>
      <sheetData sheetId="5"/>
      <sheetData sheetId="6">
        <row r="23">
          <cell r="E23">
            <v>6.8000000000000005E-2</v>
          </cell>
        </row>
      </sheetData>
      <sheetData sheetId="7">
        <row r="3">
          <cell r="B3" t="str">
            <v>TEST YEAR 12 MONTHS ENDED JUNE 30, 2020</v>
          </cell>
        </row>
        <row r="4">
          <cell r="B4" t="str">
            <v>RATE YEAR 12 MONTHS ENDED MAY 31, 2022</v>
          </cell>
        </row>
      </sheetData>
      <sheetData sheetId="8"/>
      <sheetData sheetId="9">
        <row r="110">
          <cell r="E110">
            <v>153284670.03999999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77"/>
  <sheetViews>
    <sheetView tabSelected="1" workbookViewId="0">
      <pane xSplit="3" ySplit="16" topLeftCell="D17" activePane="bottomRight" state="frozen"/>
      <selection pane="topRight" activeCell="D1" sqref="D1"/>
      <selection pane="bottomLeft" activeCell="A17" sqref="A17"/>
      <selection pane="bottomRight" activeCell="I11" sqref="I11"/>
    </sheetView>
  </sheetViews>
  <sheetFormatPr defaultColWidth="9.36328125" defaultRowHeight="13" outlineLevelRow="1" x14ac:dyDescent="0.3"/>
  <cols>
    <col min="1" max="1" width="9.36328125" style="1"/>
    <col min="2" max="2" width="4.6328125" style="1" bestFit="1" customWidth="1"/>
    <col min="3" max="3" width="42.36328125" style="1" customWidth="1"/>
    <col min="4" max="4" width="2.6328125" style="1" customWidth="1"/>
    <col min="5" max="5" width="15.6328125" style="1" bestFit="1" customWidth="1"/>
    <col min="6" max="6" width="11.6328125" style="1" customWidth="1"/>
    <col min="7" max="7" width="16.54296875" style="2" bestFit="1" customWidth="1"/>
    <col min="8" max="8" width="11.6328125" style="2" customWidth="1"/>
    <col min="9" max="9" width="16.54296875" style="2" bestFit="1" customWidth="1"/>
    <col min="10" max="10" width="14.36328125" style="2" customWidth="1"/>
    <col min="11" max="11" width="18.54296875" style="2" bestFit="1" customWidth="1"/>
    <col min="12" max="12" width="2.90625" style="1" customWidth="1"/>
    <col min="13" max="16384" width="9.36328125" style="1"/>
  </cols>
  <sheetData>
    <row r="1" spans="2:12" x14ac:dyDescent="0.3">
      <c r="K1" s="3"/>
    </row>
    <row r="2" spans="2:12" ht="15" x14ac:dyDescent="0.3">
      <c r="B2" s="4" t="s">
        <v>0</v>
      </c>
      <c r="C2" s="4"/>
      <c r="D2" s="4"/>
      <c r="E2" s="4"/>
      <c r="F2" s="4"/>
      <c r="G2" s="5"/>
      <c r="H2" s="5"/>
      <c r="I2" s="5"/>
      <c r="J2" s="5"/>
      <c r="K2" s="5"/>
    </row>
    <row r="3" spans="2:12" ht="15" x14ac:dyDescent="0.3">
      <c r="B3" s="4" t="s">
        <v>1</v>
      </c>
      <c r="C3" s="4"/>
      <c r="D3" s="4"/>
      <c r="E3" s="4"/>
      <c r="F3" s="4"/>
      <c r="G3" s="5"/>
      <c r="H3" s="5"/>
      <c r="I3" s="5"/>
      <c r="J3" s="5"/>
      <c r="K3" s="5"/>
    </row>
    <row r="4" spans="2:12" ht="15" x14ac:dyDescent="0.3">
      <c r="B4" s="4" t="s">
        <v>61</v>
      </c>
      <c r="C4" s="4"/>
      <c r="D4" s="4"/>
      <c r="E4" s="4"/>
      <c r="F4" s="4"/>
      <c r="G4" s="5"/>
      <c r="H4" s="5"/>
      <c r="I4" s="5"/>
      <c r="J4" s="5"/>
      <c r="K4" s="5"/>
    </row>
    <row r="5" spans="2:12" x14ac:dyDescent="0.3">
      <c r="K5" s="6">
        <f>SUM(I57:K57,I61:K61,K48)</f>
        <v>0</v>
      </c>
    </row>
    <row r="6" spans="2:12" ht="50.25" customHeight="1" x14ac:dyDescent="0.3">
      <c r="B6" s="7"/>
      <c r="C6" s="8" t="s">
        <v>2</v>
      </c>
      <c r="D6" s="9"/>
      <c r="E6" s="10" t="s">
        <v>3</v>
      </c>
      <c r="F6" s="11"/>
      <c r="G6" s="10" t="s">
        <v>4</v>
      </c>
      <c r="H6" s="11"/>
      <c r="I6" s="12" t="s">
        <v>5</v>
      </c>
      <c r="J6" s="12"/>
      <c r="K6" s="13"/>
    </row>
    <row r="7" spans="2:12" ht="15" x14ac:dyDescent="0.3">
      <c r="B7" s="14"/>
      <c r="C7" s="15"/>
      <c r="D7" s="16"/>
      <c r="E7" s="17"/>
      <c r="F7" s="18"/>
      <c r="G7" s="19"/>
      <c r="H7" s="20"/>
      <c r="I7" s="21"/>
      <c r="J7" s="21"/>
      <c r="K7" s="22"/>
    </row>
    <row r="8" spans="2:12" x14ac:dyDescent="0.3">
      <c r="B8" s="23" t="s">
        <v>6</v>
      </c>
      <c r="C8" s="24"/>
      <c r="D8" s="25"/>
      <c r="E8" s="26"/>
      <c r="F8" s="27"/>
      <c r="G8" s="26"/>
      <c r="H8" s="28"/>
      <c r="I8" s="29"/>
      <c r="J8" s="29"/>
      <c r="K8" s="20"/>
      <c r="L8" s="30"/>
    </row>
    <row r="9" spans="2:12" x14ac:dyDescent="0.3">
      <c r="B9" s="23">
        <f>ROW()</f>
        <v>9</v>
      </c>
      <c r="C9" s="31" t="s">
        <v>31</v>
      </c>
      <c r="D9" s="32"/>
      <c r="E9" s="33">
        <v>107483373.93801504</v>
      </c>
      <c r="F9" s="34"/>
      <c r="G9" s="33">
        <v>148923662.89445901</v>
      </c>
      <c r="H9" s="34"/>
      <c r="I9" s="29">
        <f>E9-G9</f>
        <v>-41440288.956443965</v>
      </c>
      <c r="J9" s="29"/>
      <c r="K9" s="20"/>
      <c r="L9" s="30"/>
    </row>
    <row r="10" spans="2:12" x14ac:dyDescent="0.3">
      <c r="B10" s="23">
        <f>ROW()</f>
        <v>10</v>
      </c>
      <c r="C10" s="31" t="s">
        <v>32</v>
      </c>
      <c r="D10" s="32"/>
      <c r="E10" s="35">
        <v>79508404.960502923</v>
      </c>
      <c r="F10" s="36"/>
      <c r="G10" s="35">
        <v>79202112.316321075</v>
      </c>
      <c r="H10" s="36"/>
      <c r="I10" s="37">
        <f>E10-G10</f>
        <v>306292.64418184757</v>
      </c>
      <c r="J10" s="37"/>
      <c r="K10" s="20"/>
      <c r="L10" s="30"/>
    </row>
    <row r="11" spans="2:12" x14ac:dyDescent="0.3">
      <c r="B11" s="23">
        <f>ROW()</f>
        <v>11</v>
      </c>
      <c r="C11" s="31" t="s">
        <v>33</v>
      </c>
      <c r="D11" s="32"/>
      <c r="E11" s="35">
        <v>1426278308.4180365</v>
      </c>
      <c r="F11" s="36"/>
      <c r="G11" s="35">
        <v>1692468635.3914154</v>
      </c>
      <c r="H11" s="36"/>
      <c r="I11" s="37">
        <f>E11-G11</f>
        <v>-266190326.9733789</v>
      </c>
      <c r="J11" s="37"/>
      <c r="K11" s="20"/>
      <c r="L11" s="30"/>
    </row>
    <row r="12" spans="2:12" ht="13.5" thickBot="1" x14ac:dyDescent="0.35">
      <c r="B12" s="23">
        <f>ROW()</f>
        <v>12</v>
      </c>
      <c r="C12" s="30"/>
      <c r="D12" s="18"/>
      <c r="E12" s="38">
        <f>SUM(E9:E11)</f>
        <v>1613270087.3165545</v>
      </c>
      <c r="F12" s="39"/>
      <c r="G12" s="38">
        <f>SUM(G9:G11)</f>
        <v>1920594410.6021955</v>
      </c>
      <c r="H12" s="39"/>
      <c r="I12" s="40">
        <f>SUM(I9:I11)</f>
        <v>-307324323.28564101</v>
      </c>
      <c r="J12" s="41"/>
      <c r="K12" s="42" t="s">
        <v>7</v>
      </c>
      <c r="L12" s="30"/>
    </row>
    <row r="13" spans="2:12" ht="13.5" thickTop="1" x14ac:dyDescent="0.3">
      <c r="B13" s="23">
        <f>ROW()</f>
        <v>13</v>
      </c>
      <c r="C13" s="31" t="s">
        <v>34</v>
      </c>
      <c r="D13" s="32"/>
      <c r="E13" s="43">
        <v>6.8000000000000005E-2</v>
      </c>
      <c r="F13" s="44"/>
      <c r="G13" s="43">
        <v>6.8000000000000005E-2</v>
      </c>
      <c r="H13" s="44"/>
      <c r="I13" s="45"/>
      <c r="J13" s="45"/>
      <c r="K13" s="46" t="s">
        <v>8</v>
      </c>
      <c r="L13" s="30"/>
    </row>
    <row r="14" spans="2:12" x14ac:dyDescent="0.3">
      <c r="B14" s="23">
        <f>ROW()</f>
        <v>14</v>
      </c>
      <c r="C14" s="31"/>
      <c r="D14" s="32"/>
      <c r="E14" s="43"/>
      <c r="F14" s="44"/>
      <c r="G14" s="19"/>
      <c r="H14" s="20"/>
      <c r="I14" s="47" t="s">
        <v>9</v>
      </c>
      <c r="J14" s="47" t="s">
        <v>10</v>
      </c>
      <c r="K14" s="48" t="s">
        <v>11</v>
      </c>
      <c r="L14" s="30"/>
    </row>
    <row r="15" spans="2:12" x14ac:dyDescent="0.3">
      <c r="B15" s="23">
        <f>ROW()</f>
        <v>15</v>
      </c>
      <c r="C15" s="31"/>
      <c r="D15" s="32"/>
      <c r="E15" s="19"/>
      <c r="F15" s="20"/>
      <c r="G15" s="19"/>
      <c r="H15" s="20"/>
      <c r="I15" s="49"/>
      <c r="J15" s="20"/>
      <c r="K15" s="50"/>
      <c r="L15" s="30"/>
    </row>
    <row r="16" spans="2:12" x14ac:dyDescent="0.3">
      <c r="B16" s="23">
        <f>ROW()</f>
        <v>16</v>
      </c>
      <c r="C16" s="31"/>
      <c r="D16" s="32"/>
      <c r="E16" s="23" t="s">
        <v>12</v>
      </c>
      <c r="F16" s="51" t="s">
        <v>13</v>
      </c>
      <c r="G16" s="23" t="s">
        <v>14</v>
      </c>
      <c r="H16" s="51" t="s">
        <v>15</v>
      </c>
      <c r="I16" s="52" t="s">
        <v>16</v>
      </c>
      <c r="J16" s="53" t="s">
        <v>17</v>
      </c>
      <c r="K16" s="53" t="s">
        <v>18</v>
      </c>
      <c r="L16" s="30"/>
    </row>
    <row r="17" spans="2:12" x14ac:dyDescent="0.3">
      <c r="B17" s="23">
        <f>ROW()</f>
        <v>17</v>
      </c>
      <c r="C17" s="54" t="s">
        <v>35</v>
      </c>
      <c r="D17" s="55" t="s">
        <v>28</v>
      </c>
      <c r="E17" s="33">
        <f>E9*E13/0.79</f>
        <v>9251733.4528924339</v>
      </c>
      <c r="F17" s="56">
        <f>ROUND(E17/E$42,5)</f>
        <v>0.46998000000000001</v>
      </c>
      <c r="G17" s="33">
        <f>G9*G13/0.79</f>
        <v>12818745.666864827</v>
      </c>
      <c r="H17" s="56">
        <f>ROUND(G17/G$42,5)</f>
        <v>0.62422</v>
      </c>
      <c r="I17" s="57">
        <f>E17-G17</f>
        <v>-3567012.2139723934</v>
      </c>
      <c r="J17" s="56">
        <f>+F17-H17</f>
        <v>-0.15423999999999999</v>
      </c>
      <c r="K17" s="58">
        <f>J17*$E$42</f>
        <v>-3036289.444868946</v>
      </c>
      <c r="L17" s="30"/>
    </row>
    <row r="18" spans="2:12" x14ac:dyDescent="0.3">
      <c r="B18" s="23">
        <f>ROW()</f>
        <v>18</v>
      </c>
      <c r="C18" s="59" t="s">
        <v>36</v>
      </c>
      <c r="D18" s="55" t="s">
        <v>29</v>
      </c>
      <c r="E18" s="35">
        <v>4163374.1001599999</v>
      </c>
      <c r="F18" s="60">
        <f t="shared" ref="F18:F38" si="0">ROUND(E18/E$42,5)</f>
        <v>0.21149000000000001</v>
      </c>
      <c r="G18" s="35">
        <v>3913502.79561463</v>
      </c>
      <c r="H18" s="60">
        <f t="shared" ref="H18:H38" si="1">ROUND(G18/G$42,5)</f>
        <v>0.19056999999999999</v>
      </c>
      <c r="I18" s="57">
        <f t="shared" ref="I18:I38" si="2">E18-G18</f>
        <v>249871.30454536993</v>
      </c>
      <c r="J18" s="60">
        <f t="shared" ref="J18:J38" si="3">+F18-H18</f>
        <v>2.0920000000000022E-2</v>
      </c>
      <c r="K18" s="61">
        <f t="shared" ref="K18:K38" si="4">J18*$E$42</f>
        <v>411820.37854420656</v>
      </c>
      <c r="L18" s="30"/>
    </row>
    <row r="19" spans="2:12" x14ac:dyDescent="0.3">
      <c r="B19" s="23">
        <f>ROW()</f>
        <v>19</v>
      </c>
      <c r="C19" s="62" t="s">
        <v>37</v>
      </c>
      <c r="D19" s="55" t="s">
        <v>28</v>
      </c>
      <c r="E19" s="35">
        <f>E10*E13/0.79</f>
        <v>6843761.4396382263</v>
      </c>
      <c r="F19" s="60">
        <f t="shared" si="0"/>
        <v>0.34766000000000002</v>
      </c>
      <c r="G19" s="35">
        <f>G10*G13/0.79</f>
        <v>6817397.0095061176</v>
      </c>
      <c r="H19" s="60">
        <f t="shared" si="1"/>
        <v>0.33198</v>
      </c>
      <c r="I19" s="57">
        <f t="shared" si="2"/>
        <v>26364.430132108741</v>
      </c>
      <c r="J19" s="60">
        <f t="shared" si="3"/>
        <v>1.5680000000000027E-2</v>
      </c>
      <c r="K19" s="61">
        <f t="shared" si="4"/>
        <v>308668.42904269422</v>
      </c>
      <c r="L19" s="30"/>
    </row>
    <row r="20" spans="2:12" x14ac:dyDescent="0.3">
      <c r="B20" s="23">
        <f>ROW()</f>
        <v>20</v>
      </c>
      <c r="C20" s="62" t="s">
        <v>38</v>
      </c>
      <c r="D20" s="55" t="s">
        <v>28</v>
      </c>
      <c r="E20" s="35">
        <f>E11*E13/0.79</f>
        <v>122768259.4587677</v>
      </c>
      <c r="F20" s="60">
        <f t="shared" si="0"/>
        <v>6.2364899999999999</v>
      </c>
      <c r="G20" s="35">
        <f>G11*G13/0.79</f>
        <v>145680844.56533703</v>
      </c>
      <c r="H20" s="60">
        <f t="shared" si="1"/>
        <v>7.0940099999999999</v>
      </c>
      <c r="I20" s="57">
        <f t="shared" si="2"/>
        <v>-22912585.106569335</v>
      </c>
      <c r="J20" s="60">
        <f t="shared" si="3"/>
        <v>-0.85752000000000006</v>
      </c>
      <c r="K20" s="61">
        <f t="shared" si="4"/>
        <v>-16880698.423003234</v>
      </c>
      <c r="L20" s="30"/>
    </row>
    <row r="21" spans="2:12" x14ac:dyDescent="0.3">
      <c r="B21" s="23">
        <f>ROW()</f>
        <v>21</v>
      </c>
      <c r="C21" s="30" t="s">
        <v>39</v>
      </c>
      <c r="D21" s="55" t="s">
        <v>29</v>
      </c>
      <c r="E21" s="35">
        <v>41728365.449025288</v>
      </c>
      <c r="F21" s="60">
        <f t="shared" si="0"/>
        <v>2.1197499999999998</v>
      </c>
      <c r="G21" s="35">
        <v>37089392.406405531</v>
      </c>
      <c r="H21" s="60">
        <f t="shared" si="1"/>
        <v>1.80609</v>
      </c>
      <c r="I21" s="57">
        <f t="shared" si="2"/>
        <v>4638973.0426197574</v>
      </c>
      <c r="J21" s="60">
        <f t="shared" si="3"/>
        <v>0.31365999999999983</v>
      </c>
      <c r="K21" s="61">
        <f t="shared" si="4"/>
        <v>6174549.7100466359</v>
      </c>
      <c r="L21" s="30"/>
    </row>
    <row r="22" spans="2:12" x14ac:dyDescent="0.3">
      <c r="B22" s="23">
        <f>ROW()</f>
        <v>22</v>
      </c>
      <c r="C22" s="30" t="s">
        <v>40</v>
      </c>
      <c r="D22" s="55" t="s">
        <v>29</v>
      </c>
      <c r="E22" s="35">
        <v>504874693.29925674</v>
      </c>
      <c r="F22" s="60">
        <f t="shared" si="0"/>
        <v>25.64705</v>
      </c>
      <c r="G22" s="35">
        <v>468639005.35613108</v>
      </c>
      <c r="H22" s="60">
        <f t="shared" si="1"/>
        <v>22.820640000000001</v>
      </c>
      <c r="I22" s="57">
        <f t="shared" si="2"/>
        <v>36235687.943125665</v>
      </c>
      <c r="J22" s="60">
        <f t="shared" si="3"/>
        <v>2.8264099999999992</v>
      </c>
      <c r="K22" s="61">
        <f t="shared" si="4"/>
        <v>55639256.028734669</v>
      </c>
      <c r="L22" s="30"/>
    </row>
    <row r="23" spans="2:12" x14ac:dyDescent="0.3">
      <c r="B23" s="23">
        <f>ROW()</f>
        <v>23</v>
      </c>
      <c r="C23" s="30" t="s">
        <v>41</v>
      </c>
      <c r="D23" s="55" t="s">
        <v>28</v>
      </c>
      <c r="E23" s="35">
        <v>8006583.2700000033</v>
      </c>
      <c r="F23" s="60">
        <f t="shared" si="0"/>
        <v>0.40672999999999998</v>
      </c>
      <c r="G23" s="35">
        <v>8072158.7332714284</v>
      </c>
      <c r="H23" s="60">
        <f t="shared" si="1"/>
        <v>0.39307999999999998</v>
      </c>
      <c r="I23" s="57">
        <f t="shared" si="2"/>
        <v>-65575.463271425106</v>
      </c>
      <c r="J23" s="60">
        <f t="shared" si="3"/>
        <v>1.3649999999999995E-2</v>
      </c>
      <c r="K23" s="61">
        <f t="shared" si="4"/>
        <v>268706.89135413058</v>
      </c>
      <c r="L23" s="30"/>
    </row>
    <row r="24" spans="2:12" x14ac:dyDescent="0.3">
      <c r="B24" s="23">
        <f>ROW()</f>
        <v>24</v>
      </c>
      <c r="C24" s="63" t="s">
        <v>42</v>
      </c>
      <c r="D24" s="55" t="s">
        <v>28</v>
      </c>
      <c r="E24" s="35">
        <v>7746401.1699999999</v>
      </c>
      <c r="F24" s="60">
        <f t="shared" si="0"/>
        <v>0.39351000000000003</v>
      </c>
      <c r="G24" s="35">
        <v>8840460.579817621</v>
      </c>
      <c r="H24" s="60">
        <f t="shared" si="1"/>
        <v>0.43048999999999998</v>
      </c>
      <c r="I24" s="57">
        <f t="shared" si="2"/>
        <v>-1094059.4098176211</v>
      </c>
      <c r="J24" s="60">
        <f t="shared" si="3"/>
        <v>-3.6979999999999957E-2</v>
      </c>
      <c r="K24" s="61">
        <f t="shared" si="4"/>
        <v>-727969.29247441329</v>
      </c>
      <c r="L24" s="30"/>
    </row>
    <row r="25" spans="2:12" x14ac:dyDescent="0.3">
      <c r="B25" s="23">
        <f>ROW()</f>
        <v>25</v>
      </c>
      <c r="C25" s="63" t="s">
        <v>43</v>
      </c>
      <c r="D25" s="55" t="s">
        <v>28</v>
      </c>
      <c r="E25" s="35">
        <v>3609732</v>
      </c>
      <c r="F25" s="60">
        <f t="shared" si="0"/>
        <v>0.18337000000000001</v>
      </c>
      <c r="G25" s="35">
        <v>3895439.2738404199</v>
      </c>
      <c r="H25" s="60">
        <f t="shared" si="1"/>
        <v>0.18969</v>
      </c>
      <c r="I25" s="57">
        <f t="shared" si="2"/>
        <v>-285707.27384041995</v>
      </c>
      <c r="J25" s="60">
        <f t="shared" si="3"/>
        <v>-6.3199999999999923E-3</v>
      </c>
      <c r="K25" s="61">
        <f t="shared" si="4"/>
        <v>-124412.27497128966</v>
      </c>
      <c r="L25" s="30"/>
    </row>
    <row r="26" spans="2:12" x14ac:dyDescent="0.3">
      <c r="B26" s="23">
        <f>ROW()</f>
        <v>26</v>
      </c>
      <c r="C26" s="63" t="s">
        <v>44</v>
      </c>
      <c r="D26" s="55" t="s">
        <v>29</v>
      </c>
      <c r="E26" s="35">
        <v>806444.89969131257</v>
      </c>
      <c r="F26" s="60">
        <f t="shared" si="0"/>
        <v>4.0969999999999999E-2</v>
      </c>
      <c r="G26" s="35">
        <v>766379.13641918893</v>
      </c>
      <c r="H26" s="60">
        <f t="shared" si="1"/>
        <v>3.7319999999999999E-2</v>
      </c>
      <c r="I26" s="57">
        <f t="shared" si="2"/>
        <v>40065.763272123644</v>
      </c>
      <c r="J26" s="60">
        <f t="shared" si="3"/>
        <v>3.6500000000000005E-3</v>
      </c>
      <c r="K26" s="61">
        <f t="shared" si="4"/>
        <v>71852.025893229089</v>
      </c>
      <c r="L26" s="30"/>
    </row>
    <row r="27" spans="2:12" x14ac:dyDescent="0.3">
      <c r="B27" s="23">
        <f>ROW()</f>
        <v>27</v>
      </c>
      <c r="C27" s="63" t="s">
        <v>45</v>
      </c>
      <c r="D27" s="55" t="s">
        <v>28</v>
      </c>
      <c r="E27" s="35">
        <v>2154161.64</v>
      </c>
      <c r="F27" s="60">
        <f t="shared" si="0"/>
        <v>0.10943</v>
      </c>
      <c r="G27" s="35">
        <v>1989467.6013443223</v>
      </c>
      <c r="H27" s="60">
        <f t="shared" si="1"/>
        <v>9.6879999999999994E-2</v>
      </c>
      <c r="I27" s="57">
        <f t="shared" si="2"/>
        <v>164694.03865567781</v>
      </c>
      <c r="J27" s="60">
        <f t="shared" si="3"/>
        <v>1.2550000000000006E-2</v>
      </c>
      <c r="K27" s="61">
        <f t="shared" si="4"/>
        <v>247052.85615343161</v>
      </c>
      <c r="L27" s="30"/>
    </row>
    <row r="28" spans="2:12" ht="14" x14ac:dyDescent="0.3">
      <c r="B28" s="23">
        <f>ROW()</f>
        <v>28</v>
      </c>
      <c r="C28" s="64" t="s">
        <v>46</v>
      </c>
      <c r="D28" s="55" t="s">
        <v>29</v>
      </c>
      <c r="E28" s="35">
        <v>497854.02572839998</v>
      </c>
      <c r="F28" s="60">
        <f t="shared" si="0"/>
        <v>2.529E-2</v>
      </c>
      <c r="G28" s="35">
        <v>426928.32671306725</v>
      </c>
      <c r="H28" s="60">
        <f t="shared" si="1"/>
        <v>2.0789999999999999E-2</v>
      </c>
      <c r="I28" s="57">
        <f t="shared" si="2"/>
        <v>70925.699015332735</v>
      </c>
      <c r="J28" s="60">
        <f t="shared" si="3"/>
        <v>4.5000000000000005E-3</v>
      </c>
      <c r="K28" s="61">
        <f t="shared" si="4"/>
        <v>88584.689457405722</v>
      </c>
      <c r="L28" s="30"/>
    </row>
    <row r="29" spans="2:12" x14ac:dyDescent="0.3">
      <c r="B29" s="23">
        <f>ROW()</f>
        <v>29</v>
      </c>
      <c r="C29" s="30" t="s">
        <v>47</v>
      </c>
      <c r="D29" s="55" t="s">
        <v>29</v>
      </c>
      <c r="E29" s="35">
        <v>144132772.91052443</v>
      </c>
      <c r="F29" s="60">
        <f t="shared" si="0"/>
        <v>7.3217800000000004</v>
      </c>
      <c r="G29" s="35">
        <v>126925932.5832969</v>
      </c>
      <c r="H29" s="60">
        <f t="shared" si="1"/>
        <v>6.1807299999999996</v>
      </c>
      <c r="I29" s="57">
        <f t="shared" si="2"/>
        <v>17206840.327227533</v>
      </c>
      <c r="J29" s="60">
        <f t="shared" si="3"/>
        <v>1.1410500000000008</v>
      </c>
      <c r="K29" s="61">
        <f t="shared" si="4"/>
        <v>22462124.423416194</v>
      </c>
      <c r="L29" s="30"/>
    </row>
    <row r="30" spans="2:12" x14ac:dyDescent="0.3">
      <c r="B30" s="23">
        <f>ROW()</f>
        <v>30</v>
      </c>
      <c r="C30" s="30" t="s">
        <v>48</v>
      </c>
      <c r="D30" s="55" t="s">
        <v>29</v>
      </c>
      <c r="E30" s="35">
        <v>130526087.59327166</v>
      </c>
      <c r="F30" s="60">
        <f t="shared" si="0"/>
        <v>6.6305699999999996</v>
      </c>
      <c r="G30" s="35">
        <v>112486392.77130413</v>
      </c>
      <c r="H30" s="60">
        <f t="shared" si="1"/>
        <v>5.4775900000000002</v>
      </c>
      <c r="I30" s="57">
        <f t="shared" si="2"/>
        <v>18039694.821967527</v>
      </c>
      <c r="J30" s="60">
        <f t="shared" si="3"/>
        <v>1.1529799999999994</v>
      </c>
      <c r="K30" s="61">
        <f t="shared" si="4"/>
        <v>22696972.277911022</v>
      </c>
      <c r="L30" s="30"/>
    </row>
    <row r="31" spans="2:12" x14ac:dyDescent="0.3">
      <c r="B31" s="23">
        <f>ROW()</f>
        <v>31</v>
      </c>
      <c r="C31" s="30" t="s">
        <v>49</v>
      </c>
      <c r="D31" s="55" t="s">
        <v>28</v>
      </c>
      <c r="E31" s="35">
        <v>-6515420.6045234576</v>
      </c>
      <c r="F31" s="60">
        <f t="shared" si="0"/>
        <v>-0.33098</v>
      </c>
      <c r="G31" s="35">
        <v>-8666881.7085096519</v>
      </c>
      <c r="H31" s="60">
        <f t="shared" si="1"/>
        <v>-0.42204000000000003</v>
      </c>
      <c r="I31" s="57">
        <f t="shared" si="2"/>
        <v>2151461.1039861944</v>
      </c>
      <c r="J31" s="60">
        <f t="shared" si="3"/>
        <v>9.106000000000003E-2</v>
      </c>
      <c r="K31" s="61">
        <f t="shared" si="4"/>
        <v>1792560.4048869705</v>
      </c>
      <c r="L31" s="30"/>
    </row>
    <row r="32" spans="2:12" x14ac:dyDescent="0.3">
      <c r="B32" s="23">
        <f>ROW()</f>
        <v>32</v>
      </c>
      <c r="C32" s="30" t="s">
        <v>50</v>
      </c>
      <c r="D32" s="55" t="s">
        <v>28</v>
      </c>
      <c r="E32" s="35">
        <v>105539340.61065164</v>
      </c>
      <c r="F32" s="60">
        <f t="shared" si="0"/>
        <v>5.3612799999999998</v>
      </c>
      <c r="G32" s="35">
        <v>108205898.55701637</v>
      </c>
      <c r="H32" s="60">
        <f t="shared" si="1"/>
        <v>5.2691499999999998</v>
      </c>
      <c r="I32" s="57">
        <f t="shared" si="2"/>
        <v>-2666557.9463647306</v>
      </c>
      <c r="J32" s="60">
        <f t="shared" si="3"/>
        <v>9.2130000000000045E-2</v>
      </c>
      <c r="K32" s="61">
        <f t="shared" si="4"/>
        <v>1813623.8754912873</v>
      </c>
      <c r="L32" s="30"/>
    </row>
    <row r="33" spans="2:12" x14ac:dyDescent="0.3">
      <c r="B33" s="23">
        <f>ROW()</f>
        <v>33</v>
      </c>
      <c r="C33" s="30" t="s">
        <v>51</v>
      </c>
      <c r="D33" s="55" t="s">
        <v>29</v>
      </c>
      <c r="E33" s="35">
        <v>-19043771.540084541</v>
      </c>
      <c r="F33" s="60">
        <f t="shared" si="0"/>
        <v>-0.96740000000000004</v>
      </c>
      <c r="G33" s="35">
        <v>-9043639.2224400043</v>
      </c>
      <c r="H33" s="60">
        <f t="shared" si="1"/>
        <v>-0.44039</v>
      </c>
      <c r="I33" s="57">
        <f t="shared" si="2"/>
        <v>-10000132.317644536</v>
      </c>
      <c r="J33" s="60">
        <f t="shared" si="3"/>
        <v>-0.52700999999999998</v>
      </c>
      <c r="K33" s="61">
        <f t="shared" si="4"/>
        <v>-10374448.264654975</v>
      </c>
      <c r="L33" s="30"/>
    </row>
    <row r="34" spans="2:12" x14ac:dyDescent="0.3">
      <c r="B34" s="23">
        <f>ROW()</f>
        <v>34</v>
      </c>
      <c r="C34" s="65" t="s">
        <v>52</v>
      </c>
      <c r="D34" s="55" t="s">
        <v>29</v>
      </c>
      <c r="E34" s="35">
        <v>-39504497.42945984</v>
      </c>
      <c r="F34" s="60">
        <f t="shared" si="0"/>
        <v>-2.00678</v>
      </c>
      <c r="G34" s="35">
        <v>-27552250.181711692</v>
      </c>
      <c r="H34" s="60">
        <f t="shared" si="1"/>
        <v>-1.3416699999999999</v>
      </c>
      <c r="I34" s="57">
        <f t="shared" si="2"/>
        <v>-11952247.247748148</v>
      </c>
      <c r="J34" s="60">
        <f t="shared" si="3"/>
        <v>-0.66511000000000009</v>
      </c>
      <c r="K34" s="61">
        <f t="shared" si="4"/>
        <v>-13093013.956670027</v>
      </c>
      <c r="L34" s="30"/>
    </row>
    <row r="35" spans="2:12" x14ac:dyDescent="0.3">
      <c r="B35" s="23">
        <f>ROW()</f>
        <v>35</v>
      </c>
      <c r="C35" s="30" t="s">
        <v>53</v>
      </c>
      <c r="D35" s="55" t="s">
        <v>28</v>
      </c>
      <c r="E35" s="35">
        <v>728609.68</v>
      </c>
      <c r="F35" s="60">
        <f t="shared" si="0"/>
        <v>3.7010000000000001E-2</v>
      </c>
      <c r="G35" s="35">
        <v>876514.03</v>
      </c>
      <c r="H35" s="60">
        <f t="shared" si="1"/>
        <v>4.2680000000000003E-2</v>
      </c>
      <c r="I35" s="57">
        <f t="shared" si="2"/>
        <v>-147904.34999999998</v>
      </c>
      <c r="J35" s="60">
        <f t="shared" si="3"/>
        <v>-5.6700000000000014E-3</v>
      </c>
      <c r="K35" s="61">
        <f t="shared" si="4"/>
        <v>-111616.70871633124</v>
      </c>
      <c r="L35" s="30"/>
    </row>
    <row r="36" spans="2:12" x14ac:dyDescent="0.3">
      <c r="B36" s="23">
        <f>ROW()</f>
        <v>36</v>
      </c>
      <c r="C36" s="66" t="s">
        <v>54</v>
      </c>
      <c r="D36" s="55" t="s">
        <v>28</v>
      </c>
      <c r="E36" s="35">
        <v>159570955.42276481</v>
      </c>
      <c r="F36" s="60">
        <f t="shared" si="0"/>
        <v>8.1060199999999991</v>
      </c>
      <c r="G36" s="35">
        <v>155106180.2892209</v>
      </c>
      <c r="H36" s="60">
        <f t="shared" si="1"/>
        <v>7.5529799999999998</v>
      </c>
      <c r="I36" s="57">
        <f t="shared" si="2"/>
        <v>4464775.1335439086</v>
      </c>
      <c r="J36" s="60">
        <f t="shared" si="3"/>
        <v>0.55303999999999931</v>
      </c>
      <c r="K36" s="61">
        <f t="shared" si="4"/>
        <v>10886861.479449688</v>
      </c>
      <c r="L36" s="30"/>
    </row>
    <row r="37" spans="2:12" x14ac:dyDescent="0.3">
      <c r="B37" s="23">
        <f>ROW()</f>
        <v>37</v>
      </c>
      <c r="C37" s="24" t="s">
        <v>55</v>
      </c>
      <c r="D37" s="55" t="s">
        <v>28</v>
      </c>
      <c r="E37" s="35">
        <v>3681678.9550089934</v>
      </c>
      <c r="F37" s="60">
        <f t="shared" si="0"/>
        <v>0.18703</v>
      </c>
      <c r="G37" s="35">
        <v>3531950.8300239993</v>
      </c>
      <c r="H37" s="60">
        <f t="shared" si="1"/>
        <v>0.17199</v>
      </c>
      <c r="I37" s="57">
        <f t="shared" si="2"/>
        <v>149728.12498499407</v>
      </c>
      <c r="J37" s="60">
        <f t="shared" si="3"/>
        <v>1.5039999999999998E-2</v>
      </c>
      <c r="K37" s="61">
        <f t="shared" si="4"/>
        <v>296069.71765319596</v>
      </c>
      <c r="L37" s="30"/>
    </row>
    <row r="38" spans="2:12" x14ac:dyDescent="0.3">
      <c r="B38" s="23">
        <f>ROW()</f>
        <v>38</v>
      </c>
      <c r="C38" s="24" t="s">
        <v>56</v>
      </c>
      <c r="D38" s="55" t="s">
        <v>28</v>
      </c>
      <c r="E38" s="35">
        <v>3572472</v>
      </c>
      <c r="F38" s="60">
        <f t="shared" si="0"/>
        <v>0.18148</v>
      </c>
      <c r="G38" s="35">
        <v>8031923.03318753</v>
      </c>
      <c r="H38" s="60">
        <f t="shared" si="1"/>
        <v>0.39112000000000002</v>
      </c>
      <c r="I38" s="57">
        <f t="shared" si="2"/>
        <v>-4459451.03318753</v>
      </c>
      <c r="J38" s="60">
        <f t="shared" si="3"/>
        <v>-0.20964000000000002</v>
      </c>
      <c r="K38" s="61">
        <f t="shared" si="4"/>
        <v>-4126865.3995223413</v>
      </c>
      <c r="L38" s="30"/>
    </row>
    <row r="39" spans="2:12" ht="13.5" x14ac:dyDescent="0.35">
      <c r="B39" s="23">
        <f>ROW()</f>
        <v>39</v>
      </c>
      <c r="C39" s="31" t="s">
        <v>57</v>
      </c>
      <c r="D39" s="67"/>
      <c r="E39" s="68">
        <f t="shared" ref="E39:K39" si="5">SUM(E17:E38)</f>
        <v>1195139591.8033137</v>
      </c>
      <c r="F39" s="69">
        <f t="shared" si="5"/>
        <v>60.711730000000017</v>
      </c>
      <c r="G39" s="68">
        <f t="shared" si="5"/>
        <v>1168851742.4326539</v>
      </c>
      <c r="H39" s="69">
        <f t="shared" si="5"/>
        <v>56.917899999999982</v>
      </c>
      <c r="I39" s="70">
        <f t="shared" si="5"/>
        <v>26287849.370660055</v>
      </c>
      <c r="J39" s="71">
        <f t="shared" ref="J39" si="6">SUM(J17:J38)</f>
        <v>3.7938299999999994</v>
      </c>
      <c r="K39" s="72">
        <f t="shared" si="5"/>
        <v>74683389.423153207</v>
      </c>
      <c r="L39" s="30"/>
    </row>
    <row r="40" spans="2:12" ht="13.5" thickBot="1" x14ac:dyDescent="0.35">
      <c r="B40" s="23">
        <f>ROW()</f>
        <v>40</v>
      </c>
      <c r="C40" s="73" t="s">
        <v>58</v>
      </c>
      <c r="D40" s="18"/>
      <c r="E40" s="74">
        <v>0.95111500000000004</v>
      </c>
      <c r="F40" s="75">
        <f>E40</f>
        <v>0.95111500000000004</v>
      </c>
      <c r="G40" s="74">
        <v>0.95111500000000004</v>
      </c>
      <c r="H40" s="75">
        <f>G40</f>
        <v>0.95111500000000004</v>
      </c>
      <c r="I40" s="74"/>
      <c r="J40" s="76"/>
      <c r="K40" s="75">
        <f>+E40</f>
        <v>0.95111500000000004</v>
      </c>
      <c r="L40" s="30"/>
    </row>
    <row r="41" spans="2:12" ht="13.5" thickBot="1" x14ac:dyDescent="0.35">
      <c r="B41" s="23">
        <f>ROW()</f>
        <v>41</v>
      </c>
      <c r="C41" s="30" t="s">
        <v>59</v>
      </c>
      <c r="D41" s="18"/>
      <c r="E41" s="68">
        <f>E39/E40</f>
        <v>1256566862.8959839</v>
      </c>
      <c r="F41" s="69">
        <f>F39/F40</f>
        <v>63.832165405865759</v>
      </c>
      <c r="G41" s="68">
        <f>G39/G40</f>
        <v>1228927881.9413571</v>
      </c>
      <c r="H41" s="69">
        <f>H39/H40</f>
        <v>59.843341762037163</v>
      </c>
      <c r="I41" s="77">
        <f t="shared" ref="I41" si="7">E41-G41</f>
        <v>27638980.954626799</v>
      </c>
      <c r="J41" s="78">
        <f>F41-H41</f>
        <v>3.9888236438285958</v>
      </c>
      <c r="K41" s="79">
        <f>ROUND(K39/(K40),)+K63</f>
        <v>78505720</v>
      </c>
      <c r="L41" s="30"/>
    </row>
    <row r="42" spans="2:12" x14ac:dyDescent="0.3">
      <c r="B42" s="23">
        <f>ROW()</f>
        <v>42</v>
      </c>
      <c r="C42" s="30" t="s">
        <v>60</v>
      </c>
      <c r="D42" s="18"/>
      <c r="E42" s="19">
        <v>19685486.54609016</v>
      </c>
      <c r="F42" s="80"/>
      <c r="G42" s="19">
        <v>20535748.503355935</v>
      </c>
      <c r="H42" s="80"/>
      <c r="I42" s="21"/>
      <c r="J42" s="21"/>
      <c r="K42" s="20"/>
      <c r="L42" s="30"/>
    </row>
    <row r="43" spans="2:12" x14ac:dyDescent="0.3">
      <c r="B43" s="23">
        <f>ROW()</f>
        <v>43</v>
      </c>
      <c r="C43" s="30"/>
      <c r="D43" s="18"/>
      <c r="E43" s="19"/>
      <c r="F43" s="81"/>
      <c r="G43" s="19"/>
      <c r="H43" s="82" t="s">
        <v>19</v>
      </c>
      <c r="I43" s="83">
        <f>ROUND(SUMIF($D$17:$D$38,"F",$I$17:$I$38)/(ROUND(I39/I41,6)),0)</f>
        <v>-29693391</v>
      </c>
      <c r="J43" s="84">
        <f>ROUND(SUMIF($D$17:$D$38,"F",$J$17:$J$38)/(ROUND(J39/J41,6)),3)</f>
        <v>-0.502</v>
      </c>
      <c r="K43" s="20">
        <f>ROUND(SUMIF($D$17:$D$38,"F",$K$17:$K$38)/(ROUND(K39/K41,6)),0)</f>
        <v>-9875117</v>
      </c>
      <c r="L43" s="30"/>
    </row>
    <row r="44" spans="2:12" ht="13.5" thickBot="1" x14ac:dyDescent="0.35">
      <c r="B44" s="23">
        <f>ROW()</f>
        <v>44</v>
      </c>
      <c r="C44" s="30"/>
      <c r="D44" s="18"/>
      <c r="E44" s="19"/>
      <c r="F44" s="20"/>
      <c r="G44" s="19"/>
      <c r="H44" s="82" t="s">
        <v>20</v>
      </c>
      <c r="I44" s="83">
        <f>ROUND(SUMIF($D$17:$D$38,"V",$I$17:$I$38)/(ROUND(I39/I41,6)),0)</f>
        <v>57332372</v>
      </c>
      <c r="J44" s="84">
        <f>ROUND(SUMIF($D$17:$D$38,"V",$J$17:$J$38)/(ROUND(J39/J41,6)),3)</f>
        <v>4.4909999999999997</v>
      </c>
      <c r="K44" s="20">
        <f>ROUND(SUMIF($D$17:$D$38,"V",$K$17:$K$38)/(ROUND(K39/K41,6)),0)</f>
        <v>88380874</v>
      </c>
      <c r="L44" s="30"/>
    </row>
    <row r="45" spans="2:12" ht="14" thickBot="1" x14ac:dyDescent="0.4">
      <c r="B45" s="23">
        <f>ROW()</f>
        <v>45</v>
      </c>
      <c r="C45" s="30"/>
      <c r="D45" s="18"/>
      <c r="E45" s="19"/>
      <c r="F45" s="20"/>
      <c r="G45" s="19"/>
      <c r="H45" s="82"/>
      <c r="I45" s="85">
        <f>SUM(I43:I44)</f>
        <v>27638981</v>
      </c>
      <c r="J45" s="86">
        <f>SUM(J43:J44)</f>
        <v>3.9889999999999999</v>
      </c>
      <c r="K45" s="79">
        <f>SUM(K43:K44)</f>
        <v>78505757</v>
      </c>
      <c r="L45" s="30"/>
    </row>
    <row r="46" spans="2:12" x14ac:dyDescent="0.3">
      <c r="B46" s="23">
        <f>ROW()</f>
        <v>46</v>
      </c>
      <c r="C46" s="30"/>
      <c r="D46" s="18"/>
      <c r="E46" s="19"/>
      <c r="F46" s="20"/>
      <c r="G46" s="19"/>
      <c r="H46" s="82"/>
      <c r="I46" s="21"/>
      <c r="J46" s="87"/>
      <c r="K46" s="20"/>
      <c r="L46" s="30"/>
    </row>
    <row r="47" spans="2:12" ht="13.5" x14ac:dyDescent="0.35">
      <c r="B47" s="23">
        <f>ROW()</f>
        <v>47</v>
      </c>
      <c r="C47" s="30" t="s">
        <v>21</v>
      </c>
      <c r="D47" s="18"/>
      <c r="E47" s="33">
        <f>E41-E39</f>
        <v>61427271.092670202</v>
      </c>
      <c r="F47" s="88"/>
      <c r="G47" s="33">
        <f>G41-G39</f>
        <v>60076139.508703232</v>
      </c>
      <c r="H47" s="20"/>
      <c r="I47" s="89">
        <f>I41-I39</f>
        <v>1351131.5839667432</v>
      </c>
      <c r="J47" s="90">
        <f>J41-J39</f>
        <v>0.19499364382859641</v>
      </c>
      <c r="K47" s="91">
        <f>ROUND(K41-K39,0)</f>
        <v>3822331</v>
      </c>
      <c r="L47" s="30"/>
    </row>
    <row r="48" spans="2:12" x14ac:dyDescent="0.3">
      <c r="B48" s="92">
        <f>ROW()</f>
        <v>48</v>
      </c>
      <c r="C48" s="93"/>
      <c r="D48" s="94"/>
      <c r="E48" s="95"/>
      <c r="F48" s="94"/>
      <c r="G48" s="96"/>
      <c r="H48" s="97"/>
      <c r="I48" s="98"/>
      <c r="J48" s="98"/>
      <c r="K48" s="97">
        <v>0</v>
      </c>
      <c r="L48" s="99"/>
    </row>
    <row r="49" spans="2:12" x14ac:dyDescent="0.3">
      <c r="B49" s="100">
        <f>ROW()</f>
        <v>49</v>
      </c>
      <c r="K49" s="1"/>
    </row>
    <row r="50" spans="2:12" x14ac:dyDescent="0.3">
      <c r="B50" s="100">
        <f>ROW()</f>
        <v>50</v>
      </c>
      <c r="E50" s="101"/>
      <c r="I50" s="102" t="s">
        <v>11</v>
      </c>
      <c r="J50" s="103"/>
      <c r="K50" s="104"/>
    </row>
    <row r="51" spans="2:12" x14ac:dyDescent="0.3">
      <c r="B51" s="100">
        <f>ROW()</f>
        <v>51</v>
      </c>
      <c r="I51" s="105" t="s">
        <v>22</v>
      </c>
      <c r="J51" s="105"/>
      <c r="K51" s="105" t="s">
        <v>23</v>
      </c>
    </row>
    <row r="52" spans="2:12" x14ac:dyDescent="0.3">
      <c r="B52" s="100">
        <f>ROW()</f>
        <v>52</v>
      </c>
      <c r="E52" s="106" t="s">
        <v>24</v>
      </c>
      <c r="F52" s="31"/>
      <c r="H52" s="107"/>
      <c r="I52" s="108">
        <f>ROUNDDOWN(K17+K38,0)</f>
        <v>-7163154</v>
      </c>
      <c r="J52" s="108"/>
      <c r="K52" s="108">
        <f>ROUND(+I52+(I52/$I$56*$K$47),0)</f>
        <v>-7529768</v>
      </c>
    </row>
    <row r="53" spans="2:12" x14ac:dyDescent="0.3">
      <c r="B53" s="100">
        <f>ROW()</f>
        <v>53</v>
      </c>
      <c r="E53" s="106" t="s">
        <v>25</v>
      </c>
      <c r="F53" s="31"/>
      <c r="H53" s="107"/>
      <c r="I53" s="109">
        <f>ROUNDDOWN(+K20+K36+K19+K37,0)</f>
        <v>-5389098</v>
      </c>
      <c r="J53" s="109"/>
      <c r="K53" s="109">
        <f>ROUND(+I53+(I53/$I$56*$K$47),0)</f>
        <v>-5664915</v>
      </c>
    </row>
    <row r="54" spans="2:12" x14ac:dyDescent="0.3">
      <c r="B54" s="100">
        <f>ROW()</f>
        <v>54</v>
      </c>
      <c r="E54" s="106" t="s">
        <v>26</v>
      </c>
      <c r="F54" s="31"/>
      <c r="H54" s="107"/>
      <c r="I54" s="109">
        <f>ROUND(K18+K21+K22+K23+K29+K30+K33+K34+K62,0)</f>
        <v>84185967</v>
      </c>
      <c r="J54" s="109"/>
      <c r="K54" s="109">
        <f>ROUND(+I54+(I54/$I$56*$K$47),0)+K64</f>
        <v>88494643</v>
      </c>
    </row>
    <row r="55" spans="2:12" x14ac:dyDescent="0.3">
      <c r="B55" s="100">
        <f>ROW()</f>
        <v>55</v>
      </c>
      <c r="E55" s="106" t="s">
        <v>27</v>
      </c>
      <c r="F55" s="31"/>
      <c r="G55" s="110"/>
      <c r="H55" s="107"/>
      <c r="I55" s="109">
        <f>ROUND(SUM(K24:K28,K31,K35,K32),0)</f>
        <v>3049676</v>
      </c>
      <c r="J55" s="109"/>
      <c r="K55" s="109">
        <f>ROUND(+I55+(I55/$I$56*$K$47),0)</f>
        <v>3205760</v>
      </c>
    </row>
    <row r="56" spans="2:12" ht="13.5" thickBot="1" x14ac:dyDescent="0.35">
      <c r="B56" s="100">
        <f>ROW()</f>
        <v>56</v>
      </c>
      <c r="I56" s="111">
        <f>SUM(I52:I55)</f>
        <v>74683391</v>
      </c>
      <c r="J56" s="111"/>
      <c r="K56" s="111">
        <f>SUM(K52:K55)</f>
        <v>78505720</v>
      </c>
    </row>
    <row r="57" spans="2:12" ht="13.5" thickTop="1" x14ac:dyDescent="0.3">
      <c r="B57" s="100">
        <f>ROW()</f>
        <v>57</v>
      </c>
      <c r="I57" s="21">
        <f>ROUNDDOWN(I56-K39,0)+K64</f>
        <v>0</v>
      </c>
      <c r="J57" s="21"/>
      <c r="K57" s="21">
        <f>ROUND(K56-K41,0)</f>
        <v>0</v>
      </c>
    </row>
    <row r="58" spans="2:12" x14ac:dyDescent="0.3">
      <c r="B58" s="100">
        <f>ROW()</f>
        <v>58</v>
      </c>
      <c r="G58" s="3" t="s">
        <v>28</v>
      </c>
      <c r="H58" s="2" t="s">
        <v>19</v>
      </c>
      <c r="I58" s="108">
        <f>ROUND(SUMIF($D$17:$D$38,G58,$K$17:$K$38),0)+K65</f>
        <v>-9394308</v>
      </c>
      <c r="J58" s="108"/>
      <c r="K58" s="108">
        <f>ROUND(+I58+(I58/$I$56*$K$47),0)</f>
        <v>-9875113</v>
      </c>
    </row>
    <row r="59" spans="2:12" x14ac:dyDescent="0.3">
      <c r="B59" s="100">
        <f>ROW()</f>
        <v>59</v>
      </c>
      <c r="G59" s="3" t="s">
        <v>29</v>
      </c>
      <c r="H59" s="2" t="s">
        <v>20</v>
      </c>
      <c r="I59" s="109">
        <f>ROUND(SUMIF($D$17:$D$38,G59,$K$17:$K$38),0)</f>
        <v>84077697</v>
      </c>
      <c r="J59" s="109"/>
      <c r="K59" s="109">
        <f>ROUND(+I59+(I59/$I$56*$K$47),0)</f>
        <v>88380833</v>
      </c>
    </row>
    <row r="60" spans="2:12" ht="13.5" thickBot="1" x14ac:dyDescent="0.35">
      <c r="B60" s="100">
        <f>ROW()</f>
        <v>60</v>
      </c>
      <c r="I60" s="111">
        <f>SUM(I58:I59)</f>
        <v>74683389</v>
      </c>
      <c r="J60" s="111"/>
      <c r="K60" s="111">
        <f>SUM(K58:K59)</f>
        <v>78505720</v>
      </c>
    </row>
    <row r="61" spans="2:12" ht="13.5" thickTop="1" x14ac:dyDescent="0.3">
      <c r="B61" s="100">
        <f>ROW()</f>
        <v>61</v>
      </c>
      <c r="I61" s="112">
        <f>ROUND(I60-K39,0)</f>
        <v>0</v>
      </c>
      <c r="J61" s="112"/>
      <c r="K61" s="112">
        <f>ROUND(K60-K41,-2)</f>
        <v>0</v>
      </c>
    </row>
    <row r="62" spans="2:12" x14ac:dyDescent="0.3">
      <c r="B62" s="113"/>
      <c r="C62" s="113"/>
      <c r="D62" s="113"/>
      <c r="E62" s="113"/>
      <c r="F62" s="113"/>
      <c r="G62" s="113"/>
      <c r="H62" s="113"/>
      <c r="I62" s="113"/>
      <c r="J62" s="113"/>
      <c r="K62" s="113"/>
    </row>
    <row r="63" spans="2:12" hidden="1" outlineLevel="1" x14ac:dyDescent="0.3">
      <c r="B63" s="113"/>
      <c r="C63" s="113"/>
      <c r="D63" s="113"/>
      <c r="E63" s="113"/>
      <c r="F63" s="113"/>
      <c r="G63" s="113"/>
      <c r="H63" s="113"/>
      <c r="I63" s="113"/>
      <c r="J63" s="113"/>
      <c r="K63" s="114">
        <v>-16214</v>
      </c>
      <c r="L63" s="99" t="s">
        <v>30</v>
      </c>
    </row>
    <row r="64" spans="2:12" hidden="1" outlineLevel="1" x14ac:dyDescent="0.3">
      <c r="B64" s="113"/>
      <c r="C64" s="113"/>
      <c r="D64" s="113"/>
      <c r="E64" s="113"/>
      <c r="F64" s="113"/>
      <c r="G64" s="113"/>
      <c r="H64" s="113"/>
      <c r="I64" s="113"/>
      <c r="J64" s="113"/>
      <c r="K64" s="114">
        <v>-1</v>
      </c>
      <c r="L64" s="99" t="s">
        <v>30</v>
      </c>
    </row>
    <row r="65" spans="2:12" collapsed="1" x14ac:dyDescent="0.3">
      <c r="B65" s="113"/>
      <c r="C65" s="113"/>
      <c r="D65" s="113"/>
      <c r="E65" s="113"/>
      <c r="F65" s="113"/>
      <c r="G65" s="113"/>
      <c r="H65" s="113"/>
      <c r="I65" s="113"/>
      <c r="J65" s="113"/>
      <c r="K65" s="114"/>
      <c r="L65" s="99"/>
    </row>
    <row r="67" spans="2:12" x14ac:dyDescent="0.3">
      <c r="C67" s="113"/>
      <c r="D67" s="113"/>
      <c r="E67" s="113"/>
      <c r="F67" s="113"/>
      <c r="G67" s="113"/>
      <c r="H67" s="113"/>
      <c r="I67" s="113"/>
      <c r="J67" s="113"/>
      <c r="K67" s="113"/>
    </row>
    <row r="68" spans="2:12" x14ac:dyDescent="0.3">
      <c r="C68" s="113"/>
      <c r="D68" s="113"/>
      <c r="E68" s="113"/>
      <c r="F68" s="113"/>
      <c r="G68" s="113"/>
      <c r="H68" s="113"/>
      <c r="I68" s="113"/>
      <c r="J68" s="113"/>
      <c r="K68" s="113"/>
    </row>
    <row r="69" spans="2:12" x14ac:dyDescent="0.3">
      <c r="C69" s="113"/>
      <c r="D69" s="113"/>
      <c r="E69" s="113"/>
      <c r="F69" s="113"/>
      <c r="G69" s="113"/>
      <c r="H69" s="113"/>
      <c r="I69" s="113"/>
      <c r="J69" s="113"/>
      <c r="K69" s="113"/>
    </row>
    <row r="70" spans="2:12" x14ac:dyDescent="0.3">
      <c r="C70" s="113"/>
      <c r="D70" s="113"/>
      <c r="E70" s="113"/>
      <c r="F70" s="113"/>
      <c r="G70" s="113"/>
      <c r="H70" s="113"/>
      <c r="I70" s="113"/>
      <c r="J70" s="113"/>
      <c r="K70" s="113"/>
    </row>
    <row r="71" spans="2:12" x14ac:dyDescent="0.3">
      <c r="C71" s="113"/>
      <c r="D71" s="113"/>
      <c r="E71" s="113"/>
      <c r="F71" s="113"/>
      <c r="G71" s="113"/>
      <c r="H71" s="113"/>
      <c r="I71" s="113"/>
      <c r="J71" s="113"/>
      <c r="K71" s="113"/>
    </row>
    <row r="72" spans="2:12" x14ac:dyDescent="0.3">
      <c r="C72" s="113"/>
      <c r="D72" s="113"/>
      <c r="E72" s="113"/>
      <c r="F72" s="113"/>
      <c r="G72" s="113"/>
      <c r="H72" s="113"/>
      <c r="I72" s="113"/>
      <c r="J72" s="113"/>
      <c r="K72" s="113"/>
    </row>
    <row r="73" spans="2:12" x14ac:dyDescent="0.3">
      <c r="C73" s="113"/>
      <c r="D73" s="113"/>
      <c r="E73" s="113"/>
      <c r="F73" s="113"/>
      <c r="G73" s="113"/>
      <c r="H73" s="113"/>
      <c r="I73" s="113"/>
      <c r="J73" s="113"/>
      <c r="K73" s="113"/>
    </row>
    <row r="74" spans="2:12" x14ac:dyDescent="0.3">
      <c r="C74" s="113"/>
      <c r="D74" s="113"/>
      <c r="E74" s="113"/>
      <c r="F74" s="113"/>
      <c r="G74" s="113"/>
      <c r="H74" s="113"/>
      <c r="I74" s="113"/>
      <c r="J74" s="113"/>
      <c r="K74" s="113"/>
    </row>
    <row r="75" spans="2:12" x14ac:dyDescent="0.3">
      <c r="C75" s="113"/>
      <c r="D75" s="113"/>
      <c r="E75" s="113"/>
      <c r="F75" s="113"/>
      <c r="G75" s="113"/>
      <c r="H75" s="113"/>
      <c r="I75" s="113"/>
      <c r="J75" s="113"/>
      <c r="K75" s="113"/>
    </row>
    <row r="76" spans="2:12" x14ac:dyDescent="0.3">
      <c r="C76" s="113"/>
      <c r="D76" s="113"/>
      <c r="E76" s="113"/>
      <c r="F76" s="113"/>
      <c r="G76" s="113"/>
      <c r="H76" s="113"/>
      <c r="I76" s="113"/>
      <c r="J76" s="113"/>
      <c r="K76" s="113"/>
    </row>
    <row r="77" spans="2:12" x14ac:dyDescent="0.3">
      <c r="C77" s="113"/>
      <c r="D77" s="113"/>
      <c r="E77" s="113"/>
      <c r="F77" s="113"/>
      <c r="G77" s="113"/>
      <c r="H77" s="113"/>
      <c r="I77" s="113"/>
      <c r="J77" s="113"/>
      <c r="K77" s="113"/>
    </row>
  </sheetData>
  <conditionalFormatting sqref="K48 I61:K61">
    <cfRule type="cellIs" dxfId="3" priority="12" operator="notEqual">
      <formula>0</formula>
    </cfRule>
  </conditionalFormatting>
  <conditionalFormatting sqref="I57:K57">
    <cfRule type="cellIs" dxfId="2" priority="11" operator="notEqual">
      <formula>0</formula>
    </cfRule>
  </conditionalFormatting>
  <conditionalFormatting sqref="K7">
    <cfRule type="cellIs" dxfId="1" priority="10" operator="notEqual">
      <formula>0</formula>
    </cfRule>
  </conditionalFormatting>
  <conditionalFormatting sqref="K5">
    <cfRule type="cellIs" dxfId="0" priority="9" operator="notEqual">
      <formula>0</formula>
    </cfRule>
  </conditionalFormatting>
  <printOptions horizontalCentered="1"/>
  <pageMargins left="0.45" right="0.45" top="1" bottom="0.5" header="0.3" footer="0.3"/>
  <pageSetup scale="64" orientation="portrait" r:id="rId1"/>
  <headerFooter scaleWithDoc="0" alignWithMargins="0">
    <oddFooter>&amp;R&amp;"Times New Roman,Regular"&amp;12Exh. SEF-7
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CEC670A07C8741A0A1EFA2BDED223F" ma:contentTypeVersion="52" ma:contentTypeDescription="" ma:contentTypeScope="" ma:versionID="927cded01bfc5deeb4be15284727719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2020-12-09T08:00:00+00:00</OpenedDate>
    <SignificantOrder xmlns="dc463f71-b30c-4ab2-9473-d307f9d35888">false</SignificantOrder>
    <Date1 xmlns="dc463f71-b30c-4ab2-9473-d307f9d35888">2020-12-09T08:00:00+00:00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200980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9294696-2BF9-426E-90BA-8692CAE082BE}"/>
</file>

<file path=customXml/itemProps2.xml><?xml version="1.0" encoding="utf-8"?>
<ds:datastoreItem xmlns:ds="http://schemas.openxmlformats.org/officeDocument/2006/customXml" ds:itemID="{6AC48C54-50AB-4908-BE16-834B20987334}"/>
</file>

<file path=customXml/itemProps3.xml><?xml version="1.0" encoding="utf-8"?>
<ds:datastoreItem xmlns:ds="http://schemas.openxmlformats.org/officeDocument/2006/customXml" ds:itemID="{F8ECD213-019B-4CA6-AE61-8E229431454C}"/>
</file>

<file path=customXml/itemProps4.xml><?xml version="1.0" encoding="utf-8"?>
<ds:datastoreItem xmlns:ds="http://schemas.openxmlformats.org/officeDocument/2006/customXml" ds:itemID="{263BDC97-7BE3-4A0E-9140-D03ED4B201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SEF-7 A-1 Compare</vt:lpstr>
      <vt:lpstr>_PC_BaselineComparison</vt:lpstr>
      <vt:lpstr>'SEF-7 A-1 Compare'!Print_Area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Free, Susan</dc:creator>
  <cp:lastModifiedBy>Steele, David S. (BEL)</cp:lastModifiedBy>
  <cp:lastPrinted>2020-12-06T00:01:45Z</cp:lastPrinted>
  <dcterms:created xsi:type="dcterms:W3CDTF">2020-12-05T00:14:27Z</dcterms:created>
  <dcterms:modified xsi:type="dcterms:W3CDTF">2020-12-08T22:32:57Z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0x0101006E56B4D1795A2E4DB2F0B01679ED314A009CCEC670A07C8741A0A1EFA2BDED223F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