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1\03.2021\"/>
    </mc:Choice>
  </mc:AlternateContent>
  <xr:revisionPtr revIDLastSave="0" documentId="13_ncr:1_{D4533AE1-B38A-4D2F-8664-20DD54CEA854}" xr6:coauthVersionLast="44" xr6:coauthVersionMax="44" xr10:uidLastSave="{00000000-0000-0000-0000-000000000000}"/>
  <bookViews>
    <workbookView xWindow="-120" yWindow="-120" windowWidth="29040" windowHeight="15840" tabRatio="772" activeTab="3" xr2:uid="{00000000-000D-0000-FFFF-FFFF00000000}"/>
  </bookViews>
  <sheets>
    <sheet name="Jan" sheetId="59" r:id="rId1"/>
    <sheet name="Feb" sheetId="60" r:id="rId2"/>
    <sheet name="Mar" sheetId="61" r:id="rId3"/>
    <sheet name="191010 WA DEF" sheetId="39" r:id="rId4"/>
    <sheet name="191000 WA Amort" sheetId="41" r:id="rId5"/>
  </sheets>
  <externalReferences>
    <externalReference r:id="rId6"/>
    <externalReference r:id="rId7"/>
    <externalReference r:id="rId8"/>
  </externalReferences>
  <definedNames>
    <definedName name="Actual_Cost_Per_MMBtu" localSheetId="4">'[1]Oregon Gas Costs - 1999'!#REF!</definedName>
    <definedName name="Actual_Cost_Per_MMBtu" localSheetId="1">'[1]Oregon Gas Costs - 1999'!#REF!</definedName>
    <definedName name="Actual_Cost_Per_MMBtu" localSheetId="0">'[1]Oregon Gas Costs - 1999'!#REF!</definedName>
    <definedName name="Actual_Cost_Per_MMBtu" localSheetId="2">'[1]Oregon Gas Costs - 1999'!#REF!</definedName>
    <definedName name="Actual_Cost_Per_MMBtu">'[1]Oregon Gas Costs - 1999'!#REF!</definedName>
    <definedName name="Actual_Gas_Costs" localSheetId="4">#REF!</definedName>
    <definedName name="Actual_Gas_Costs" localSheetId="1">#REF!</definedName>
    <definedName name="Actual_Gas_Costs" localSheetId="0">#REF!</definedName>
    <definedName name="Actual_Gas_Costs" localSheetId="2">#REF!</definedName>
    <definedName name="Actual_Gas_Costs">#REF!</definedName>
    <definedName name="Actual_Volumes" localSheetId="4">#REF!</definedName>
    <definedName name="Actual_Volumes" localSheetId="1">#REF!</definedName>
    <definedName name="Actual_Volumes" localSheetId="0">#REF!</definedName>
    <definedName name="Actual_Volumes" localSheetId="2">#REF!</definedName>
    <definedName name="Actual_Volumes">#REF!</definedName>
    <definedName name="Analysis_of_Year_to_Date_Gas_Costs___WWP_System" localSheetId="4">#REF!</definedName>
    <definedName name="Analysis_of_Year_to_Date_Gas_Costs___WWP_System" localSheetId="1">#REF!</definedName>
    <definedName name="Analysis_of_Year_to_Date_Gas_Costs___WWP_System" localSheetId="0">#REF!</definedName>
    <definedName name="Analysis_of_Year_to_Date_Gas_Costs___WWP_System" localSheetId="2">#REF!</definedName>
    <definedName name="Analysis_of_Year_to_Date_Gas_Costs___WWP_System">#REF!</definedName>
    <definedName name="Balancing_Account_Summary" localSheetId="4">#REF!</definedName>
    <definedName name="Balancing_Account_Summary" localSheetId="1">#REF!</definedName>
    <definedName name="Balancing_Account_Summary" localSheetId="0">#REF!</definedName>
    <definedName name="Balancing_Account_Summary" localSheetId="2">#REF!</definedName>
    <definedName name="Balancing_Account_Summary">#REF!</definedName>
    <definedName name="Budgeted_Costs_Volumes" localSheetId="4">#REF!</definedName>
    <definedName name="Budgeted_Costs_Volumes" localSheetId="1">#REF!</definedName>
    <definedName name="Budgeted_Costs_Volumes" localSheetId="0">#REF!</definedName>
    <definedName name="Budgeted_Costs_Volumes" localSheetId="2">#REF!</definedName>
    <definedName name="Budgeted_Costs_Volumes">#REF!</definedName>
    <definedName name="Commodity_Costs" localSheetId="4">#REF!</definedName>
    <definedName name="Commodity_Costs" localSheetId="1">#REF!</definedName>
    <definedName name="Commodity_Costs" localSheetId="0">#REF!</definedName>
    <definedName name="Commodity_Costs" localSheetId="2">#REF!</definedName>
    <definedName name="Commodity_Costs">#REF!</definedName>
    <definedName name="_xlnm.Database" localSheetId="4">'[2]May 2000'!#REF!</definedName>
    <definedName name="_xlnm.Database" localSheetId="1">'[2]May 2000'!#REF!</definedName>
    <definedName name="_xlnm.Database" localSheetId="0">'[2]May 2000'!#REF!</definedName>
    <definedName name="_xlnm.Database" localSheetId="2">'[2]May 2000'!#REF!</definedName>
    <definedName name="_xlnm.Database">'[2]May 2000'!#REF!</definedName>
    <definedName name="EIA857_Report_Info" localSheetId="4">#REF!</definedName>
    <definedName name="EIA857_Report_Info" localSheetId="1">#REF!</definedName>
    <definedName name="EIA857_Report_Info" localSheetId="0">#REF!</definedName>
    <definedName name="EIA857_Report_Info" localSheetId="2">#REF!</definedName>
    <definedName name="EIA857_Report_Info">#REF!</definedName>
    <definedName name="InputMonth">[3]Start!$B$2</definedName>
    <definedName name="JanJunPretaxRate">[3]Start!$C$7</definedName>
    <definedName name="jj" localSheetId="4">'[1]Oregon Gas Costs - 1999'!#REF!</definedName>
    <definedName name="jj" localSheetId="1">'[1]Oregon Gas Costs - 1999'!#REF!</definedName>
    <definedName name="jj" localSheetId="0">'[1]Oregon Gas Costs - 1999'!#REF!</definedName>
    <definedName name="jj" localSheetId="2">'[1]Oregon Gas Costs - 1999'!#REF!</definedName>
    <definedName name="jj">'[1]Oregon Gas Costs - 1999'!#REF!</definedName>
    <definedName name="Journal_Entry_Dollars" localSheetId="4">#REF!</definedName>
    <definedName name="Journal_Entry_Dollars" localSheetId="1">#REF!</definedName>
    <definedName name="Journal_Entry_Dollars" localSheetId="0">#REF!</definedName>
    <definedName name="Journal_Entry_Dollars" localSheetId="2">#REF!</definedName>
    <definedName name="Journal_Entry_Dollars">#REF!</definedName>
    <definedName name="Journal_Entry_Volumes" localSheetId="4">#REF!</definedName>
    <definedName name="Journal_Entry_Volumes" localSheetId="1">#REF!</definedName>
    <definedName name="Journal_Entry_Volumes" localSheetId="0">#REF!</definedName>
    <definedName name="Journal_Entry_Volumes" localSheetId="2">#REF!</definedName>
    <definedName name="Journal_Entry_Volumes">#REF!</definedName>
    <definedName name="JournalEntryPrintArea" localSheetId="4">#REF!</definedName>
    <definedName name="JournalEntryPrintArea" localSheetId="1">#REF!</definedName>
    <definedName name="JournalEntryPrintArea" localSheetId="0">#REF!</definedName>
    <definedName name="JournalEntryPrintArea" localSheetId="2">#REF!</definedName>
    <definedName name="JournalEntryPrintArea">#REF!</definedName>
    <definedName name="JulDecPretaxRate">[3]Start!$C$8</definedName>
    <definedName name="Notes" localSheetId="4">#REF!</definedName>
    <definedName name="Notes" localSheetId="1">#REF!</definedName>
    <definedName name="Notes" localSheetId="0">#REF!</definedName>
    <definedName name="Notes" localSheetId="2">#REF!</definedName>
    <definedName name="Notes">#REF!</definedName>
    <definedName name="_xlnm.Print_Area" localSheetId="4">'191000 WA Amort'!$A$1:$S$45</definedName>
    <definedName name="_xlnm.Print_Area" localSheetId="3">'191010 WA DEF'!$A$1:$L$45</definedName>
    <definedName name="_xlnm.Print_Area" localSheetId="1">Feb!$A$1:$M$65</definedName>
    <definedName name="_xlnm.Print_Area" localSheetId="0">Jan!$A$1:$M$65</definedName>
    <definedName name="_xlnm.Print_Area" localSheetId="2">Mar!$A$1:$M$65</definedName>
    <definedName name="_xlnm.Print_Titles" localSheetId="1">Feb!$1:$2</definedName>
    <definedName name="_xlnm.Print_Titles" localSheetId="0">Jan!$1:$2</definedName>
    <definedName name="_xlnm.Print_Titles" localSheetId="2">Mar!$1:$2</definedName>
    <definedName name="SPREADSHEET_DOCUMENTATION" localSheetId="4">#REF!</definedName>
    <definedName name="SPREADSHEET_DOCUMENTATION" localSheetId="1">#REF!</definedName>
    <definedName name="SPREADSHEET_DOCUMENTATION" localSheetId="0">#REF!</definedName>
    <definedName name="SPREADSHEET_DOCUMENTATION" localSheetId="2">#REF!</definedName>
    <definedName name="SPREADSHEET_DOCUMENTATION">#REF!</definedName>
    <definedName name="Summary_of_Off_system_Sales" localSheetId="4">'[1]Oregon Gas Costs - 1999'!#REF!</definedName>
    <definedName name="Summary_of_Off_system_Sales" localSheetId="1">'[1]Oregon Gas Costs - 1999'!#REF!</definedName>
    <definedName name="Summary_of_Off_system_Sales" localSheetId="0">'[1]Oregon Gas Costs - 1999'!#REF!</definedName>
    <definedName name="Summary_of_Off_system_Sales" localSheetId="2">'[1]Oregon Gas Costs - 1999'!#REF!</definedName>
    <definedName name="Summary_of_Off_system_Sales">'[1]Oregon Gas Costs - 1999'!#REF!</definedName>
    <definedName name="Transportation_Costs" localSheetId="4">#REF!</definedName>
    <definedName name="Transportation_Costs" localSheetId="1">#REF!</definedName>
    <definedName name="Transportation_Costs" localSheetId="0">#REF!</definedName>
    <definedName name="Transportation_Costs" localSheetId="2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61" l="1"/>
  <c r="K10" i="61"/>
  <c r="C35" i="61"/>
  <c r="C52" i="61"/>
  <c r="C42" i="61"/>
  <c r="C31" i="61"/>
  <c r="C6" i="61"/>
  <c r="F21" i="41" l="1"/>
  <c r="K37" i="61"/>
  <c r="K38" i="61"/>
  <c r="K39" i="61"/>
  <c r="K40" i="61"/>
  <c r="K36" i="61"/>
  <c r="G37" i="61"/>
  <c r="G38" i="61"/>
  <c r="G39" i="61"/>
  <c r="G40" i="61"/>
  <c r="G41" i="61"/>
  <c r="G36" i="61"/>
  <c r="C51" i="61"/>
  <c r="C1487" i="61" l="1"/>
  <c r="K41" i="61"/>
  <c r="K43" i="61" s="1"/>
  <c r="C41" i="61"/>
  <c r="G42" i="61"/>
  <c r="I37" i="61"/>
  <c r="M36" i="61"/>
  <c r="I36" i="61"/>
  <c r="C50" i="61"/>
  <c r="G30" i="61"/>
  <c r="G32" i="61" s="1"/>
  <c r="I29" i="61"/>
  <c r="K28" i="61"/>
  <c r="K30" i="61" s="1"/>
  <c r="I28" i="61"/>
  <c r="I27" i="61"/>
  <c r="C27" i="61"/>
  <c r="I26" i="61"/>
  <c r="I25" i="61"/>
  <c r="I24" i="61"/>
  <c r="M23" i="61"/>
  <c r="I23" i="61"/>
  <c r="C22" i="61"/>
  <c r="C20" i="61"/>
  <c r="C17" i="61"/>
  <c r="C14" i="61"/>
  <c r="H11" i="61"/>
  <c r="L11" i="61" s="1"/>
  <c r="C11" i="61"/>
  <c r="C7" i="61"/>
  <c r="F1" i="61"/>
  <c r="C55" i="61" l="1"/>
  <c r="I30" i="61"/>
  <c r="I52" i="61" s="1"/>
  <c r="C30" i="61"/>
  <c r="C32" i="61" s="1"/>
  <c r="H7" i="61" s="1"/>
  <c r="J7" i="61" s="1"/>
  <c r="G44" i="61"/>
  <c r="K5" i="61"/>
  <c r="L5" i="61" s="1"/>
  <c r="I41" i="61"/>
  <c r="I39" i="61"/>
  <c r="M25" i="61"/>
  <c r="M38" i="61"/>
  <c r="M37" i="61"/>
  <c r="M24" i="61"/>
  <c r="I38" i="61"/>
  <c r="C12" i="60"/>
  <c r="C15" i="60"/>
  <c r="C18" i="60"/>
  <c r="I31" i="61" l="1"/>
  <c r="I7" i="61"/>
  <c r="I14" i="61" s="1"/>
  <c r="I51" i="61" s="1"/>
  <c r="I54" i="61" s="1"/>
  <c r="G21" i="39" s="1"/>
  <c r="M40" i="61"/>
  <c r="M39" i="61"/>
  <c r="M27" i="61"/>
  <c r="M26" i="61"/>
  <c r="M28" i="61" s="1"/>
  <c r="I40" i="61"/>
  <c r="I42" i="61" s="1"/>
  <c r="H9" i="61"/>
  <c r="C60" i="61"/>
  <c r="C62" i="61" s="1"/>
  <c r="C65" i="61" s="1"/>
  <c r="J14" i="61"/>
  <c r="K51" i="61" s="1"/>
  <c r="C35" i="60"/>
  <c r="M41" i="61" l="1"/>
  <c r="J15" i="61"/>
  <c r="H52" i="61"/>
  <c r="I43" i="61"/>
  <c r="M29" i="61"/>
  <c r="K52" i="61"/>
  <c r="K54" i="61" s="1"/>
  <c r="J52" i="61"/>
  <c r="M42" i="61"/>
  <c r="L9" i="61"/>
  <c r="L12" i="61" s="1"/>
  <c r="H12" i="61"/>
  <c r="K9" i="61"/>
  <c r="K12" i="61" s="1"/>
  <c r="C50" i="60"/>
  <c r="L14" i="61" l="1"/>
  <c r="J51" i="61"/>
  <c r="J54" i="61" s="1"/>
  <c r="H14" i="61"/>
  <c r="H15" i="61" s="1"/>
  <c r="H51" i="61"/>
  <c r="K14" i="61"/>
  <c r="L52" i="61"/>
  <c r="C42" i="60"/>
  <c r="C6" i="60"/>
  <c r="L15" i="61" l="1"/>
  <c r="K55" i="61"/>
  <c r="L51" i="61"/>
  <c r="H54" i="61"/>
  <c r="F21" i="39" s="1"/>
  <c r="C21" i="60"/>
  <c r="C9" i="60"/>
  <c r="I55" i="61" l="1"/>
  <c r="L54" i="61"/>
  <c r="F20" i="41"/>
  <c r="C49" i="60"/>
  <c r="C1483" i="60" l="1"/>
  <c r="K41" i="60"/>
  <c r="K43" i="60" s="1"/>
  <c r="C41" i="60"/>
  <c r="G40" i="60"/>
  <c r="G42" i="60" s="1"/>
  <c r="G44" i="60" s="1"/>
  <c r="L37" i="60"/>
  <c r="L38" i="60" s="1"/>
  <c r="H37" i="60"/>
  <c r="H38" i="60" s="1"/>
  <c r="M36" i="60"/>
  <c r="I36" i="60"/>
  <c r="C31" i="60"/>
  <c r="C48" i="60" s="1"/>
  <c r="G30" i="60"/>
  <c r="G32" i="60" s="1"/>
  <c r="I29" i="60"/>
  <c r="K28" i="60"/>
  <c r="K30" i="60" s="1"/>
  <c r="I28" i="60"/>
  <c r="I27" i="60"/>
  <c r="C27" i="60"/>
  <c r="I26" i="60"/>
  <c r="I25" i="60"/>
  <c r="L24" i="60"/>
  <c r="M24" i="60" s="1"/>
  <c r="I24" i="60"/>
  <c r="M23" i="60"/>
  <c r="I23" i="60"/>
  <c r="C22" i="60"/>
  <c r="C20" i="60"/>
  <c r="C17" i="60"/>
  <c r="C14" i="60"/>
  <c r="H11" i="60"/>
  <c r="L11" i="60" s="1"/>
  <c r="C11" i="60"/>
  <c r="H10" i="60"/>
  <c r="K10" i="60" s="1"/>
  <c r="C7" i="60"/>
  <c r="F1" i="60"/>
  <c r="L39" i="60" l="1"/>
  <c r="M38" i="60"/>
  <c r="I30" i="60"/>
  <c r="I52" i="60" s="1"/>
  <c r="L25" i="60"/>
  <c r="M37" i="60"/>
  <c r="C52" i="60"/>
  <c r="H9" i="60" s="1"/>
  <c r="I38" i="60"/>
  <c r="H39" i="60"/>
  <c r="C30" i="60"/>
  <c r="C32" i="60" s="1"/>
  <c r="H7" i="60" s="1"/>
  <c r="L40" i="60"/>
  <c r="M40" i="60" s="1"/>
  <c r="M39" i="60"/>
  <c r="K5" i="60"/>
  <c r="L5" i="60" s="1"/>
  <c r="I37" i="60"/>
  <c r="C49" i="59"/>
  <c r="C50" i="59"/>
  <c r="C42" i="59"/>
  <c r="C15" i="59"/>
  <c r="C12" i="59"/>
  <c r="C18" i="59"/>
  <c r="C6" i="59"/>
  <c r="C21" i="59"/>
  <c r="K9" i="60" l="1"/>
  <c r="K12" i="60" s="1"/>
  <c r="H51" i="60" s="1"/>
  <c r="M41" i="60"/>
  <c r="M42" i="60" s="1"/>
  <c r="I31" i="60"/>
  <c r="M25" i="60"/>
  <c r="L26" i="60"/>
  <c r="C56" i="60"/>
  <c r="C58" i="60" s="1"/>
  <c r="C61" i="60" s="1"/>
  <c r="H40" i="60"/>
  <c r="I39" i="60"/>
  <c r="J7" i="60"/>
  <c r="I7" i="60"/>
  <c r="I14" i="60" s="1"/>
  <c r="I51" i="60" s="1"/>
  <c r="I54" i="60" s="1"/>
  <c r="G20" i="39" s="1"/>
  <c r="L9" i="60"/>
  <c r="L12" i="60" s="1"/>
  <c r="H12" i="60"/>
  <c r="F19" i="41"/>
  <c r="I25" i="59"/>
  <c r="M36" i="59"/>
  <c r="M23" i="59"/>
  <c r="I36" i="59"/>
  <c r="I24" i="59"/>
  <c r="I26" i="59"/>
  <c r="I27" i="59"/>
  <c r="I28" i="59"/>
  <c r="I29" i="59"/>
  <c r="I23" i="59"/>
  <c r="J52" i="60" l="1"/>
  <c r="M26" i="60"/>
  <c r="L27" i="60"/>
  <c r="M27" i="60" s="1"/>
  <c r="M28" i="60"/>
  <c r="J14" i="60"/>
  <c r="K51" i="60" s="1"/>
  <c r="J15" i="60"/>
  <c r="H14" i="60"/>
  <c r="H15" i="60" s="1"/>
  <c r="K14" i="60"/>
  <c r="J51" i="60"/>
  <c r="L14" i="60"/>
  <c r="H41" i="60"/>
  <c r="I41" i="60" s="1"/>
  <c r="I40" i="60"/>
  <c r="I42" i="60" s="1"/>
  <c r="H52" i="60" s="1"/>
  <c r="C1483" i="59"/>
  <c r="K41" i="59"/>
  <c r="K43" i="59" s="1"/>
  <c r="C41" i="59"/>
  <c r="G40" i="59"/>
  <c r="G42" i="59" s="1"/>
  <c r="L37" i="59"/>
  <c r="H37" i="59"/>
  <c r="I30" i="59"/>
  <c r="G30" i="59"/>
  <c r="G32" i="59" s="1"/>
  <c r="K28" i="59"/>
  <c r="K30" i="59" s="1"/>
  <c r="C27" i="59"/>
  <c r="L24" i="59"/>
  <c r="C22" i="59"/>
  <c r="C20" i="59"/>
  <c r="C17" i="59"/>
  <c r="C14" i="59"/>
  <c r="H11" i="59"/>
  <c r="L11" i="59" s="1"/>
  <c r="H10" i="59"/>
  <c r="K10" i="59" s="1"/>
  <c r="C11" i="59"/>
  <c r="C7" i="59"/>
  <c r="F1" i="59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N31" i="41" s="1"/>
  <c r="K19" i="41"/>
  <c r="K31" i="41" s="1"/>
  <c r="H19" i="41"/>
  <c r="H31" i="41" s="1"/>
  <c r="A20" i="39"/>
  <c r="J54" i="60" l="1"/>
  <c r="A21" i="39"/>
  <c r="M29" i="60"/>
  <c r="K52" i="60"/>
  <c r="K54" i="60" s="1"/>
  <c r="L15" i="60"/>
  <c r="L51" i="60"/>
  <c r="I43" i="60"/>
  <c r="L38" i="59"/>
  <c r="M37" i="59"/>
  <c r="L25" i="59"/>
  <c r="M24" i="59"/>
  <c r="H38" i="59"/>
  <c r="I37" i="59"/>
  <c r="C30" i="59"/>
  <c r="I31" i="59"/>
  <c r="G44" i="59"/>
  <c r="K5" i="59"/>
  <c r="L5" i="59" s="1"/>
  <c r="I52" i="59"/>
  <c r="C31" i="59"/>
  <c r="C48" i="59" s="1"/>
  <c r="C52" i="59" s="1"/>
  <c r="H18" i="41"/>
  <c r="F18" i="41"/>
  <c r="A22" i="39" l="1"/>
  <c r="A23" i="39" s="1"/>
  <c r="A24" i="39" s="1"/>
  <c r="A25" i="39" s="1"/>
  <c r="A26" i="39" s="1"/>
  <c r="A27" i="39" s="1"/>
  <c r="A28" i="39" s="1"/>
  <c r="A29" i="39" s="1"/>
  <c r="A30" i="39" s="1"/>
  <c r="L52" i="60"/>
  <c r="K55" i="60"/>
  <c r="H54" i="60"/>
  <c r="F20" i="39" s="1"/>
  <c r="L39" i="59"/>
  <c r="M38" i="59"/>
  <c r="L26" i="59"/>
  <c r="M25" i="59"/>
  <c r="H39" i="59"/>
  <c r="I38" i="59"/>
  <c r="H9" i="59"/>
  <c r="C56" i="59"/>
  <c r="C32" i="59"/>
  <c r="H7" i="59" s="1"/>
  <c r="L54" i="60" l="1"/>
  <c r="I55" i="60"/>
  <c r="M39" i="59"/>
  <c r="L40" i="59"/>
  <c r="M40" i="59" s="1"/>
  <c r="M26" i="59"/>
  <c r="L27" i="59"/>
  <c r="M27" i="59" s="1"/>
  <c r="H40" i="59"/>
  <c r="I39" i="59"/>
  <c r="C58" i="59"/>
  <c r="C61" i="59" s="1"/>
  <c r="J7" i="59"/>
  <c r="I7" i="59"/>
  <c r="I14" i="59" s="1"/>
  <c r="I51" i="59" s="1"/>
  <c r="I54" i="59" s="1"/>
  <c r="G19" i="39" s="1"/>
  <c r="L9" i="59"/>
  <c r="L12" i="59" s="1"/>
  <c r="H12" i="59"/>
  <c r="K9" i="59"/>
  <c r="K12" i="59" s="1"/>
  <c r="M41" i="59" l="1"/>
  <c r="J52" i="59" s="1"/>
  <c r="M42" i="59"/>
  <c r="M28" i="59"/>
  <c r="H41" i="59"/>
  <c r="I41" i="59" s="1"/>
  <c r="I40" i="59"/>
  <c r="I42" i="59" s="1"/>
  <c r="J51" i="59"/>
  <c r="J54" i="59" s="1"/>
  <c r="L14" i="59"/>
  <c r="J15" i="59"/>
  <c r="J14" i="59"/>
  <c r="K51" i="59" s="1"/>
  <c r="H14" i="59"/>
  <c r="H15" i="59" s="1"/>
  <c r="K14" i="59"/>
  <c r="H51" i="59"/>
  <c r="K52" i="59" l="1"/>
  <c r="K54" i="59" s="1"/>
  <c r="M29" i="59"/>
  <c r="I43" i="59"/>
  <c r="H52" i="59"/>
  <c r="L52" i="59" s="1"/>
  <c r="L15" i="59"/>
  <c r="L51" i="59"/>
  <c r="H54" i="59"/>
  <c r="F19" i="39" s="1"/>
  <c r="K55" i="59" l="1"/>
  <c r="L54" i="59"/>
  <c r="I55" i="59"/>
  <c r="H17" i="41"/>
  <c r="F17" i="41" l="1"/>
  <c r="F16" i="41" l="1"/>
  <c r="F15" i="41" l="1"/>
  <c r="F14" i="41" l="1"/>
  <c r="F13" i="41" l="1"/>
  <c r="F12" i="41" l="1"/>
  <c r="B12" i="41" l="1"/>
  <c r="F11" i="41" l="1"/>
  <c r="B11" i="41" l="1"/>
  <c r="F10" i="41" l="1"/>
  <c r="B10" i="41" l="1"/>
  <c r="F9" i="41" l="1"/>
  <c r="B9" i="41" l="1"/>
  <c r="N7" i="41" l="1"/>
  <c r="K7" i="41"/>
  <c r="F8" i="41" l="1"/>
  <c r="B8" i="41" l="1"/>
  <c r="F7" i="41" l="1"/>
  <c r="H7" i="41" s="1"/>
  <c r="B7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s="1"/>
  <c r="A10" i="39" l="1"/>
  <c r="A11" i="39" l="1"/>
  <c r="A12" i="39" l="1"/>
  <c r="A13" i="39" l="1"/>
  <c r="A14" i="39" l="1"/>
  <c r="A15" i="39" l="1"/>
  <c r="A16" i="39" l="1"/>
  <c r="A17" i="39" l="1"/>
  <c r="A18" i="39" l="1"/>
  <c r="H44" i="41" l="1"/>
  <c r="I45" i="41" l="1"/>
  <c r="H39" i="41" l="1"/>
  <c r="I39" i="41"/>
  <c r="D31" i="39" l="1"/>
  <c r="F31" i="39"/>
  <c r="G31" i="39"/>
  <c r="F39" i="39" l="1"/>
  <c r="E39" i="39" l="1"/>
  <c r="H7" i="39" l="1"/>
  <c r="O7" i="41" l="1"/>
  <c r="P7" i="41" s="1"/>
  <c r="I7" i="39"/>
  <c r="E8" i="39" s="1"/>
  <c r="E8" i="41" l="1"/>
  <c r="O8" i="41" s="1"/>
  <c r="S7" i="41"/>
  <c r="H8" i="39"/>
  <c r="L7" i="39"/>
  <c r="I8" i="39" l="1"/>
  <c r="E9" i="39" s="1"/>
  <c r="H9" i="39" s="1"/>
  <c r="P8" i="41" l="1"/>
  <c r="L8" i="39"/>
  <c r="E9" i="41" l="1"/>
  <c r="O9" i="41" s="1"/>
  <c r="S8" i="41"/>
  <c r="I9" i="39" l="1"/>
  <c r="P9" i="41"/>
  <c r="E10" i="41" l="1"/>
  <c r="O10" i="41" s="1"/>
  <c r="S9" i="41"/>
  <c r="E10" i="39"/>
  <c r="H10" i="39" s="1"/>
  <c r="L9" i="39"/>
  <c r="I10" i="39" l="1"/>
  <c r="P10" i="41"/>
  <c r="E11" i="41" l="1"/>
  <c r="O11" i="41" s="1"/>
  <c r="S10" i="41"/>
  <c r="E11" i="39"/>
  <c r="H11" i="39" s="1"/>
  <c r="L10" i="39"/>
  <c r="I11" i="39" l="1"/>
  <c r="P11" i="41"/>
  <c r="E12" i="41" l="1"/>
  <c r="O12" i="41" s="1"/>
  <c r="S11" i="41"/>
  <c r="E12" i="39"/>
  <c r="H12" i="39" s="1"/>
  <c r="L11" i="39"/>
  <c r="P12" i="41" l="1"/>
  <c r="I12" i="39"/>
  <c r="E13" i="41" l="1"/>
  <c r="S12" i="41"/>
  <c r="E13" i="39"/>
  <c r="H13" i="39" s="1"/>
  <c r="L12" i="39"/>
  <c r="I13" i="39" l="1"/>
  <c r="O13" i="41"/>
  <c r="P13" i="41" l="1"/>
  <c r="E14" i="39"/>
  <c r="H14" i="39" s="1"/>
  <c r="L13" i="39"/>
  <c r="I14" i="39" l="1"/>
  <c r="E14" i="41"/>
  <c r="O14" i="41" s="1"/>
  <c r="S13" i="41"/>
  <c r="P14" i="41" l="1"/>
  <c r="E15" i="39"/>
  <c r="H15" i="39" s="1"/>
  <c r="L14" i="39"/>
  <c r="I15" i="39" l="1"/>
  <c r="E15" i="41"/>
  <c r="O15" i="41" s="1"/>
  <c r="S14" i="41"/>
  <c r="E16" i="39" l="1"/>
  <c r="H16" i="39" s="1"/>
  <c r="L15" i="39"/>
  <c r="P15" i="41"/>
  <c r="E16" i="41" l="1"/>
  <c r="O16" i="41" s="1"/>
  <c r="P16" i="41" s="1"/>
  <c r="S16" i="41" s="1"/>
  <c r="S15" i="41"/>
  <c r="I16" i="39"/>
  <c r="D17" i="39" s="1"/>
  <c r="E45" i="39" l="1"/>
  <c r="C17" i="41"/>
  <c r="E44" i="39"/>
  <c r="F45" i="39" s="1"/>
  <c r="E17" i="39"/>
  <c r="H17" i="39" s="1"/>
  <c r="L16" i="39"/>
  <c r="E17" i="41" l="1"/>
  <c r="I17" i="39"/>
  <c r="O17" i="41" l="1"/>
  <c r="P17" i="41" s="1"/>
  <c r="E18" i="39"/>
  <c r="H18" i="39" s="1"/>
  <c r="L17" i="39"/>
  <c r="S17" i="41" l="1"/>
  <c r="E18" i="41"/>
  <c r="O18" i="41" s="1"/>
  <c r="I18" i="39"/>
  <c r="L18" i="39" l="1"/>
  <c r="E19" i="39"/>
  <c r="H19" i="39" s="1"/>
  <c r="P18" i="41"/>
  <c r="S18" i="41" l="1"/>
  <c r="E19" i="41"/>
  <c r="O19" i="41" l="1"/>
  <c r="I19" i="39"/>
  <c r="L19" i="39" l="1"/>
  <c r="E20" i="39"/>
  <c r="H20" i="39" s="1"/>
  <c r="P19" i="41"/>
  <c r="E20" i="41" s="1"/>
  <c r="O20" i="41" s="1"/>
  <c r="P20" i="41" s="1"/>
  <c r="S19" i="41" l="1"/>
  <c r="S20" i="41"/>
  <c r="E21" i="41"/>
  <c r="O21" i="41" s="1"/>
  <c r="P21" i="41" s="1"/>
  <c r="S21" i="41" s="1"/>
  <c r="I20" i="39"/>
  <c r="H22" i="39"/>
  <c r="I22" i="39" s="1"/>
  <c r="L20" i="39" l="1"/>
  <c r="E21" i="39"/>
  <c r="H21" i="39" s="1"/>
  <c r="O31" i="41"/>
  <c r="H37" i="41" s="1"/>
  <c r="O22" i="41"/>
  <c r="P22" i="41" s="1"/>
  <c r="H23" i="39"/>
  <c r="I23" i="39" s="1"/>
  <c r="I38" i="41" l="1"/>
  <c r="I36" i="41"/>
  <c r="H38" i="41"/>
  <c r="I21" i="39"/>
  <c r="L21" i="39" s="1"/>
  <c r="H31" i="39"/>
  <c r="O23" i="41"/>
  <c r="P23" i="41" s="1"/>
  <c r="H24" i="39"/>
  <c r="I24" i="39" s="1"/>
  <c r="I41" i="41" l="1"/>
  <c r="F36" i="39"/>
  <c r="E38" i="39"/>
  <c r="E37" i="39"/>
  <c r="F38" i="39"/>
  <c r="O24" i="41"/>
  <c r="P24" i="41" s="1"/>
  <c r="H25" i="39"/>
  <c r="I25" i="39" s="1"/>
  <c r="F41" i="39" l="1"/>
  <c r="H62" i="60"/>
  <c r="O25" i="41"/>
  <c r="P25" i="41" s="1"/>
  <c r="H26" i="39"/>
  <c r="I26" i="39" s="1"/>
  <c r="H62" i="61" l="1"/>
  <c r="H62" i="59"/>
  <c r="I62" i="59"/>
  <c r="I62" i="61"/>
  <c r="I62" i="60"/>
  <c r="I63" i="60" s="1"/>
  <c r="O26" i="41"/>
  <c r="P26" i="41" s="1"/>
  <c r="H27" i="39"/>
  <c r="I27" i="39" s="1"/>
  <c r="I63" i="61" l="1"/>
  <c r="I63" i="59"/>
  <c r="O27" i="41"/>
  <c r="P27" i="41" s="1"/>
  <c r="H28" i="39"/>
  <c r="I28" i="39" s="1"/>
  <c r="O28" i="41" l="1"/>
  <c r="P28" i="41" s="1"/>
  <c r="H29" i="39"/>
  <c r="I29" i="39" s="1"/>
  <c r="O29" i="41" l="1"/>
  <c r="P29" i="41" s="1"/>
  <c r="H30" i="39"/>
  <c r="I30" i="39" s="1"/>
  <c r="O30" i="41" l="1"/>
  <c r="P30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D076CA49-87F0-4F99-A0DD-DE5E30524DE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I5" authorId="0" shapeId="0" xr:uid="{55D8C914-DBEE-46FC-9F69-16ACADCF1F8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C12" authorId="1" shapeId="0" xr:uid="{C3EB04B6-8F14-4919-9EBE-9ECB7EAF39F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156105.73
1532.53
(155330.53)
 to tie to WA/ID Gas Costs in relation to conversion month for new cashbook module</t>
        </r>
      </text>
    </comment>
    <comment ref="C15" authorId="1" shapeId="0" xr:uid="{F8B6C9D8-C51D-4003-AB4A-84A1CCAD51A8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423243.89
4155.09
(421142.15)
 to tie to WA/ID Gas Costs in relation to conversion month for new cashbook module</t>
        </r>
      </text>
    </comment>
    <comment ref="C18" authorId="1" shapeId="0" xr:uid="{AE551DAC-462E-4FBE-A59C-07997C84AB3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122281.35
1200.47
(105611.56)
 to tie to WA/ID Gas Costs in relation to conversion month for new cashbook module</t>
        </r>
      </text>
    </comment>
    <comment ref="C35" authorId="1" shapeId="0" xr:uid="{FFB7D4C2-4974-41CB-82E3-C0F8D47FF3E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$32964.40 to tie to WA/ID Gas Costs in relation to conversion month for new cashbook module</t>
        </r>
      </text>
    </comment>
    <comment ref="C50" authorId="1" shapeId="0" xr:uid="{CF32C559-C6E1-4E95-A8E5-D5A956E7EB2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$65.46 to tie to WA/ID Gas Costs in relation to conversion month for new cashbook module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I5" authorId="0" shapeId="0" xr:uid="{45649AF0-7F19-4BAE-BE79-7EDFC5AEE44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C52" authorId="1" shapeId="0" xr:uid="{740D4997-C125-4BA0-A6C8-5AC3D8E9B97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$8988.03 to tie to WA/ID Gas Costs in relation to Oracle GL FX &amp; PPA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P17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sharedStrings.xml><?xml version="1.0" encoding="utf-8"?>
<sst xmlns="http://schemas.openxmlformats.org/spreadsheetml/2006/main" count="646" uniqueCount="199">
  <si>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</si>
  <si>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</si>
  <si>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</si>
  <si>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</si>
  <si>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</si>
  <si>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</si>
  <si>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</si>
  <si>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</si>
  <si>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</si>
  <si>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</si>
  <si>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</si>
  <si>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</si>
  <si>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</si>
  <si>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</si>
  <si>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</si>
  <si>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</si>
  <si>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</si>
  <si>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</si>
  <si>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</si>
  <si>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</si>
  <si>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</si>
  <si>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</si>
  <si>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</si>
  <si>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</si>
  <si>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</si>
  <si>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</si>
  <si>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</si>
  <si>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</si>
  <si>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</si>
  <si>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</si>
  <si>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</si>
  <si>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</si>
  <si>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</si>
  <si>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</si>
  <si>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</si>
  <si>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</si>
  <si>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</si>
  <si>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</si>
  <si>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</si>
  <si>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</si>
  <si>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</si>
  <si>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</si>
  <si>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</si>
  <si>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</si>
  <si>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</si>
  <si>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</si>
  <si>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</si>
  <si>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</si>
  <si>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</si>
  <si>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</si>
  <si>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</si>
  <si>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</si>
  <si>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</si>
  <si>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</si>
  <si>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</si>
  <si>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</si>
  <si>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</si>
  <si>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</si>
  <si>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</si>
  <si>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</si>
  <si>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</si>
  <si>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</si>
  <si>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</si>
  <si>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</si>
  <si>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</si>
  <si>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</si>
  <si>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</si>
  <si>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</si>
  <si>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</si>
  <si>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</si>
  <si>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</si>
  <si>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</si>
  <si>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</si>
  <si>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</si>
  <si>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</si>
  <si>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</si>
  <si>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</si>
  <si>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</si>
  <si>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</si>
  <si>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</si>
  <si>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</si>
  <si>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804730 GD AN</t>
  </si>
  <si>
    <t>(overcollected)/undercollected</t>
  </si>
  <si>
    <t>(rebate)/surcharge</t>
  </si>
  <si>
    <t>NOVA Total</t>
  </si>
  <si>
    <t xml:space="preserve">Third party capacity release </t>
  </si>
  <si>
    <t>Other Pipeline Fixed charges</t>
  </si>
  <si>
    <t>495028 GD AN</t>
  </si>
  <si>
    <t>Beginning Balance</t>
  </si>
  <si>
    <t>Interest Rate</t>
  </si>
  <si>
    <t>JET Entry</t>
  </si>
  <si>
    <t>483000/483600/483730</t>
  </si>
  <si>
    <t>M Chemical Accrual</t>
  </si>
  <si>
    <t>Schedule 102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</si>
  <si>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</si>
  <si>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</si>
  <si>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</si>
  <si>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</si>
  <si>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</si>
  <si>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</si>
  <si>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Accounts 191000</t>
  </si>
  <si>
    <t>Annual xfer of balance per PGA to 191000</t>
  </si>
  <si>
    <t>804000 GD WA</t>
  </si>
  <si>
    <t>804000 GD ID</t>
  </si>
  <si>
    <t>Amort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</si>
  <si>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</si>
  <si>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</si>
  <si>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</si>
  <si>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</si>
  <si>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</si>
  <si>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</si>
  <si>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</si>
  <si>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</si>
  <si>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</si>
  <si>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</si>
  <si>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</si>
  <si>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</si>
  <si>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</si>
  <si>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</si>
  <si>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</si>
  <si>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</si>
  <si>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</si>
  <si>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</si>
  <si>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</si>
  <si>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</si>
  <si>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</si>
  <si>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</si>
  <si>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</si>
  <si>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</si>
  <si>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</si>
  <si>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</si>
  <si>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</si>
  <si>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</si>
  <si>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</si>
  <si>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</si>
  <si>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</si>
  <si>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</si>
  <si>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</si>
  <si>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</si>
  <si>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</si>
  <si>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</si>
  <si>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</si>
  <si>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</si>
  <si>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</si>
  <si>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</si>
  <si>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</si>
  <si>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</si>
  <si>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</si>
  <si>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</si>
  <si>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</si>
  <si>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</si>
  <si>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</si>
  <si>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</si>
  <si>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</si>
  <si>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</si>
  <si>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</si>
  <si>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</si>
  <si>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</si>
  <si>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</si>
  <si>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</si>
  <si>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</si>
  <si>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</si>
  <si>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</si>
  <si>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</si>
  <si>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</si>
  <si>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</si>
  <si>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</si>
  <si>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</si>
  <si>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</si>
  <si>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</si>
  <si>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</si>
  <si>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</si>
  <si>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</si>
  <si>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</si>
  <si>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</si>
  <si>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</si>
  <si>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</si>
  <si>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</si>
  <si>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</si>
  <si>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</si>
  <si>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</si>
  <si>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</si>
  <si>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</si>
  <si>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</si>
  <si>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</si>
  <si>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</si>
  <si>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</si>
  <si>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</si>
  <si>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</si>
  <si>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</si>
  <si>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</si>
  <si>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</si>
  <si>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Fixed FX &amp; PPA</t>
  </si>
  <si>
    <t>Fixed Realized FX</t>
  </si>
  <si>
    <t>WA Entitlement Penalty</t>
  </si>
  <si>
    <t>495000 GD WA</t>
  </si>
  <si>
    <t>Realized FX DJ404</t>
  </si>
  <si>
    <t>AN Entitlement Penalty</t>
  </si>
  <si>
    <t>495000 GD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</si>
</sst>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5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i/>
      <sz val="12"/>
      <name val="Arial"/>
      <family val="2"/>
    </font>
    <font>
      <b/>
      <sz val="14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83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2" xfId="137" applyFont="1" applyBorder="1" applyAlignment="1">
      <alignment horizontal="center" wrapText="1"/>
    </xf>
    <xf numFmtId="0" fontId="27" fillId="0" borderId="21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1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1" xfId="63" applyNumberFormat="1" applyFont="1" applyFill="1" applyBorder="1" applyAlignment="1">
      <alignment horizontal="left"/>
    </xf>
    <xf numFmtId="40" fontId="26" fillId="12" borderId="21" xfId="1" applyFont="1" applyFill="1" applyBorder="1"/>
    <xf numFmtId="40" fontId="26" fillId="0" borderId="21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1" xfId="138" applyFont="1" applyFill="1" applyBorder="1"/>
    <xf numFmtId="43" fontId="35" fillId="0" borderId="0" xfId="138" applyFont="1" applyFill="1" applyBorder="1"/>
    <xf numFmtId="10" fontId="35" fillId="8" borderId="21" xfId="4" applyNumberFormat="1" applyFont="1" applyFill="1" applyBorder="1"/>
    <xf numFmtId="43" fontId="35" fillId="8" borderId="21" xfId="138" applyFont="1" applyFill="1" applyBorder="1"/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2" xfId="137" quotePrefix="1" applyFont="1" applyBorder="1" applyAlignment="1">
      <alignment horizontal="center" wrapText="1"/>
    </xf>
    <xf numFmtId="0" fontId="27" fillId="0" borderId="25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3" xfId="137" quotePrefix="1" applyFont="1" applyBorder="1" applyAlignment="1">
      <alignment horizontal="center" wrapText="1"/>
    </xf>
    <xf numFmtId="10" fontId="35" fillId="8" borderId="24" xfId="4" applyNumberFormat="1" applyFont="1" applyFill="1" applyBorder="1"/>
    <xf numFmtId="43" fontId="35" fillId="8" borderId="24" xfId="138" applyFont="1" applyFill="1" applyBorder="1"/>
    <xf numFmtId="43" fontId="26" fillId="0" borderId="24" xfId="138" applyFont="1" applyFill="1" applyBorder="1"/>
    <xf numFmtId="43" fontId="26" fillId="10" borderId="24" xfId="138" applyFont="1" applyFill="1" applyBorder="1"/>
    <xf numFmtId="43" fontId="27" fillId="10" borderId="24" xfId="138" applyFont="1" applyFill="1" applyBorder="1"/>
    <xf numFmtId="43" fontId="35" fillId="8" borderId="26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1" xfId="24" applyNumberFormat="1" applyFont="1" applyFill="1" applyBorder="1" applyAlignment="1">
      <alignment horizontal="left"/>
    </xf>
    <xf numFmtId="43" fontId="26" fillId="0" borderId="21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8" borderId="24" xfId="139" applyNumberFormat="1" applyFont="1" applyFill="1" applyBorder="1"/>
    <xf numFmtId="169" fontId="39" fillId="8" borderId="24" xfId="145" applyNumberFormat="1" applyFont="1" applyFill="1" applyBorder="1" applyAlignment="1">
      <alignment horizontal="center"/>
    </xf>
    <xf numFmtId="43" fontId="26" fillId="0" borderId="27" xfId="138" applyFont="1" applyFill="1" applyBorder="1"/>
    <xf numFmtId="0" fontId="27" fillId="0" borderId="29" xfId="137" applyFont="1" applyBorder="1" applyAlignment="1">
      <alignment horizontal="center" wrapText="1"/>
    </xf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43" fontId="35" fillId="8" borderId="33" xfId="138" applyFont="1" applyFill="1" applyBorder="1"/>
    <xf numFmtId="43" fontId="35" fillId="8" borderId="35" xfId="138" applyFont="1" applyFill="1" applyBorder="1"/>
    <xf numFmtId="43" fontId="26" fillId="0" borderId="28" xfId="138" applyFont="1" applyFill="1" applyBorder="1"/>
    <xf numFmtId="43" fontId="26" fillId="0" borderId="36" xfId="138" applyFont="1" applyFill="1" applyBorder="1"/>
    <xf numFmtId="173" fontId="35" fillId="8" borderId="32" xfId="138" applyNumberFormat="1" applyFont="1" applyFill="1" applyBorder="1"/>
    <xf numFmtId="38" fontId="35" fillId="8" borderId="32" xfId="138" applyNumberFormat="1" applyFont="1" applyFill="1" applyBorder="1"/>
    <xf numFmtId="0" fontId="27" fillId="0" borderId="37" xfId="137" applyFont="1" applyBorder="1" applyAlignment="1">
      <alignment horizontal="center" wrapText="1"/>
    </xf>
    <xf numFmtId="43" fontId="26" fillId="0" borderId="37" xfId="138" applyFont="1" applyFill="1" applyBorder="1"/>
    <xf numFmtId="43" fontId="26" fillId="0" borderId="33" xfId="138" applyFont="1" applyFill="1" applyBorder="1"/>
    <xf numFmtId="0" fontId="27" fillId="0" borderId="36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6" xfId="139" applyNumberFormat="1" applyFont="1" applyFill="1" applyBorder="1"/>
    <xf numFmtId="43" fontId="26" fillId="0" borderId="38" xfId="138" applyFont="1" applyFill="1" applyBorder="1"/>
    <xf numFmtId="173" fontId="35" fillId="8" borderId="34" xfId="138" applyNumberFormat="1" applyFont="1" applyFill="1" applyBorder="1"/>
    <xf numFmtId="38" fontId="35" fillId="8" borderId="34" xfId="138" applyNumberFormat="1" applyFont="1" applyFill="1" applyBorder="1"/>
    <xf numFmtId="43" fontId="26" fillId="0" borderId="39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4" xfId="137" quotePrefix="1" applyNumberFormat="1" applyFont="1" applyFill="1" applyBorder="1" applyAlignment="1">
      <alignment horizontal="right"/>
    </xf>
    <xf numFmtId="174" fontId="12" fillId="0" borderId="40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1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7" xfId="138" applyFont="1" applyFill="1" applyBorder="1"/>
    <xf numFmtId="43" fontId="26" fillId="0" borderId="22" xfId="138" applyFont="1" applyFill="1" applyBorder="1"/>
    <xf numFmtId="43" fontId="34" fillId="0" borderId="0" xfId="137" applyNumberFormat="1" applyFont="1" applyFill="1" applyBorder="1"/>
    <xf numFmtId="0" fontId="12" fillId="0" borderId="0" xfId="0" applyNumberFormat="1" applyFont="1" applyFill="1"/>
    <xf numFmtId="170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39" fontId="43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left"/>
    </xf>
    <xf numFmtId="39" fontId="0" fillId="0" borderId="0" xfId="0" applyBorder="1"/>
    <xf numFmtId="39" fontId="13" fillId="0" borderId="0" xfId="0" applyFont="1" applyFill="1" applyBorder="1" applyAlignment="1">
      <alignment horizontal="right"/>
    </xf>
    <xf numFmtId="39" fontId="13" fillId="0" borderId="0" xfId="145" applyFont="1" applyBorder="1" applyAlignment="1">
      <alignment horizontal="right"/>
    </xf>
    <xf numFmtId="39" fontId="13" fillId="0" borderId="0" xfId="145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6" xfId="137" quotePrefix="1" applyNumberFormat="1" applyFont="1" applyFill="1" applyBorder="1" applyAlignment="1">
      <alignment horizontal="right"/>
    </xf>
    <xf numFmtId="43" fontId="26" fillId="10" borderId="26" xfId="138" applyFont="1" applyFill="1" applyBorder="1"/>
    <xf numFmtId="43" fontId="27" fillId="10" borderId="26" xfId="138" applyFont="1" applyFill="1" applyBorder="1"/>
    <xf numFmtId="43" fontId="12" fillId="0" borderId="8" xfId="2" applyNumberFormat="1" applyFont="1" applyBorder="1"/>
    <xf numFmtId="38" fontId="12" fillId="0" borderId="0" xfId="1" applyNumberFormat="1" applyFont="1" applyFill="1" applyBorder="1" applyProtection="1"/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1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C8CE8-2E6A-407A-91BB-6913658E23B2}">
  <sheetPr transitionEvaluation="1">
    <tabColor rgb="FF00CC66"/>
    <pageSetUpPr fitToPage="1"/>
  </sheetPr>
  <dimension ref="A1:U1483"/>
  <sheetViews>
    <sheetView showGridLines="0" topLeftCell="A19" zoomScale="60" zoomScaleNormal="60" workbookViewId="0">
      <selection activeCell="C61" sqref="C61"/>
    </sheetView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202101</v>
      </c>
      <c r="F1" s="92">
        <f>C1</f>
        <v>202101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3631690.92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26798.959999999999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0.6764</v>
      </c>
      <c r="L5" s="233">
        <f>1-K5</f>
        <v>0.3236</v>
      </c>
      <c r="M5" s="88"/>
    </row>
    <row r="6" spans="1:13" ht="15.6" customHeight="1" thickBot="1">
      <c r="A6" s="27" t="s">
        <v>7</v>
      </c>
      <c r="C6" s="226">
        <f>-1484819.23-423508.04-121002.3-144597.75-97479.45</f>
        <v>-2271406.7700000005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1387083.1099999994</v>
      </c>
      <c r="D7" s="17"/>
      <c r="F7" s="58" t="s">
        <v>147</v>
      </c>
      <c r="G7" s="58"/>
      <c r="H7" s="40">
        <f>C32</f>
        <v>2257262.189999999</v>
      </c>
      <c r="I7" s="59">
        <f>H7*I5</f>
        <v>1553222.1129389994</v>
      </c>
      <c r="J7" s="59">
        <f>H7*J5</f>
        <v>704040.0770609997</v>
      </c>
      <c r="K7" s="59"/>
      <c r="L7" s="59"/>
      <c r="M7" s="88"/>
    </row>
    <row r="8" spans="1:13" ht="15.6" customHeight="1">
      <c r="A8" s="87" t="s">
        <v>174</v>
      </c>
      <c r="C8" s="225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v>8349.77</v>
      </c>
      <c r="D9" s="18"/>
      <c r="F9" s="58" t="s">
        <v>48</v>
      </c>
      <c r="G9" s="88"/>
      <c r="H9" s="234">
        <f>C52</f>
        <v>7969164.4199999999</v>
      </c>
      <c r="I9" s="59"/>
      <c r="J9" s="59"/>
      <c r="K9" s="236">
        <f>H9*K5</f>
        <v>5390342.8136879997</v>
      </c>
      <c r="L9" s="236">
        <f>H9*L5</f>
        <v>2578821.6063120002</v>
      </c>
      <c r="M9" s="88"/>
    </row>
    <row r="10" spans="1:13" ht="15.6" customHeight="1">
      <c r="A10" s="27" t="s">
        <v>176</v>
      </c>
      <c r="C10" s="226">
        <v>-2848.33</v>
      </c>
      <c r="D10" s="18"/>
      <c r="F10" s="61" t="s">
        <v>19</v>
      </c>
      <c r="G10" s="88"/>
      <c r="H10" s="234">
        <f>C54</f>
        <v>-38528.42</v>
      </c>
      <c r="I10" s="59"/>
      <c r="J10" s="59"/>
      <c r="K10" s="236">
        <f>H10</f>
        <v>-38528.42</v>
      </c>
      <c r="L10" s="236"/>
      <c r="M10" s="88"/>
    </row>
    <row r="11" spans="1:13" ht="15.6" customHeight="1">
      <c r="A11" s="30" t="s">
        <v>64</v>
      </c>
      <c r="C11" s="224">
        <f>SUM(C8:C10)</f>
        <v>216068.65</v>
      </c>
      <c r="D11" s="18"/>
      <c r="F11" s="61" t="s">
        <v>20</v>
      </c>
      <c r="G11" s="88"/>
      <c r="H11" s="235">
        <f>C55+C53</f>
        <v>-18041.7</v>
      </c>
      <c r="I11" s="59"/>
      <c r="J11" s="59"/>
      <c r="K11" s="237"/>
      <c r="L11" s="237">
        <f>H11</f>
        <v>-18041.7</v>
      </c>
      <c r="M11" s="88"/>
    </row>
    <row r="12" spans="1:13" ht="15.6" customHeight="1">
      <c r="A12" s="87" t="s">
        <v>105</v>
      </c>
      <c r="C12" s="225">
        <f>155330.53+1370.44</f>
        <v>156700.97</v>
      </c>
      <c r="D12" s="18"/>
      <c r="F12" s="61" t="s">
        <v>62</v>
      </c>
      <c r="G12" s="88"/>
      <c r="H12" s="223">
        <f>H9+H10+H11</f>
        <v>7912594.2999999998</v>
      </c>
      <c r="I12" s="59"/>
      <c r="J12" s="59"/>
      <c r="K12" s="59">
        <f>SUM(K9:K11)</f>
        <v>5351814.3936879998</v>
      </c>
      <c r="L12" s="59">
        <f>SUM(L9:L11)</f>
        <v>2560779.906312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156700.97</v>
      </c>
      <c r="D14" s="19"/>
      <c r="F14" s="88" t="s">
        <v>28</v>
      </c>
      <c r="G14" s="58"/>
      <c r="H14" s="40">
        <f>H12+H7</f>
        <v>10169856.489999998</v>
      </c>
      <c r="I14" s="210">
        <f>SUM(I7:I13)</f>
        <v>1553222.1129389994</v>
      </c>
      <c r="J14" s="210">
        <f>SUM(J7:J13)</f>
        <v>704040.0770609997</v>
      </c>
      <c r="K14" s="210">
        <f>K12</f>
        <v>5351814.3936879998</v>
      </c>
      <c r="L14" s="210">
        <f>L12</f>
        <v>2560779.906312</v>
      </c>
      <c r="M14" s="88"/>
    </row>
    <row r="15" spans="1:13" ht="15.6" customHeight="1">
      <c r="A15" s="87" t="s">
        <v>178</v>
      </c>
      <c r="C15" s="225">
        <f>421142.16+2604.57</f>
        <v>423746.73</v>
      </c>
      <c r="D15" s="18"/>
      <c r="F15" s="88"/>
      <c r="G15" s="30" t="s">
        <v>41</v>
      </c>
      <c r="H15" s="231">
        <f>H14-C58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423746.73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f>1458.79+105611.56+716.84</f>
        <v>107787.18999999999</v>
      </c>
      <c r="D18" s="18"/>
      <c r="F18" s="280" t="s">
        <v>59</v>
      </c>
      <c r="G18" s="281"/>
      <c r="H18" s="281"/>
      <c r="I18" s="282"/>
      <c r="J18" s="280" t="s">
        <v>60</v>
      </c>
      <c r="K18" s="281"/>
      <c r="L18" s="281"/>
      <c r="M18" s="282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107787.18999999999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f>1850-825.73</f>
        <v>1024.27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1024.27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20652318</v>
      </c>
      <c r="H23" s="215">
        <v>9.8220000000000002E-2</v>
      </c>
      <c r="I23" s="278">
        <f t="shared" ref="I23:I29" si="0">G23*H23</f>
        <v>2028470.67396</v>
      </c>
      <c r="J23" s="74" t="s">
        <v>14</v>
      </c>
      <c r="K23" s="93">
        <v>10486334</v>
      </c>
      <c r="L23" s="215">
        <v>8.9520000000000002E-2</v>
      </c>
      <c r="M23" s="278">
        <f t="shared" ref="M23:M27" si="1">K23*L23</f>
        <v>938736.61968</v>
      </c>
    </row>
    <row r="24" spans="1:13" ht="15.6" customHeight="1">
      <c r="A24" s="77" t="s">
        <v>85</v>
      </c>
      <c r="C24" s="225">
        <v>0</v>
      </c>
      <c r="D24" s="18"/>
      <c r="F24" s="74" t="s">
        <v>93</v>
      </c>
      <c r="G24" s="93">
        <v>32556</v>
      </c>
      <c r="H24" s="215">
        <v>9.8220000000000002E-2</v>
      </c>
      <c r="I24" s="278">
        <f t="shared" si="0"/>
        <v>3197.6503200000002</v>
      </c>
      <c r="J24" s="74" t="s">
        <v>15</v>
      </c>
      <c r="K24" s="93">
        <v>3100340</v>
      </c>
      <c r="L24" s="215">
        <f>L23</f>
        <v>8.9520000000000002E-2</v>
      </c>
      <c r="M24" s="278">
        <f t="shared" si="1"/>
        <v>277542.43680000002</v>
      </c>
    </row>
    <row r="25" spans="1:13" ht="15.6" customHeight="1">
      <c r="A25" s="77" t="s">
        <v>86</v>
      </c>
      <c r="C25" s="225">
        <v>0</v>
      </c>
      <c r="D25" s="18"/>
      <c r="F25" s="74" t="s">
        <v>15</v>
      </c>
      <c r="G25" s="93">
        <v>7466798</v>
      </c>
      <c r="H25" s="215">
        <v>8.8349999999999998E-2</v>
      </c>
      <c r="I25" s="278">
        <f>G25*H25</f>
        <v>659691.60329999996</v>
      </c>
      <c r="J25" s="74" t="s">
        <v>16</v>
      </c>
      <c r="K25" s="93">
        <v>940</v>
      </c>
      <c r="L25" s="215">
        <f t="shared" ref="L25:L27" si="2">L24</f>
        <v>8.9520000000000002E-2</v>
      </c>
      <c r="M25" s="278">
        <f>K25*L25</f>
        <v>84.148800000000008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124760</v>
      </c>
      <c r="H26" s="215">
        <v>8.8349999999999998E-2</v>
      </c>
      <c r="I26" s="278">
        <f t="shared" si="0"/>
        <v>11022.546</v>
      </c>
      <c r="J26" s="74" t="s">
        <v>17</v>
      </c>
      <c r="K26" s="93">
        <v>0</v>
      </c>
      <c r="L26" s="215">
        <f t="shared" si="2"/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0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f t="shared" si="2"/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127342</v>
      </c>
      <c r="H28" s="215">
        <v>5.6399999999999999E-2</v>
      </c>
      <c r="I28" s="278">
        <f t="shared" si="0"/>
        <v>7182.0887999999995</v>
      </c>
      <c r="J28" s="73" t="s">
        <v>53</v>
      </c>
      <c r="K28" s="240">
        <f>SUM(K23:K27)</f>
        <v>13587614</v>
      </c>
      <c r="L28" s="241"/>
      <c r="M28" s="71">
        <f>SUM(M23:M27)</f>
        <v>1216363.2052800001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3218284</v>
      </c>
      <c r="H29" s="215">
        <v>5.4000000000000001E-4</v>
      </c>
      <c r="I29" s="278">
        <f t="shared" si="0"/>
        <v>1737.87336</v>
      </c>
      <c r="J29" s="74"/>
      <c r="K29" s="243">
        <v>13587614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2292410.919999999</v>
      </c>
      <c r="D30" s="19"/>
      <c r="F30" s="73" t="s">
        <v>53</v>
      </c>
      <c r="G30" s="240">
        <f>SUM(G23:G29)</f>
        <v>31622058</v>
      </c>
      <c r="H30" s="6"/>
      <c r="I30" s="71">
        <f>SUM(I23:I29)</f>
        <v>2711302.4357400001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-35148.729999999996</v>
      </c>
      <c r="D31" s="20"/>
      <c r="F31" s="64"/>
      <c r="G31" s="243">
        <v>31622058</v>
      </c>
      <c r="H31" s="65"/>
      <c r="I31" s="242">
        <f>I30/G30</f>
        <v>8.5740859615778334E-2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2257262.189999999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v>11223022.02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93">
        <v>20652318</v>
      </c>
      <c r="H36" s="215">
        <v>0.16167000000000001</v>
      </c>
      <c r="I36" s="278">
        <f t="shared" ref="I36:I41" si="3">G36*H36</f>
        <v>3338860.2510600002</v>
      </c>
      <c r="J36" s="74" t="s">
        <v>14</v>
      </c>
      <c r="K36" s="93">
        <v>10486334</v>
      </c>
      <c r="L36" s="215">
        <v>0.16148000000000001</v>
      </c>
      <c r="M36" s="278">
        <f t="shared" ref="M36:M40" si="4">K36*L36</f>
        <v>1693333.21432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-3734.75</v>
      </c>
      <c r="D37" s="18"/>
      <c r="F37" s="74" t="s">
        <v>93</v>
      </c>
      <c r="G37" s="93">
        <v>32556</v>
      </c>
      <c r="H37" s="215">
        <f>H36</f>
        <v>0.16167000000000001</v>
      </c>
      <c r="I37" s="278">
        <f t="shared" si="3"/>
        <v>5263.32852</v>
      </c>
      <c r="J37" s="74" t="s">
        <v>15</v>
      </c>
      <c r="K37" s="93">
        <v>3100340</v>
      </c>
      <c r="L37" s="215">
        <f>L36</f>
        <v>0.16148000000000001</v>
      </c>
      <c r="M37" s="278">
        <f>K37*L37</f>
        <v>500642.90320000006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-822897.68</v>
      </c>
      <c r="D38" s="18"/>
      <c r="F38" s="74" t="s">
        <v>15</v>
      </c>
      <c r="G38" s="93">
        <v>7466798</v>
      </c>
      <c r="H38" s="215">
        <f t="shared" ref="H38:H41" si="5">H37</f>
        <v>0.16167000000000001</v>
      </c>
      <c r="I38" s="278">
        <f>G38*H38</f>
        <v>1207157.23266</v>
      </c>
      <c r="J38" s="74" t="s">
        <v>16</v>
      </c>
      <c r="K38" s="93">
        <v>940</v>
      </c>
      <c r="L38" s="215">
        <f t="shared" ref="L38:L40" si="6">L37</f>
        <v>0.16148000000000001</v>
      </c>
      <c r="M38" s="278">
        <f t="shared" si="4"/>
        <v>151.7912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34454.18</v>
      </c>
      <c r="D39" s="18"/>
      <c r="F39" s="74" t="s">
        <v>16</v>
      </c>
      <c r="G39" s="93">
        <v>124760</v>
      </c>
      <c r="H39" s="215">
        <f t="shared" si="5"/>
        <v>0.16167000000000001</v>
      </c>
      <c r="I39" s="278">
        <f t="shared" si="3"/>
        <v>20169.949200000003</v>
      </c>
      <c r="J39" s="74" t="s">
        <v>17</v>
      </c>
      <c r="K39" s="93">
        <v>0</v>
      </c>
      <c r="L39" s="215">
        <f t="shared" si="6"/>
        <v>0.16148000000000001</v>
      </c>
      <c r="M39" s="278">
        <f t="shared" si="4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966504.06</v>
      </c>
      <c r="D40" s="18"/>
      <c r="F40" s="74" t="s">
        <v>17</v>
      </c>
      <c r="G40" s="93">
        <f t="shared" ref="G40" si="7">G27</f>
        <v>0</v>
      </c>
      <c r="H40" s="215">
        <f t="shared" si="5"/>
        <v>0.16167000000000001</v>
      </c>
      <c r="I40" s="278">
        <f t="shared" si="3"/>
        <v>0</v>
      </c>
      <c r="J40" s="74" t="s">
        <v>18</v>
      </c>
      <c r="K40" s="93">
        <v>0</v>
      </c>
      <c r="L40" s="215">
        <f t="shared" si="6"/>
        <v>0.16148000000000001</v>
      </c>
      <c r="M40" s="278">
        <f t="shared" si="4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11397347.83</v>
      </c>
      <c r="D41" s="18"/>
      <c r="F41" s="74" t="s">
        <v>18</v>
      </c>
      <c r="G41" s="93">
        <v>127342</v>
      </c>
      <c r="H41" s="215">
        <f t="shared" si="5"/>
        <v>0.16167000000000001</v>
      </c>
      <c r="I41" s="278">
        <f t="shared" si="3"/>
        <v>20587.381140000001</v>
      </c>
      <c r="J41" s="73" t="s">
        <v>58</v>
      </c>
      <c r="K41" s="240">
        <f>SUM(K36:K40)</f>
        <v>13587614</v>
      </c>
      <c r="L41" s="241"/>
      <c r="M41" s="71">
        <f>SUM(M36:M40)</f>
        <v>2194127.9087199997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1713320.43-366220.33</f>
        <v>1347100.0999999999</v>
      </c>
      <c r="D42" s="19"/>
      <c r="F42" s="73" t="s">
        <v>58</v>
      </c>
      <c r="G42" s="240">
        <f>SUM(G36:G41)</f>
        <v>28403774</v>
      </c>
      <c r="H42" s="241"/>
      <c r="I42" s="250">
        <f>SUM(I36:I41)</f>
        <v>4592038.1425799998</v>
      </c>
      <c r="J42" s="73"/>
      <c r="K42" s="243">
        <v>13587614</v>
      </c>
      <c r="L42" s="65"/>
      <c r="M42" s="247">
        <f>M41/K41</f>
        <v>0.16147999999999998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0</v>
      </c>
      <c r="D43" s="18"/>
      <c r="F43" s="64"/>
      <c r="G43" s="243">
        <v>28403774</v>
      </c>
      <c r="H43" s="65"/>
      <c r="I43" s="251">
        <f>I42/G42</f>
        <v>0.16166999999999998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4" t="s">
        <v>166</v>
      </c>
      <c r="B45" s="29" t="s">
        <v>68</v>
      </c>
      <c r="C45" s="225">
        <v>23908.91</v>
      </c>
      <c r="D45" s="20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4" t="s">
        <v>170</v>
      </c>
      <c r="B46" s="29" t="s">
        <v>68</v>
      </c>
      <c r="C46" s="225">
        <v>2216.0300000000002</v>
      </c>
      <c r="D46" s="21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171</v>
      </c>
      <c r="B47" s="29" t="s">
        <v>68</v>
      </c>
      <c r="C47" s="225">
        <v>2521.58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47</v>
      </c>
      <c r="B48" s="8"/>
      <c r="C48" s="228">
        <f>-C31</f>
        <v>35148.729999999996</v>
      </c>
      <c r="D48" s="18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88" t="s">
        <v>167</v>
      </c>
      <c r="B49" s="29" t="s">
        <v>96</v>
      </c>
      <c r="C49" s="225">
        <f>9332.2-828.64</f>
        <v>8503.5600000000013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51</v>
      </c>
      <c r="B50" s="94" t="s">
        <v>91</v>
      </c>
      <c r="C50" s="225">
        <f>266872.5-2822148.55-1924306.27</f>
        <v>-4479582.32</v>
      </c>
      <c r="D50" s="19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7" t="s">
        <v>94</v>
      </c>
      <c r="B51" s="8" t="s">
        <v>87</v>
      </c>
      <c r="C51" s="225">
        <v>-375000</v>
      </c>
      <c r="D51" s="18"/>
      <c r="F51" s="88" t="s">
        <v>61</v>
      </c>
      <c r="G51" s="88"/>
      <c r="H51" s="216">
        <f>K12</f>
        <v>5351814.3936879998</v>
      </c>
      <c r="I51" s="217">
        <f>I14</f>
        <v>1553222.1129389994</v>
      </c>
      <c r="J51" s="217">
        <f>L12</f>
        <v>2560779.906312</v>
      </c>
      <c r="K51" s="217">
        <f>J14</f>
        <v>704040.0770609997</v>
      </c>
      <c r="L51" s="218">
        <f>SUM(H51:K51)</f>
        <v>10169856.489999998</v>
      </c>
      <c r="M51" s="88"/>
    </row>
    <row r="52" spans="1:20" ht="15.6" customHeight="1" thickBot="1">
      <c r="A52" s="32" t="s">
        <v>48</v>
      </c>
      <c r="B52" s="232"/>
      <c r="C52" s="53">
        <f>SUM(C41:C51)</f>
        <v>7969164.4199999999</v>
      </c>
      <c r="D52" s="206"/>
      <c r="F52" s="87" t="s">
        <v>43</v>
      </c>
      <c r="H52" s="216">
        <f>-I42</f>
        <v>-4592038.1425799998</v>
      </c>
      <c r="I52" s="217">
        <f>-I30</f>
        <v>-2711302.4357400001</v>
      </c>
      <c r="J52" s="217">
        <f>-M41</f>
        <v>-2194127.9087199997</v>
      </c>
      <c r="K52" s="217">
        <f>-M28</f>
        <v>-1216363.2052800001</v>
      </c>
      <c r="L52" s="219">
        <f>SUM(H52:K52)</f>
        <v>-10713831.69232</v>
      </c>
    </row>
    <row r="53" spans="1:20" ht="15.6" customHeight="1" thickTop="1" thickBot="1">
      <c r="A53" s="88" t="s">
        <v>172</v>
      </c>
      <c r="B53" s="30" t="s">
        <v>173</v>
      </c>
      <c r="C53" s="225"/>
      <c r="D53" s="18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164</v>
      </c>
      <c r="B54" s="8" t="s">
        <v>102</v>
      </c>
      <c r="C54" s="225">
        <v>-38528.42</v>
      </c>
      <c r="D54" s="18"/>
      <c r="F54" s="1" t="s">
        <v>30</v>
      </c>
      <c r="H54" s="245">
        <f>H51+H52+H53</f>
        <v>759776.25110800005</v>
      </c>
      <c r="I54" s="245">
        <f>I51+I52+I53</f>
        <v>-1158080.3228010007</v>
      </c>
      <c r="J54" s="245">
        <f>J51+J52+J53</f>
        <v>366651.99759200029</v>
      </c>
      <c r="K54" s="245">
        <f>K51+K52+K53</f>
        <v>-512323.12821900041</v>
      </c>
      <c r="L54" s="26">
        <f>SUM(H54:K54)</f>
        <v>-543975.20232000074</v>
      </c>
    </row>
    <row r="55" spans="1:20" ht="15.6" customHeight="1">
      <c r="A55" s="87" t="s">
        <v>165</v>
      </c>
      <c r="B55" s="8" t="s">
        <v>103</v>
      </c>
      <c r="C55" s="225">
        <v>-18041.7</v>
      </c>
      <c r="D55" s="18"/>
      <c r="F55" s="87" t="s">
        <v>82</v>
      </c>
      <c r="H55" s="87" t="s">
        <v>76</v>
      </c>
      <c r="I55" s="2">
        <f>SUM(H54:I54)</f>
        <v>-398304.07169300062</v>
      </c>
      <c r="J55" s="8" t="s">
        <v>77</v>
      </c>
      <c r="K55" s="87">
        <f>SUM(J54:K54)</f>
        <v>-145671.13062700012</v>
      </c>
      <c r="L55"/>
    </row>
    <row r="56" spans="1:20" ht="15.6" customHeight="1" thickBot="1">
      <c r="A56" s="1" t="s">
        <v>149</v>
      </c>
      <c r="C56" s="53">
        <f>SUM(C52:C55)</f>
        <v>7912594.2999999998</v>
      </c>
      <c r="D56" s="18"/>
      <c r="F56" s="197" t="s">
        <v>83</v>
      </c>
      <c r="H56" s="35"/>
      <c r="T56" s="22"/>
    </row>
    <row r="57" spans="1:20" ht="15.6" customHeight="1" thickTop="1" thickBot="1">
      <c r="C57" s="229"/>
      <c r="D57" s="18"/>
      <c r="F57" s="197"/>
      <c r="H57" s="35"/>
    </row>
    <row r="58" spans="1:20" ht="15.6" customHeight="1" thickBot="1">
      <c r="A58" s="8"/>
      <c r="B58" s="8" t="s">
        <v>38</v>
      </c>
      <c r="C58" s="40">
        <f>C56+C32</f>
        <v>10169856.489999998</v>
      </c>
      <c r="D58" s="18"/>
      <c r="F58" s="197"/>
      <c r="H58" s="35"/>
    </row>
    <row r="59" spans="1:20" ht="15.6" customHeight="1" thickBot="1">
      <c r="A59" s="30"/>
      <c r="B59" s="30"/>
      <c r="C59" s="227"/>
      <c r="D59" s="18"/>
      <c r="F59" s="197"/>
      <c r="H59" s="52"/>
      <c r="I59" s="198"/>
      <c r="J59" s="198"/>
      <c r="K59" s="75"/>
      <c r="L59" s="198"/>
    </row>
    <row r="60" spans="1:20" ht="15.6" customHeight="1">
      <c r="B60" s="8" t="s">
        <v>148</v>
      </c>
      <c r="C60" s="225">
        <v>10169856.49</v>
      </c>
      <c r="D60" s="18"/>
      <c r="F60" s="199"/>
      <c r="H60" s="89" t="s">
        <v>90</v>
      </c>
      <c r="I60" s="90"/>
    </row>
    <row r="61" spans="1:20" ht="15.6" customHeight="1" thickBot="1">
      <c r="A61" s="8"/>
      <c r="B61" s="8" t="s">
        <v>71</v>
      </c>
      <c r="C61" s="231">
        <f>ROUND(C58-C60,2)</f>
        <v>0</v>
      </c>
      <c r="D61" s="19"/>
      <c r="H61" s="82" t="s">
        <v>78</v>
      </c>
      <c r="I61" s="83" t="s">
        <v>79</v>
      </c>
      <c r="J61" s="2"/>
      <c r="N61" s="2"/>
    </row>
    <row r="62" spans="1:20" ht="15.6" customHeight="1" thickBot="1">
      <c r="C62" s="85"/>
      <c r="H62" s="84" t="e">
        <f>'191010 WA DEF'!E37+'191010 WA DEF'!E38+'191010 WA DEF'!E39+'191000 WA Amort'!H37+'191000 WA Amort'!H38+'191000 WA Amort'!H39+#REF!+#REF!+#REF!+#REF!+#REF!+#REF!</f>
        <v>#REF!</v>
      </c>
      <c r="I62" s="91" t="e">
        <f>'191010 WA DEF'!F36+'191010 WA DEF'!F38+'191010 WA DEF'!F39+'191000 WA Amort'!I36+'191000 WA Amort'!I38+'191000 WA Amort'!I39+#REF!+#REF!+#REF!+#REF!+#REF!+#REF!</f>
        <v>#REF!</v>
      </c>
      <c r="O62" s="2"/>
      <c r="P62" s="200"/>
    </row>
    <row r="63" spans="1:20" ht="15.6" customHeight="1">
      <c r="C63" s="5"/>
      <c r="D63" s="18"/>
      <c r="G63" s="2"/>
      <c r="I63" s="244" t="e">
        <f>H62-I62</f>
        <v>#REF!</v>
      </c>
      <c r="N63" s="10"/>
      <c r="S63" s="3"/>
    </row>
    <row r="64" spans="1:20" ht="15.6" customHeight="1">
      <c r="C64" s="5"/>
      <c r="D64" s="23"/>
      <c r="G64" s="271"/>
      <c r="H64" s="272"/>
      <c r="I64" s="263"/>
      <c r="J64" s="2"/>
      <c r="N64" s="10"/>
    </row>
    <row r="65" spans="3:21" ht="15.6" customHeight="1">
      <c r="C65" s="37"/>
      <c r="D65" s="18"/>
      <c r="G65" s="271"/>
      <c r="H65" s="272"/>
      <c r="I65" s="264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199"/>
      <c r="H67" s="260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199"/>
      <c r="G69" s="199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116" priority="38" stopIfTrue="1" operator="equal">
      <formula>0</formula>
    </cfRule>
    <cfRule type="cellIs" dxfId="115" priority="39" stopIfTrue="1" operator="notEqual">
      <formula>0</formula>
    </cfRule>
  </conditionalFormatting>
  <conditionalFormatting sqref="K44:K46">
    <cfRule type="cellIs" dxfId="114" priority="37" operator="notEqual">
      <formula>0</formula>
    </cfRule>
  </conditionalFormatting>
  <conditionalFormatting sqref="C61">
    <cfRule type="cellIs" dxfId="113" priority="35" stopIfTrue="1" operator="equal">
      <formula>0</formula>
    </cfRule>
    <cfRule type="cellIs" dxfId="112" priority="36" stopIfTrue="1" operator="notEqual">
      <formula>0</formula>
    </cfRule>
  </conditionalFormatting>
  <conditionalFormatting sqref="H15">
    <cfRule type="cellIs" dxfId="111" priority="33" stopIfTrue="1" operator="equal">
      <formula>0</formula>
    </cfRule>
    <cfRule type="cellIs" dxfId="110" priority="34" stopIfTrue="1" operator="notEqual">
      <formula>0</formula>
    </cfRule>
  </conditionalFormatting>
  <conditionalFormatting sqref="H15">
    <cfRule type="cellIs" dxfId="109" priority="31" stopIfTrue="1" operator="equal">
      <formula>0</formula>
    </cfRule>
    <cfRule type="cellIs" dxfId="108" priority="32" stopIfTrue="1" operator="notEqual">
      <formula>0</formula>
    </cfRule>
  </conditionalFormatting>
  <conditionalFormatting sqref="J15">
    <cfRule type="cellIs" dxfId="107" priority="29" stopIfTrue="1" operator="equal">
      <formula>0</formula>
    </cfRule>
    <cfRule type="cellIs" dxfId="106" priority="30" stopIfTrue="1" operator="notEqual">
      <formula>0</formula>
    </cfRule>
  </conditionalFormatting>
  <conditionalFormatting sqref="J15">
    <cfRule type="cellIs" dxfId="105" priority="27" stopIfTrue="1" operator="equal">
      <formula>0</formula>
    </cfRule>
    <cfRule type="cellIs" dxfId="104" priority="28" stopIfTrue="1" operator="notEqual">
      <formula>0</formula>
    </cfRule>
  </conditionalFormatting>
  <conditionalFormatting sqref="L15">
    <cfRule type="cellIs" dxfId="103" priority="25" stopIfTrue="1" operator="equal">
      <formula>0</formula>
    </cfRule>
    <cfRule type="cellIs" dxfId="102" priority="26" stopIfTrue="1" operator="notEqual">
      <formula>0</formula>
    </cfRule>
  </conditionalFormatting>
  <conditionalFormatting sqref="L15">
    <cfRule type="cellIs" dxfId="101" priority="23" stopIfTrue="1" operator="equal">
      <formula>0</formula>
    </cfRule>
    <cfRule type="cellIs" dxfId="100" priority="24" stopIfTrue="1" operator="notEqual">
      <formula>0</formula>
    </cfRule>
  </conditionalFormatting>
  <conditionalFormatting sqref="G32">
    <cfRule type="cellIs" dxfId="99" priority="21" stopIfTrue="1" operator="equal">
      <formula>0</formula>
    </cfRule>
    <cfRule type="cellIs" dxfId="98" priority="22" stopIfTrue="1" operator="notEqual">
      <formula>0</formula>
    </cfRule>
  </conditionalFormatting>
  <conditionalFormatting sqref="G32">
    <cfRule type="cellIs" dxfId="97" priority="19" stopIfTrue="1" operator="equal">
      <formula>0</formula>
    </cfRule>
    <cfRule type="cellIs" dxfId="96" priority="20" stopIfTrue="1" operator="notEqual">
      <formula>0</formula>
    </cfRule>
  </conditionalFormatting>
  <conditionalFormatting sqref="G44">
    <cfRule type="cellIs" dxfId="95" priority="17" stopIfTrue="1" operator="equal">
      <formula>0</formula>
    </cfRule>
    <cfRule type="cellIs" dxfId="94" priority="18" stopIfTrue="1" operator="notEqual">
      <formula>0</formula>
    </cfRule>
  </conditionalFormatting>
  <conditionalFormatting sqref="G44">
    <cfRule type="cellIs" dxfId="93" priority="15" stopIfTrue="1" operator="equal">
      <formula>0</formula>
    </cfRule>
    <cfRule type="cellIs" dxfId="92" priority="16" stopIfTrue="1" operator="notEqual">
      <formula>0</formula>
    </cfRule>
  </conditionalFormatting>
  <conditionalFormatting sqref="K30">
    <cfRule type="cellIs" dxfId="91" priority="13" stopIfTrue="1" operator="equal">
      <formula>0</formula>
    </cfRule>
    <cfRule type="cellIs" dxfId="90" priority="14" stopIfTrue="1" operator="notEqual">
      <formula>0</formula>
    </cfRule>
  </conditionalFormatting>
  <conditionalFormatting sqref="K30">
    <cfRule type="cellIs" dxfId="89" priority="11" stopIfTrue="1" operator="equal">
      <formula>0</formula>
    </cfRule>
    <cfRule type="cellIs" dxfId="88" priority="12" stopIfTrue="1" operator="notEqual">
      <formula>0</formula>
    </cfRule>
  </conditionalFormatting>
  <conditionalFormatting sqref="K43">
    <cfRule type="cellIs" dxfId="87" priority="9" stopIfTrue="1" operator="equal">
      <formula>0</formula>
    </cfRule>
    <cfRule type="cellIs" dxfId="86" priority="10" stopIfTrue="1" operator="notEqual">
      <formula>0</formula>
    </cfRule>
  </conditionalFormatting>
  <conditionalFormatting sqref="K43">
    <cfRule type="cellIs" dxfId="85" priority="7" stopIfTrue="1" operator="equal">
      <formula>0</formula>
    </cfRule>
    <cfRule type="cellIs" dxfId="84" priority="8" stopIfTrue="1" operator="notEqual">
      <formula>0</formula>
    </cfRule>
  </conditionalFormatting>
  <conditionalFormatting sqref="G60">
    <cfRule type="cellIs" dxfId="83" priority="6" operator="equal">
      <formula>"ERROR"</formula>
    </cfRule>
  </conditionalFormatting>
  <conditionalFormatting sqref="G60">
    <cfRule type="cellIs" dxfId="82" priority="5" operator="equal">
      <formula>"ERROR"</formula>
    </cfRule>
  </conditionalFormatting>
  <conditionalFormatting sqref="G67">
    <cfRule type="cellIs" dxfId="81" priority="4" operator="equal">
      <formula>"ERROR"</formula>
    </cfRule>
  </conditionalFormatting>
  <conditionalFormatting sqref="G67">
    <cfRule type="cellIs" dxfId="80" priority="3" operator="equal">
      <formula>"ERROR"</formula>
    </cfRule>
  </conditionalFormatting>
  <conditionalFormatting sqref="H69">
    <cfRule type="cellIs" dxfId="79" priority="2" operator="equal">
      <formula>"ERROR"</formula>
    </cfRule>
  </conditionalFormatting>
  <conditionalFormatting sqref="H69">
    <cfRule type="cellIs" dxfId="78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4E73-B59D-46E1-8936-7F8D17F71942}">
  <sheetPr transitionEvaluation="1">
    <tabColor rgb="FF00CC66"/>
    <pageSetUpPr fitToPage="1"/>
  </sheetPr>
  <dimension ref="A1:U1483"/>
  <sheetViews>
    <sheetView showGridLines="0" topLeftCell="A22" zoomScale="60" zoomScaleNormal="60" workbookViewId="0"/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202102</v>
      </c>
      <c r="F1" s="92">
        <f>C1</f>
        <v>202102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3280236.97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30032.86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0.67249999999999999</v>
      </c>
      <c r="L5" s="233">
        <f>1-K5</f>
        <v>0.32750000000000001</v>
      </c>
      <c r="M5" s="88"/>
    </row>
    <row r="6" spans="1:13" ht="15.6" customHeight="1" thickBot="1">
      <c r="A6" s="27" t="s">
        <v>7</v>
      </c>
      <c r="C6" s="226">
        <f>-1341127.05-5229.6-382523.4-109292.4-130604.42-88045.96</f>
        <v>-2056822.83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1253447</v>
      </c>
      <c r="D7" s="17"/>
      <c r="F7" s="58" t="s">
        <v>147</v>
      </c>
      <c r="G7" s="58"/>
      <c r="H7" s="40">
        <f>C32</f>
        <v>2150935.7000000002</v>
      </c>
      <c r="I7" s="59">
        <f>H7*I5</f>
        <v>1480058.8551700001</v>
      </c>
      <c r="J7" s="59">
        <f>H7*J5</f>
        <v>670876.84483000007</v>
      </c>
      <c r="K7" s="59"/>
      <c r="L7" s="59"/>
      <c r="M7" s="88"/>
    </row>
    <row r="8" spans="1:13" ht="15.6" customHeight="1">
      <c r="A8" s="87" t="s">
        <v>174</v>
      </c>
      <c r="C8" s="225">
        <v>190189.72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f>1.06+7605.61</f>
        <v>7606.67</v>
      </c>
      <c r="D9" s="18"/>
      <c r="F9" s="58" t="s">
        <v>48</v>
      </c>
      <c r="G9" s="88"/>
      <c r="H9" s="234">
        <f>C52</f>
        <v>12276121.700000003</v>
      </c>
      <c r="I9" s="59"/>
      <c r="J9" s="59"/>
      <c r="K9" s="236">
        <f>H9*K5</f>
        <v>8255691.8432500018</v>
      </c>
      <c r="L9" s="236">
        <f>H9*L5</f>
        <v>4020429.8567500012</v>
      </c>
      <c r="M9" s="88"/>
    </row>
    <row r="10" spans="1:13" ht="15.6" customHeight="1">
      <c r="A10" s="27" t="s">
        <v>176</v>
      </c>
      <c r="C10" s="226">
        <v>-2572.67</v>
      </c>
      <c r="D10" s="18"/>
      <c r="F10" s="61" t="s">
        <v>19</v>
      </c>
      <c r="G10" s="88"/>
      <c r="H10" s="234">
        <f>C54</f>
        <v>-290560.8</v>
      </c>
      <c r="I10" s="59"/>
      <c r="J10" s="59"/>
      <c r="K10" s="236">
        <f>H10</f>
        <v>-290560.8</v>
      </c>
      <c r="L10" s="236"/>
      <c r="M10" s="88"/>
    </row>
    <row r="11" spans="1:13" ht="15.6" customHeight="1">
      <c r="A11" s="30" t="s">
        <v>64</v>
      </c>
      <c r="C11" s="224">
        <f>SUM(C8:C10)</f>
        <v>195223.72</v>
      </c>
      <c r="D11" s="18"/>
      <c r="F11" s="61" t="s">
        <v>20</v>
      </c>
      <c r="G11" s="88"/>
      <c r="H11" s="235">
        <f>C55+C53</f>
        <v>-140230.92000000001</v>
      </c>
      <c r="I11" s="59"/>
      <c r="J11" s="59"/>
      <c r="K11" s="237"/>
      <c r="L11" s="237">
        <f>H11</f>
        <v>-140230.92000000001</v>
      </c>
      <c r="M11" s="88"/>
    </row>
    <row r="12" spans="1:13" ht="15.6" customHeight="1">
      <c r="A12" s="87" t="s">
        <v>105</v>
      </c>
      <c r="C12" s="225">
        <f>158609.65+156105.73+1532.53-155330.53</f>
        <v>160917.38000000003</v>
      </c>
      <c r="D12" s="18"/>
      <c r="F12" s="61" t="s">
        <v>62</v>
      </c>
      <c r="G12" s="88"/>
      <c r="H12" s="223">
        <f>H9+H10+H11</f>
        <v>11845329.980000002</v>
      </c>
      <c r="I12" s="59"/>
      <c r="J12" s="59"/>
      <c r="K12" s="59">
        <f>SUM(K9:K11)</f>
        <v>7965131.043250002</v>
      </c>
      <c r="L12" s="59">
        <f>SUM(L9:L11)</f>
        <v>3880198.9367500013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160917.38000000003</v>
      </c>
      <c r="D14" s="19"/>
      <c r="F14" s="88" t="s">
        <v>28</v>
      </c>
      <c r="G14" s="58"/>
      <c r="H14" s="40">
        <f>H12+H7</f>
        <v>13996265.680000003</v>
      </c>
      <c r="I14" s="210">
        <f>SUM(I7:I13)</f>
        <v>1480058.8551700001</v>
      </c>
      <c r="J14" s="210">
        <f>SUM(J7:J13)</f>
        <v>670876.84483000007</v>
      </c>
      <c r="K14" s="210">
        <f>K12</f>
        <v>7965131.043250002</v>
      </c>
      <c r="L14" s="210">
        <f>L12</f>
        <v>3880198.9367500013</v>
      </c>
      <c r="M14" s="88"/>
    </row>
    <row r="15" spans="1:13" ht="15.6" customHeight="1">
      <c r="A15" s="87" t="s">
        <v>178</v>
      </c>
      <c r="C15" s="225">
        <f>430032.69+423243.89+4155.09-421142.15</f>
        <v>436289.52</v>
      </c>
      <c r="D15" s="18"/>
      <c r="F15" s="88"/>
      <c r="G15" s="30" t="s">
        <v>41</v>
      </c>
      <c r="H15" s="231">
        <f>H14-C58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436289.52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f>15962+107841.08+122281.35+1200.47-105611.56</f>
        <v>141673.34</v>
      </c>
      <c r="D18" s="18"/>
      <c r="F18" s="280" t="s">
        <v>59</v>
      </c>
      <c r="G18" s="281"/>
      <c r="H18" s="281"/>
      <c r="I18" s="282"/>
      <c r="J18" s="280" t="s">
        <v>60</v>
      </c>
      <c r="K18" s="281"/>
      <c r="L18" s="281"/>
      <c r="M18" s="282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141673.34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f>-825.73+1850</f>
        <v>1024.27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1024.27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21465565</v>
      </c>
      <c r="H23" s="215">
        <v>9.8220000000000002E-2</v>
      </c>
      <c r="I23" s="278">
        <f t="shared" ref="I23:I29" si="0">G23*H23</f>
        <v>2108347.7943000002</v>
      </c>
      <c r="J23" s="74" t="s">
        <v>14</v>
      </c>
      <c r="K23" s="93">
        <v>10870325</v>
      </c>
      <c r="L23" s="215">
        <v>8.9520000000000002E-2</v>
      </c>
      <c r="M23" s="278">
        <f t="shared" ref="M23:M27" si="1">K23*L23</f>
        <v>973111.49400000006</v>
      </c>
    </row>
    <row r="24" spans="1:13" ht="15.6" customHeight="1">
      <c r="A24" s="77" t="s">
        <v>85</v>
      </c>
      <c r="C24" s="225">
        <v>0</v>
      </c>
      <c r="D24" s="18"/>
      <c r="F24" s="74" t="s">
        <v>93</v>
      </c>
      <c r="G24" s="93">
        <v>35195</v>
      </c>
      <c r="H24" s="215">
        <v>9.8220000000000002E-2</v>
      </c>
      <c r="I24" s="278">
        <f t="shared" si="0"/>
        <v>3456.8528999999999</v>
      </c>
      <c r="J24" s="74" t="s">
        <v>15</v>
      </c>
      <c r="K24" s="93">
        <v>3329528</v>
      </c>
      <c r="L24" s="215">
        <f>L23</f>
        <v>8.9520000000000002E-2</v>
      </c>
      <c r="M24" s="278">
        <f t="shared" si="1"/>
        <v>298059.34656000003</v>
      </c>
    </row>
    <row r="25" spans="1:13" ht="15.6" customHeight="1">
      <c r="A25" s="77" t="s">
        <v>86</v>
      </c>
      <c r="C25" s="225">
        <v>0</v>
      </c>
      <c r="D25" s="18"/>
      <c r="F25" s="74" t="s">
        <v>15</v>
      </c>
      <c r="G25" s="93">
        <v>7487490</v>
      </c>
      <c r="H25" s="215">
        <v>8.8349999999999998E-2</v>
      </c>
      <c r="I25" s="278">
        <f>G25*H25</f>
        <v>661519.7415</v>
      </c>
      <c r="J25" s="74" t="s">
        <v>16</v>
      </c>
      <c r="K25" s="93">
        <v>1188</v>
      </c>
      <c r="L25" s="215">
        <f t="shared" ref="L25:L27" si="2">L24</f>
        <v>8.9520000000000002E-2</v>
      </c>
      <c r="M25" s="278">
        <f>K25*L25</f>
        <v>106.34976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111067</v>
      </c>
      <c r="H26" s="215">
        <v>8.8349999999999998E-2</v>
      </c>
      <c r="I26" s="278">
        <f t="shared" si="0"/>
        <v>9812.7694499999998</v>
      </c>
      <c r="J26" s="74" t="s">
        <v>17</v>
      </c>
      <c r="K26" s="93">
        <v>0</v>
      </c>
      <c r="L26" s="215">
        <f t="shared" si="2"/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0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f t="shared" si="2"/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65536</v>
      </c>
      <c r="H28" s="215">
        <v>5.6399999999999999E-2</v>
      </c>
      <c r="I28" s="278">
        <f t="shared" si="0"/>
        <v>3696.2303999999999</v>
      </c>
      <c r="J28" s="73" t="s">
        <v>53</v>
      </c>
      <c r="K28" s="240">
        <f>SUM(K23:K27)</f>
        <v>14201041</v>
      </c>
      <c r="L28" s="241"/>
      <c r="M28" s="71">
        <f>SUM(M23:M27)</f>
        <v>1271277.1903200001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3541847</v>
      </c>
      <c r="H29" s="215">
        <v>5.4000000000000001E-4</v>
      </c>
      <c r="I29" s="278">
        <f t="shared" si="0"/>
        <v>1912.5973799999999</v>
      </c>
      <c r="J29" s="74"/>
      <c r="K29" s="243">
        <v>14201041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2188575.23</v>
      </c>
      <c r="D30" s="19"/>
      <c r="F30" s="73" t="s">
        <v>53</v>
      </c>
      <c r="G30" s="240">
        <f>SUM(G23:G29)</f>
        <v>32706700</v>
      </c>
      <c r="H30" s="6"/>
      <c r="I30" s="71">
        <f>SUM(I23:I29)</f>
        <v>2788745.98593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-37639.53</v>
      </c>
      <c r="D31" s="20"/>
      <c r="F31" s="64"/>
      <c r="G31" s="243">
        <v>32706700</v>
      </c>
      <c r="H31" s="65"/>
      <c r="I31" s="242">
        <f>I30/G30</f>
        <v>8.526528160682674E-2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2150935.7000000002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f>13963801.89+335.1+1509.39+31119.91</f>
        <v>13996766.290000001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93">
        <v>21465565</v>
      </c>
      <c r="H36" s="215">
        <v>0.16167000000000001</v>
      </c>
      <c r="I36" s="278">
        <f t="shared" ref="I36:I41" si="3">G36*H36</f>
        <v>3470337.8935500002</v>
      </c>
      <c r="J36" s="74" t="s">
        <v>14</v>
      </c>
      <c r="K36" s="93">
        <v>10870325</v>
      </c>
      <c r="L36" s="215">
        <v>0.16148000000000001</v>
      </c>
      <c r="M36" s="278">
        <f t="shared" ref="M36:M40" si="4">K36*L36</f>
        <v>1755340.0810000002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-84540.02</v>
      </c>
      <c r="D37" s="18"/>
      <c r="F37" s="74" t="s">
        <v>93</v>
      </c>
      <c r="G37" s="93">
        <v>35195</v>
      </c>
      <c r="H37" s="215">
        <f>H36</f>
        <v>0.16167000000000001</v>
      </c>
      <c r="I37" s="278">
        <f t="shared" si="3"/>
        <v>5689.9756500000003</v>
      </c>
      <c r="J37" s="74" t="s">
        <v>15</v>
      </c>
      <c r="K37" s="93">
        <v>3329528</v>
      </c>
      <c r="L37" s="215">
        <f>L36</f>
        <v>0.16148000000000001</v>
      </c>
      <c r="M37" s="278">
        <f>K37*L37</f>
        <v>537652.18144000007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-910355.25</v>
      </c>
      <c r="D38" s="18"/>
      <c r="F38" s="74" t="s">
        <v>15</v>
      </c>
      <c r="G38" s="93">
        <v>7487490</v>
      </c>
      <c r="H38" s="215">
        <f t="shared" ref="H38:H41" si="5">H37</f>
        <v>0.16167000000000001</v>
      </c>
      <c r="I38" s="278">
        <f>G38*H38</f>
        <v>1210502.5083000001</v>
      </c>
      <c r="J38" s="74" t="s">
        <v>16</v>
      </c>
      <c r="K38" s="93">
        <v>1188</v>
      </c>
      <c r="L38" s="215">
        <f t="shared" ref="L38:L40" si="6">L37</f>
        <v>0.16148000000000001</v>
      </c>
      <c r="M38" s="278">
        <f t="shared" si="4"/>
        <v>191.83824000000001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38370.33</v>
      </c>
      <c r="D39" s="18"/>
      <c r="F39" s="74" t="s">
        <v>16</v>
      </c>
      <c r="G39" s="93">
        <v>111067</v>
      </c>
      <c r="H39" s="215">
        <f t="shared" si="5"/>
        <v>0.16167000000000001</v>
      </c>
      <c r="I39" s="278">
        <f t="shared" si="3"/>
        <v>17956.20189</v>
      </c>
      <c r="J39" s="74" t="s">
        <v>17</v>
      </c>
      <c r="K39" s="93">
        <v>0</v>
      </c>
      <c r="L39" s="215">
        <f t="shared" si="6"/>
        <v>0.16148000000000001</v>
      </c>
      <c r="M39" s="278">
        <f t="shared" si="4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3764952.68</v>
      </c>
      <c r="D40" s="18"/>
      <c r="F40" s="74" t="s">
        <v>17</v>
      </c>
      <c r="G40" s="93">
        <f t="shared" ref="G40" si="7">G27</f>
        <v>0</v>
      </c>
      <c r="H40" s="215">
        <f t="shared" si="5"/>
        <v>0.16167000000000001</v>
      </c>
      <c r="I40" s="278">
        <f t="shared" si="3"/>
        <v>0</v>
      </c>
      <c r="J40" s="74" t="s">
        <v>18</v>
      </c>
      <c r="K40" s="93">
        <v>0</v>
      </c>
      <c r="L40" s="215">
        <f t="shared" si="6"/>
        <v>0.16148000000000001</v>
      </c>
      <c r="M40" s="278">
        <f t="shared" si="4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16805194.030000001</v>
      </c>
      <c r="D41" s="18"/>
      <c r="F41" s="74" t="s">
        <v>18</v>
      </c>
      <c r="G41" s="93">
        <v>65536</v>
      </c>
      <c r="H41" s="215">
        <f t="shared" si="5"/>
        <v>0.16167000000000001</v>
      </c>
      <c r="I41" s="278">
        <f t="shared" si="3"/>
        <v>10595.205120000001</v>
      </c>
      <c r="J41" s="73" t="s">
        <v>58</v>
      </c>
      <c r="K41" s="240">
        <f>SUM(K36:K40)</f>
        <v>14201041</v>
      </c>
      <c r="L41" s="241"/>
      <c r="M41" s="71">
        <f>SUM(M36:M40)</f>
        <v>2293184.1006800001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3115249.75-23387.44</f>
        <v>3091862.31</v>
      </c>
      <c r="D42" s="19"/>
      <c r="F42" s="73" t="s">
        <v>58</v>
      </c>
      <c r="G42" s="240">
        <f>SUM(G36:G41)</f>
        <v>29164853</v>
      </c>
      <c r="H42" s="241"/>
      <c r="I42" s="250">
        <f>SUM(I36:I41)</f>
        <v>4715081.7845100006</v>
      </c>
      <c r="J42" s="73"/>
      <c r="K42" s="243">
        <v>14201041</v>
      </c>
      <c r="L42" s="65"/>
      <c r="M42" s="247">
        <f>M41/K41</f>
        <v>0.16148000000000001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0</v>
      </c>
      <c r="D43" s="18"/>
      <c r="F43" s="64"/>
      <c r="G43" s="243">
        <v>29164853</v>
      </c>
      <c r="H43" s="65"/>
      <c r="I43" s="251">
        <f>I42/G42</f>
        <v>0.16167000000000001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4" t="s">
        <v>166</v>
      </c>
      <c r="B45" s="29" t="s">
        <v>68</v>
      </c>
      <c r="C45" s="225">
        <v>27532.3</v>
      </c>
      <c r="D45" s="20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4" t="s">
        <v>170</v>
      </c>
      <c r="B46" s="29" t="s">
        <v>68</v>
      </c>
      <c r="C46" s="225">
        <v>4929.37</v>
      </c>
      <c r="D46" s="21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171</v>
      </c>
      <c r="B47" s="29" t="s">
        <v>68</v>
      </c>
      <c r="C47" s="225">
        <v>1145.3900000000001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47</v>
      </c>
      <c r="B48" s="8"/>
      <c r="C48" s="228">
        <f>-C31</f>
        <v>37639.53</v>
      </c>
      <c r="D48" s="18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88" t="s">
        <v>167</v>
      </c>
      <c r="B49" s="29" t="s">
        <v>96</v>
      </c>
      <c r="C49" s="225">
        <f>9949.25-588.26</f>
        <v>9360.99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51</v>
      </c>
      <c r="B50" s="94" t="s">
        <v>91</v>
      </c>
      <c r="C50" s="225">
        <f>2337208.43-6069355.17-3601460.94+65.46</f>
        <v>-7333542.2199999997</v>
      </c>
      <c r="D50" s="19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7" t="s">
        <v>94</v>
      </c>
      <c r="B51" s="8" t="s">
        <v>87</v>
      </c>
      <c r="C51" s="225">
        <v>-375000</v>
      </c>
      <c r="D51" s="18"/>
      <c r="F51" s="88" t="s">
        <v>61</v>
      </c>
      <c r="G51" s="88"/>
      <c r="H51" s="216">
        <f>K12</f>
        <v>7965131.043250002</v>
      </c>
      <c r="I51" s="217">
        <f>I14</f>
        <v>1480058.8551700001</v>
      </c>
      <c r="J51" s="217">
        <f>L12</f>
        <v>3880198.9367500013</v>
      </c>
      <c r="K51" s="217">
        <f>J14</f>
        <v>670876.84483000007</v>
      </c>
      <c r="L51" s="218">
        <f>SUM(H51:K51)</f>
        <v>13996265.680000005</v>
      </c>
      <c r="M51" s="88"/>
    </row>
    <row r="52" spans="1:20" ht="15.6" customHeight="1" thickBot="1">
      <c r="A52" s="32" t="s">
        <v>48</v>
      </c>
      <c r="B52" s="232"/>
      <c r="C52" s="53">
        <f>SUM(C41:C51)</f>
        <v>12276121.700000003</v>
      </c>
      <c r="D52" s="206"/>
      <c r="F52" s="87" t="s">
        <v>43</v>
      </c>
      <c r="H52" s="216">
        <f>-I42</f>
        <v>-4715081.7845100006</v>
      </c>
      <c r="I52" s="217">
        <f>-I30</f>
        <v>-2788745.98593</v>
      </c>
      <c r="J52" s="217">
        <f>-M41</f>
        <v>-2293184.1006800001</v>
      </c>
      <c r="K52" s="217">
        <f>-M28</f>
        <v>-1271277.1903200001</v>
      </c>
      <c r="L52" s="219">
        <f>SUM(H52:K52)</f>
        <v>-11068289.061440002</v>
      </c>
    </row>
    <row r="53" spans="1:20" ht="15.6" customHeight="1" thickTop="1" thickBot="1">
      <c r="A53" s="88" t="s">
        <v>172</v>
      </c>
      <c r="B53" s="30" t="s">
        <v>173</v>
      </c>
      <c r="C53" s="225"/>
      <c r="D53" s="18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164</v>
      </c>
      <c r="B54" s="8" t="s">
        <v>102</v>
      </c>
      <c r="C54" s="225">
        <v>-290560.8</v>
      </c>
      <c r="D54" s="18"/>
      <c r="F54" s="1" t="s">
        <v>30</v>
      </c>
      <c r="H54" s="245">
        <f>H51+H52+H53</f>
        <v>3250049.2587400014</v>
      </c>
      <c r="I54" s="245">
        <f>I51+I52+I53</f>
        <v>-1308687.1307599999</v>
      </c>
      <c r="J54" s="245">
        <f>J51+J52+J53</f>
        <v>1587014.8360700011</v>
      </c>
      <c r="K54" s="245">
        <f>K51+K52+K53</f>
        <v>-600400.34548999998</v>
      </c>
      <c r="L54" s="26">
        <f>SUM(H54:K54)</f>
        <v>2927976.6185600022</v>
      </c>
    </row>
    <row r="55" spans="1:20" ht="15.6" customHeight="1">
      <c r="A55" s="87" t="s">
        <v>165</v>
      </c>
      <c r="B55" s="8" t="s">
        <v>103</v>
      </c>
      <c r="C55" s="225">
        <v>-140230.92000000001</v>
      </c>
      <c r="D55" s="18"/>
      <c r="F55" s="87" t="s">
        <v>82</v>
      </c>
      <c r="H55" s="87" t="s">
        <v>76</v>
      </c>
      <c r="I55" s="2">
        <f>SUM(H54:I54)</f>
        <v>1941362.1279800015</v>
      </c>
      <c r="J55" s="8" t="s">
        <v>77</v>
      </c>
      <c r="K55" s="87">
        <f>SUM(J54:K54)</f>
        <v>986614.49058000115</v>
      </c>
      <c r="L55"/>
    </row>
    <row r="56" spans="1:20" ht="15.6" customHeight="1" thickBot="1">
      <c r="A56" s="1" t="s">
        <v>149</v>
      </c>
      <c r="C56" s="53">
        <f>SUM(C52:C55)</f>
        <v>11845329.980000002</v>
      </c>
      <c r="D56" s="18"/>
      <c r="F56" s="197" t="s">
        <v>83</v>
      </c>
      <c r="H56" s="35"/>
      <c r="T56" s="22"/>
    </row>
    <row r="57" spans="1:20" ht="15.6" customHeight="1" thickTop="1" thickBot="1">
      <c r="C57" s="229"/>
      <c r="D57" s="18"/>
      <c r="F57" s="197"/>
      <c r="H57" s="35"/>
    </row>
    <row r="58" spans="1:20" ht="15.6" customHeight="1" thickBot="1">
      <c r="A58" s="8"/>
      <c r="B58" s="8" t="s">
        <v>38</v>
      </c>
      <c r="C58" s="40">
        <f>C56+C32</f>
        <v>13996265.680000003</v>
      </c>
      <c r="D58" s="18"/>
      <c r="F58" s="197"/>
      <c r="H58" s="35"/>
    </row>
    <row r="59" spans="1:20" ht="15.6" customHeight="1" thickBot="1">
      <c r="A59" s="30"/>
      <c r="B59" s="30"/>
      <c r="C59" s="227"/>
      <c r="D59" s="18"/>
      <c r="F59" s="197"/>
      <c r="H59" s="52"/>
      <c r="I59" s="198"/>
      <c r="J59" s="198"/>
      <c r="K59" s="75"/>
      <c r="L59" s="198"/>
    </row>
    <row r="60" spans="1:20" ht="15.6" customHeight="1">
      <c r="B60" s="8" t="s">
        <v>148</v>
      </c>
      <c r="C60" s="225">
        <v>13996265.68</v>
      </c>
      <c r="D60" s="18"/>
      <c r="F60" s="199"/>
      <c r="H60" s="89" t="s">
        <v>90</v>
      </c>
      <c r="I60" s="90"/>
    </row>
    <row r="61" spans="1:20" ht="15.6" customHeight="1" thickBot="1">
      <c r="A61" s="8"/>
      <c r="B61" s="8" t="s">
        <v>71</v>
      </c>
      <c r="C61" s="231">
        <f>ROUND(C58-C60,2)</f>
        <v>0</v>
      </c>
      <c r="D61" s="19"/>
      <c r="H61" s="82" t="s">
        <v>78</v>
      </c>
      <c r="I61" s="83" t="s">
        <v>79</v>
      </c>
      <c r="J61" s="2"/>
      <c r="N61" s="2"/>
    </row>
    <row r="62" spans="1:20" ht="15.6" customHeight="1" thickBot="1">
      <c r="C62" s="85"/>
      <c r="H62" s="84" t="e">
        <f>'191010 WA DEF'!E37+'191010 WA DEF'!E38+'191010 WA DEF'!E39+'191000 WA Amort'!H37+'191000 WA Amort'!H38+'191000 WA Amort'!H39+#REF!+#REF!+#REF!+#REF!+#REF!+#REF!</f>
        <v>#REF!</v>
      </c>
      <c r="I62" s="91" t="e">
        <f>'191010 WA DEF'!F36+'191010 WA DEF'!F38+'191010 WA DEF'!F39+'191000 WA Amort'!I36+'191000 WA Amort'!I38+'191000 WA Amort'!I39+#REF!+#REF!+#REF!+#REF!+#REF!+#REF!</f>
        <v>#REF!</v>
      </c>
      <c r="O62" s="2"/>
      <c r="P62" s="200"/>
    </row>
    <row r="63" spans="1:20" ht="15.6" customHeight="1">
      <c r="C63" s="5"/>
      <c r="D63" s="18"/>
      <c r="G63" s="2"/>
      <c r="I63" s="244" t="e">
        <f>H62-I62</f>
        <v>#REF!</v>
      </c>
      <c r="N63" s="10"/>
      <c r="S63" s="3"/>
    </row>
    <row r="64" spans="1:20" ht="15.6" customHeight="1">
      <c r="C64" s="5"/>
      <c r="D64" s="23"/>
      <c r="G64" s="271"/>
      <c r="H64" s="272"/>
      <c r="I64" s="263"/>
      <c r="J64" s="2"/>
      <c r="N64" s="10"/>
    </row>
    <row r="65" spans="3:21" ht="15.6" customHeight="1">
      <c r="C65" s="37"/>
      <c r="D65" s="18"/>
      <c r="G65" s="271"/>
      <c r="H65" s="272"/>
      <c r="I65" s="264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199"/>
      <c r="H67" s="260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199"/>
      <c r="G69" s="199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77" priority="38" stopIfTrue="1" operator="equal">
      <formula>0</formula>
    </cfRule>
    <cfRule type="cellIs" dxfId="76" priority="39" stopIfTrue="1" operator="notEqual">
      <formula>0</formula>
    </cfRule>
  </conditionalFormatting>
  <conditionalFormatting sqref="K44:K46">
    <cfRule type="cellIs" dxfId="75" priority="37" operator="notEqual">
      <formula>0</formula>
    </cfRule>
  </conditionalFormatting>
  <conditionalFormatting sqref="C61">
    <cfRule type="cellIs" dxfId="74" priority="35" stopIfTrue="1" operator="equal">
      <formula>0</formula>
    </cfRule>
    <cfRule type="cellIs" dxfId="73" priority="36" stopIfTrue="1" operator="notEqual">
      <formula>0</formula>
    </cfRule>
  </conditionalFormatting>
  <conditionalFormatting sqref="H15">
    <cfRule type="cellIs" dxfId="72" priority="33" stopIfTrue="1" operator="equal">
      <formula>0</formula>
    </cfRule>
    <cfRule type="cellIs" dxfId="71" priority="34" stopIfTrue="1" operator="notEqual">
      <formula>0</formula>
    </cfRule>
  </conditionalFormatting>
  <conditionalFormatting sqref="H15">
    <cfRule type="cellIs" dxfId="70" priority="31" stopIfTrue="1" operator="equal">
      <formula>0</formula>
    </cfRule>
    <cfRule type="cellIs" dxfId="69" priority="32" stopIfTrue="1" operator="notEqual">
      <formula>0</formula>
    </cfRule>
  </conditionalFormatting>
  <conditionalFormatting sqref="J15">
    <cfRule type="cellIs" dxfId="68" priority="29" stopIfTrue="1" operator="equal">
      <formula>0</formula>
    </cfRule>
    <cfRule type="cellIs" dxfId="67" priority="30" stopIfTrue="1" operator="notEqual">
      <formula>0</formula>
    </cfRule>
  </conditionalFormatting>
  <conditionalFormatting sqref="J15">
    <cfRule type="cellIs" dxfId="66" priority="27" stopIfTrue="1" operator="equal">
      <formula>0</formula>
    </cfRule>
    <cfRule type="cellIs" dxfId="65" priority="28" stopIfTrue="1" operator="notEqual">
      <formula>0</formula>
    </cfRule>
  </conditionalFormatting>
  <conditionalFormatting sqref="L15">
    <cfRule type="cellIs" dxfId="64" priority="25" stopIfTrue="1" operator="equal">
      <formula>0</formula>
    </cfRule>
    <cfRule type="cellIs" dxfId="63" priority="26" stopIfTrue="1" operator="notEqual">
      <formula>0</formula>
    </cfRule>
  </conditionalFormatting>
  <conditionalFormatting sqref="L15">
    <cfRule type="cellIs" dxfId="62" priority="23" stopIfTrue="1" operator="equal">
      <formula>0</formula>
    </cfRule>
    <cfRule type="cellIs" dxfId="61" priority="24" stopIfTrue="1" operator="notEqual">
      <formula>0</formula>
    </cfRule>
  </conditionalFormatting>
  <conditionalFormatting sqref="G32">
    <cfRule type="cellIs" dxfId="60" priority="21" stopIfTrue="1" operator="equal">
      <formula>0</formula>
    </cfRule>
    <cfRule type="cellIs" dxfId="59" priority="22" stopIfTrue="1" operator="notEqual">
      <formula>0</formula>
    </cfRule>
  </conditionalFormatting>
  <conditionalFormatting sqref="G32">
    <cfRule type="cellIs" dxfId="58" priority="19" stopIfTrue="1" operator="equal">
      <formula>0</formula>
    </cfRule>
    <cfRule type="cellIs" dxfId="57" priority="20" stopIfTrue="1" operator="notEqual">
      <formula>0</formula>
    </cfRule>
  </conditionalFormatting>
  <conditionalFormatting sqref="G44">
    <cfRule type="cellIs" dxfId="56" priority="17" stopIfTrue="1" operator="equal">
      <formula>0</formula>
    </cfRule>
    <cfRule type="cellIs" dxfId="55" priority="18" stopIfTrue="1" operator="notEqual">
      <formula>0</formula>
    </cfRule>
  </conditionalFormatting>
  <conditionalFormatting sqref="G44">
    <cfRule type="cellIs" dxfId="54" priority="15" stopIfTrue="1" operator="equal">
      <formula>0</formula>
    </cfRule>
    <cfRule type="cellIs" dxfId="53" priority="16" stopIfTrue="1" operator="notEqual">
      <formula>0</formula>
    </cfRule>
  </conditionalFormatting>
  <conditionalFormatting sqref="K30">
    <cfRule type="cellIs" dxfId="52" priority="13" stopIfTrue="1" operator="equal">
      <formula>0</formula>
    </cfRule>
    <cfRule type="cellIs" dxfId="51" priority="14" stopIfTrue="1" operator="notEqual">
      <formula>0</formula>
    </cfRule>
  </conditionalFormatting>
  <conditionalFormatting sqref="K30">
    <cfRule type="cellIs" dxfId="50" priority="11" stopIfTrue="1" operator="equal">
      <formula>0</formula>
    </cfRule>
    <cfRule type="cellIs" dxfId="49" priority="12" stopIfTrue="1" operator="notEqual">
      <formula>0</formula>
    </cfRule>
  </conditionalFormatting>
  <conditionalFormatting sqref="K43">
    <cfRule type="cellIs" dxfId="48" priority="9" stopIfTrue="1" operator="equal">
      <formula>0</formula>
    </cfRule>
    <cfRule type="cellIs" dxfId="47" priority="10" stopIfTrue="1" operator="notEqual">
      <formula>0</formula>
    </cfRule>
  </conditionalFormatting>
  <conditionalFormatting sqref="K43">
    <cfRule type="cellIs" dxfId="46" priority="7" stopIfTrue="1" operator="equal">
      <formula>0</formula>
    </cfRule>
    <cfRule type="cellIs" dxfId="45" priority="8" stopIfTrue="1" operator="notEqual">
      <formula>0</formula>
    </cfRule>
  </conditionalFormatting>
  <conditionalFormatting sqref="G60">
    <cfRule type="cellIs" dxfId="44" priority="6" operator="equal">
      <formula>"ERROR"</formula>
    </cfRule>
  </conditionalFormatting>
  <conditionalFormatting sqref="G60">
    <cfRule type="cellIs" dxfId="43" priority="5" operator="equal">
      <formula>"ERROR"</formula>
    </cfRule>
  </conditionalFormatting>
  <conditionalFormatting sqref="G67">
    <cfRule type="cellIs" dxfId="42" priority="4" operator="equal">
      <formula>"ERROR"</formula>
    </cfRule>
  </conditionalFormatting>
  <conditionalFormatting sqref="G67">
    <cfRule type="cellIs" dxfId="41" priority="3" operator="equal">
      <formula>"ERROR"</formula>
    </cfRule>
  </conditionalFormatting>
  <conditionalFormatting sqref="H69">
    <cfRule type="cellIs" dxfId="40" priority="2" operator="equal">
      <formula>"ERROR"</formula>
    </cfRule>
  </conditionalFormatting>
  <conditionalFormatting sqref="H69">
    <cfRule type="cellIs" dxfId="39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CC91-117C-4803-AD25-7F0BDDCFCF89}">
  <sheetPr transitionEvaluation="1">
    <tabColor rgb="FF00CC66"/>
    <pageSetUpPr fitToPage="1"/>
  </sheetPr>
  <dimension ref="A1:U1487"/>
  <sheetViews>
    <sheetView showGridLines="0" topLeftCell="C28" zoomScale="85" zoomScaleNormal="85" workbookViewId="0">
      <selection activeCell="I54" sqref="I54"/>
    </sheetView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202103</v>
      </c>
      <c r="F1" s="92">
        <f>C1</f>
        <v>202103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3631690.92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22787.14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0.68710000000000004</v>
      </c>
      <c r="L5" s="233">
        <f>1-K5</f>
        <v>0.31289999999999996</v>
      </c>
      <c r="M5" s="88"/>
    </row>
    <row r="6" spans="1:13" ht="15.6" customHeight="1" thickBot="1">
      <c r="A6" s="27" t="s">
        <v>7</v>
      </c>
      <c r="C6" s="226">
        <f>-1484819.23-423508.04-121002.3-144597.75-97479.45</f>
        <v>-2271406.7700000005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1383071.2899999996</v>
      </c>
      <c r="D7" s="17"/>
      <c r="F7" s="58" t="s">
        <v>147</v>
      </c>
      <c r="G7" s="58"/>
      <c r="H7" s="40">
        <f>C32</f>
        <v>2255714.9299999997</v>
      </c>
      <c r="I7" s="59">
        <f>H7*I5</f>
        <v>1552157.4433329999</v>
      </c>
      <c r="J7" s="59">
        <f>H7*J5</f>
        <v>703557.48666699987</v>
      </c>
      <c r="K7" s="59"/>
      <c r="L7" s="59"/>
      <c r="M7" s="88"/>
    </row>
    <row r="8" spans="1:13" ht="15.6" customHeight="1">
      <c r="A8" s="87" t="s">
        <v>174</v>
      </c>
      <c r="C8" s="225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v>8157.27</v>
      </c>
      <c r="D9" s="18"/>
      <c r="F9" s="58" t="s">
        <v>48</v>
      </c>
      <c r="G9" s="88"/>
      <c r="H9" s="234">
        <f>C55</f>
        <v>4020076.4399999995</v>
      </c>
      <c r="I9" s="59"/>
      <c r="J9" s="59"/>
      <c r="K9" s="236">
        <f>H9*K5</f>
        <v>2762194.5219239998</v>
      </c>
      <c r="L9" s="236">
        <f>H9*L5</f>
        <v>1257881.9180759997</v>
      </c>
      <c r="M9" s="88"/>
    </row>
    <row r="10" spans="1:13" ht="15.6" customHeight="1">
      <c r="A10" s="27" t="s">
        <v>176</v>
      </c>
      <c r="C10" s="226">
        <v>-2848.33</v>
      </c>
      <c r="D10" s="18"/>
      <c r="F10" s="61" t="s">
        <v>19</v>
      </c>
      <c r="G10" s="88"/>
      <c r="H10" s="234">
        <f>C58+C57</f>
        <v>308537.56</v>
      </c>
      <c r="I10" s="59"/>
      <c r="J10" s="59"/>
      <c r="K10" s="236">
        <f>H10</f>
        <v>308537.56</v>
      </c>
      <c r="L10" s="236"/>
      <c r="M10" s="88"/>
    </row>
    <row r="11" spans="1:13" ht="15.6" customHeight="1">
      <c r="A11" s="30" t="s">
        <v>64</v>
      </c>
      <c r="C11" s="224">
        <f>SUM(C8:C10)</f>
        <v>215876.15</v>
      </c>
      <c r="D11" s="18"/>
      <c r="F11" s="61" t="s">
        <v>20</v>
      </c>
      <c r="G11" s="88"/>
      <c r="H11" s="235">
        <f>C59+C56</f>
        <v>162136.15</v>
      </c>
      <c r="I11" s="59"/>
      <c r="J11" s="59"/>
      <c r="K11" s="237"/>
      <c r="L11" s="237">
        <f>H11</f>
        <v>162136.15</v>
      </c>
      <c r="M11" s="88"/>
    </row>
    <row r="12" spans="1:13" ht="15.6" customHeight="1">
      <c r="A12" s="87" t="s">
        <v>105</v>
      </c>
      <c r="C12" s="225">
        <v>157397.35</v>
      </c>
      <c r="D12" s="18"/>
      <c r="F12" s="61" t="s">
        <v>62</v>
      </c>
      <c r="G12" s="88"/>
      <c r="H12" s="223">
        <f>H9+H10+H11</f>
        <v>4490750.1499999994</v>
      </c>
      <c r="I12" s="59"/>
      <c r="J12" s="59"/>
      <c r="K12" s="59">
        <f>SUM(K9:K11)</f>
        <v>3070732.0819239998</v>
      </c>
      <c r="L12" s="59">
        <f>SUM(L9:L11)</f>
        <v>1420018.0680759996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157397.35</v>
      </c>
      <c r="D14" s="19"/>
      <c r="F14" s="88" t="s">
        <v>28</v>
      </c>
      <c r="G14" s="58"/>
      <c r="H14" s="40">
        <f>H12+H7</f>
        <v>6746465.0799999991</v>
      </c>
      <c r="I14" s="210">
        <f>SUM(I7:I13)</f>
        <v>1552157.4433329999</v>
      </c>
      <c r="J14" s="210">
        <f>SUM(J7:J13)</f>
        <v>703557.48666699987</v>
      </c>
      <c r="K14" s="210">
        <f>K12</f>
        <v>3070732.0819239998</v>
      </c>
      <c r="L14" s="210">
        <f>L12</f>
        <v>1420018.0680759996</v>
      </c>
      <c r="M14" s="88"/>
    </row>
    <row r="15" spans="1:13" ht="15.6" customHeight="1">
      <c r="A15" s="87" t="s">
        <v>178</v>
      </c>
      <c r="C15" s="225">
        <v>426745.89</v>
      </c>
      <c r="D15" s="18"/>
      <c r="F15" s="88"/>
      <c r="G15" s="30" t="s">
        <v>41</v>
      </c>
      <c r="H15" s="231">
        <f>H14-C62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426745.89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v>107016.83</v>
      </c>
      <c r="D18" s="18"/>
      <c r="F18" s="280" t="s">
        <v>59</v>
      </c>
      <c r="G18" s="281"/>
      <c r="H18" s="281"/>
      <c r="I18" s="282"/>
      <c r="J18" s="280" t="s">
        <v>60</v>
      </c>
      <c r="K18" s="281"/>
      <c r="L18" s="281"/>
      <c r="M18" s="282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107016.83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v>1850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1850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14741098</v>
      </c>
      <c r="H23" s="215">
        <v>9.8220000000000002E-2</v>
      </c>
      <c r="I23" s="278">
        <f t="shared" ref="I23:I29" si="0">G23*H23</f>
        <v>1447870.6455600001</v>
      </c>
      <c r="J23" s="74" t="s">
        <v>14</v>
      </c>
      <c r="K23" s="93">
        <v>7153037</v>
      </c>
      <c r="L23" s="215">
        <v>8.9520000000000002E-2</v>
      </c>
      <c r="M23" s="278">
        <f t="shared" ref="M23:M27" si="1">K23*L23</f>
        <v>640339.87224000006</v>
      </c>
    </row>
    <row r="24" spans="1:13" ht="15.6" customHeight="1">
      <c r="A24" s="77" t="s">
        <v>192</v>
      </c>
      <c r="C24" s="225">
        <v>-12148.65</v>
      </c>
      <c r="D24" s="18"/>
      <c r="F24" s="74" t="s">
        <v>93</v>
      </c>
      <c r="G24" s="93">
        <v>24419</v>
      </c>
      <c r="H24" s="215">
        <v>9.8220000000000002E-2</v>
      </c>
      <c r="I24" s="278">
        <f t="shared" si="0"/>
        <v>2398.4341800000002</v>
      </c>
      <c r="J24" s="74" t="s">
        <v>15</v>
      </c>
      <c r="K24" s="93">
        <v>2841316</v>
      </c>
      <c r="L24" s="215">
        <v>8.9520000000000002E-2</v>
      </c>
      <c r="M24" s="278">
        <f t="shared" si="1"/>
        <v>254354.60832</v>
      </c>
    </row>
    <row r="25" spans="1:13" ht="15.6" customHeight="1">
      <c r="A25" s="77" t="s">
        <v>193</v>
      </c>
      <c r="C25" s="225">
        <v>6850.48</v>
      </c>
      <c r="D25" s="18"/>
      <c r="F25" s="74" t="s">
        <v>15</v>
      </c>
      <c r="G25" s="93">
        <v>6893495</v>
      </c>
      <c r="H25" s="215">
        <v>8.8349999999999998E-2</v>
      </c>
      <c r="I25" s="278">
        <f>G25*H25</f>
        <v>609040.28324999998</v>
      </c>
      <c r="J25" s="74" t="s">
        <v>16</v>
      </c>
      <c r="K25" s="93">
        <v>826</v>
      </c>
      <c r="L25" s="215">
        <v>8.9520000000000002E-2</v>
      </c>
      <c r="M25" s="278">
        <f>K25*L25</f>
        <v>73.943520000000007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101451</v>
      </c>
      <c r="H26" s="215">
        <v>8.8349999999999998E-2</v>
      </c>
      <c r="I26" s="278">
        <f t="shared" si="0"/>
        <v>8963.1958500000001</v>
      </c>
      <c r="J26" s="74" t="s">
        <v>17</v>
      </c>
      <c r="K26" s="93">
        <v>0</v>
      </c>
      <c r="L26" s="215"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-5298.17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183531</v>
      </c>
      <c r="H28" s="215">
        <v>5.6399999999999999E-2</v>
      </c>
      <c r="I28" s="278">
        <f t="shared" si="0"/>
        <v>10351.1484</v>
      </c>
      <c r="J28" s="73" t="s">
        <v>53</v>
      </c>
      <c r="K28" s="240">
        <f>SUM(K23:K27)</f>
        <v>9995179</v>
      </c>
      <c r="L28" s="241"/>
      <c r="M28" s="71">
        <f>SUM(M23:M27)</f>
        <v>894768.42408000003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2950398</v>
      </c>
      <c r="H29" s="215">
        <v>5.4000000000000001E-4</v>
      </c>
      <c r="I29" s="278">
        <f t="shared" si="0"/>
        <v>1593.2149200000001</v>
      </c>
      <c r="J29" s="74"/>
      <c r="K29" s="243">
        <v>9995179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2286659.34</v>
      </c>
      <c r="D30" s="19"/>
      <c r="F30" s="73" t="s">
        <v>53</v>
      </c>
      <c r="G30" s="240">
        <f>SUM(G23:G29)</f>
        <v>24894392</v>
      </c>
      <c r="H30" s="6"/>
      <c r="I30" s="71">
        <f>SUM(I23:I29)</f>
        <v>2080216.9221600003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-30944.41</v>
      </c>
      <c r="D31" s="20"/>
      <c r="F31" s="64"/>
      <c r="G31" s="243">
        <v>24894392</v>
      </c>
      <c r="H31" s="65"/>
      <c r="I31" s="242">
        <f>I30/G30</f>
        <v>8.3561668112239904E-2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2255714.9299999997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f>8825093.26-65273.47</f>
        <v>8759819.7899999991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279">
        <f>+G23</f>
        <v>14741098</v>
      </c>
      <c r="H36" s="215">
        <v>0.16167000000000001</v>
      </c>
      <c r="I36" s="278">
        <f t="shared" ref="I36:I41" si="2">G36*H36</f>
        <v>2383193.31366</v>
      </c>
      <c r="J36" s="74" t="s">
        <v>14</v>
      </c>
      <c r="K36" s="279">
        <f>+K23</f>
        <v>7153037</v>
      </c>
      <c r="L36" s="215">
        <v>0.16148000000000001</v>
      </c>
      <c r="M36" s="278">
        <f t="shared" ref="M36:M40" si="3">K36*L36</f>
        <v>1155072.4147600001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-41461.96</v>
      </c>
      <c r="D37" s="18"/>
      <c r="F37" s="74" t="s">
        <v>93</v>
      </c>
      <c r="G37" s="279">
        <f t="shared" ref="G37:G41" si="4">+G24</f>
        <v>24419</v>
      </c>
      <c r="H37" s="215">
        <v>0.16167000000000001</v>
      </c>
      <c r="I37" s="278">
        <f t="shared" si="2"/>
        <v>3947.8197300000002</v>
      </c>
      <c r="J37" s="74" t="s">
        <v>15</v>
      </c>
      <c r="K37" s="279">
        <f t="shared" ref="K37:K40" si="5">+K24</f>
        <v>2841316</v>
      </c>
      <c r="L37" s="215">
        <v>0.16148000000000001</v>
      </c>
      <c r="M37" s="278">
        <f>K37*L37</f>
        <v>458815.70768000005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-1628312.65</v>
      </c>
      <c r="D38" s="18"/>
      <c r="F38" s="74" t="s">
        <v>15</v>
      </c>
      <c r="G38" s="279">
        <f t="shared" si="4"/>
        <v>6893495</v>
      </c>
      <c r="H38" s="215">
        <v>0.16167000000000001</v>
      </c>
      <c r="I38" s="278">
        <f>G38*H38</f>
        <v>1114471.33665</v>
      </c>
      <c r="J38" s="74" t="s">
        <v>16</v>
      </c>
      <c r="K38" s="279">
        <f t="shared" si="5"/>
        <v>826</v>
      </c>
      <c r="L38" s="215">
        <v>0.16148000000000001</v>
      </c>
      <c r="M38" s="278">
        <f t="shared" si="3"/>
        <v>133.38248000000002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-65395.49</v>
      </c>
      <c r="D39" s="18"/>
      <c r="F39" s="74" t="s">
        <v>16</v>
      </c>
      <c r="G39" s="279">
        <f t="shared" si="4"/>
        <v>101451</v>
      </c>
      <c r="H39" s="215">
        <v>0.16167000000000001</v>
      </c>
      <c r="I39" s="278">
        <f t="shared" si="2"/>
        <v>16401.583170000002</v>
      </c>
      <c r="J39" s="74" t="s">
        <v>17</v>
      </c>
      <c r="K39" s="279">
        <f t="shared" si="5"/>
        <v>0</v>
      </c>
      <c r="L39" s="215">
        <v>0.16148000000000001</v>
      </c>
      <c r="M39" s="278">
        <f t="shared" si="3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541664.44999999995</v>
      </c>
      <c r="D40" s="18"/>
      <c r="F40" s="74" t="s">
        <v>17</v>
      </c>
      <c r="G40" s="279">
        <f t="shared" si="4"/>
        <v>0</v>
      </c>
      <c r="H40" s="215">
        <v>0.16167000000000001</v>
      </c>
      <c r="I40" s="278">
        <f t="shared" si="2"/>
        <v>0</v>
      </c>
      <c r="J40" s="74" t="s">
        <v>18</v>
      </c>
      <c r="K40" s="279">
        <f t="shared" si="5"/>
        <v>0</v>
      </c>
      <c r="L40" s="215">
        <v>0.16148000000000001</v>
      </c>
      <c r="M40" s="278">
        <f t="shared" si="3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7566314.1399999978</v>
      </c>
      <c r="D41" s="18"/>
      <c r="F41" s="74" t="s">
        <v>18</v>
      </c>
      <c r="G41" s="279">
        <f t="shared" si="4"/>
        <v>183531</v>
      </c>
      <c r="H41" s="215">
        <v>0.16167000000000001</v>
      </c>
      <c r="I41" s="278">
        <f t="shared" si="2"/>
        <v>29671.456770000001</v>
      </c>
      <c r="J41" s="73" t="s">
        <v>58</v>
      </c>
      <c r="K41" s="240">
        <f>SUM(K36:K40)</f>
        <v>9995179</v>
      </c>
      <c r="L41" s="241"/>
      <c r="M41" s="71">
        <f>SUM(M36:M40)</f>
        <v>1614021.50492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2442071.88-43528.85</f>
        <v>2398543.0299999998</v>
      </c>
      <c r="D42" s="19"/>
      <c r="F42" s="73" t="s">
        <v>58</v>
      </c>
      <c r="G42" s="240">
        <f>SUM(G36:G41)</f>
        <v>21943994</v>
      </c>
      <c r="H42" s="241"/>
      <c r="I42" s="250">
        <f>SUM(I36:I41)</f>
        <v>3547685.5099800001</v>
      </c>
      <c r="J42" s="73"/>
      <c r="K42" s="243">
        <v>9995179</v>
      </c>
      <c r="L42" s="65"/>
      <c r="M42" s="247">
        <f>M41/K41</f>
        <v>0.16147999999999998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-8146.65</v>
      </c>
      <c r="D43" s="18"/>
      <c r="F43" s="64"/>
      <c r="G43" s="243">
        <v>21943994</v>
      </c>
      <c r="H43" s="65"/>
      <c r="I43" s="251">
        <f>I42/G42</f>
        <v>0.16167000000000001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259" t="s">
        <v>196</v>
      </c>
      <c r="B45" s="8" t="s">
        <v>46</v>
      </c>
      <c r="C45" s="225">
        <v>2508.81</v>
      </c>
      <c r="D45" s="19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259" t="s">
        <v>196</v>
      </c>
      <c r="B46" s="29" t="s">
        <v>68</v>
      </c>
      <c r="C46" s="225">
        <v>1.06</v>
      </c>
      <c r="D46" s="19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166</v>
      </c>
      <c r="B47" s="29" t="s">
        <v>68</v>
      </c>
      <c r="C47" s="225">
        <v>23799.56</v>
      </c>
      <c r="D47" s="20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4" t="s">
        <v>170</v>
      </c>
      <c r="B48" s="29" t="s">
        <v>68</v>
      </c>
      <c r="C48" s="225">
        <v>3364.29</v>
      </c>
      <c r="D48" s="21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4" t="s">
        <v>171</v>
      </c>
      <c r="B49" s="29" t="s">
        <v>68</v>
      </c>
      <c r="C49" s="225">
        <v>2229.27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10" t="s">
        <v>47</v>
      </c>
      <c r="B50" s="8"/>
      <c r="C50" s="228">
        <f>-C31</f>
        <v>30944.41</v>
      </c>
      <c r="D50" s="18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8" t="s">
        <v>167</v>
      </c>
      <c r="B51" s="29" t="s">
        <v>96</v>
      </c>
      <c r="C51" s="225">
        <f>9673.65-3207.69</f>
        <v>6465.9599999999991</v>
      </c>
      <c r="D51" s="18"/>
      <c r="F51" s="88" t="s">
        <v>61</v>
      </c>
      <c r="G51" s="88"/>
      <c r="H51" s="216">
        <f>K12</f>
        <v>3070732.0819239998</v>
      </c>
      <c r="I51" s="217">
        <f>I14</f>
        <v>1552157.4433329999</v>
      </c>
      <c r="J51" s="217">
        <f>L12</f>
        <v>1420018.0680759996</v>
      </c>
      <c r="K51" s="217">
        <f>J14</f>
        <v>703557.48666699987</v>
      </c>
      <c r="L51" s="218">
        <f>SUM(H51:K51)</f>
        <v>6746465.0799999991</v>
      </c>
      <c r="M51" s="88"/>
    </row>
    <row r="52" spans="1:20" ht="15.6" customHeight="1" thickBot="1">
      <c r="A52" s="86" t="s">
        <v>51</v>
      </c>
      <c r="B52" s="94" t="s">
        <v>91</v>
      </c>
      <c r="C52" s="225">
        <f>-166871.25-3599910.23-1877941.99+8988.03</f>
        <v>-5635735.4399999995</v>
      </c>
      <c r="D52" s="19"/>
      <c r="F52" s="87" t="s">
        <v>43</v>
      </c>
      <c r="H52" s="216">
        <f>-I42</f>
        <v>-3547685.5099800001</v>
      </c>
      <c r="I52" s="217">
        <f>-I30</f>
        <v>-2080216.9221600003</v>
      </c>
      <c r="J52" s="217">
        <f>-M41</f>
        <v>-1614021.50492</v>
      </c>
      <c r="K52" s="217">
        <f>-M28</f>
        <v>-894768.42408000003</v>
      </c>
      <c r="L52" s="219">
        <f>SUM(H52:K52)</f>
        <v>-8136692.3611400006</v>
      </c>
    </row>
    <row r="53" spans="1:20" ht="15.6" customHeight="1" thickBot="1">
      <c r="A53" s="86" t="s">
        <v>197</v>
      </c>
      <c r="B53" s="94" t="s">
        <v>198</v>
      </c>
      <c r="C53" s="225">
        <v>-2212</v>
      </c>
      <c r="D53" s="19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94</v>
      </c>
      <c r="B54" s="8" t="s">
        <v>87</v>
      </c>
      <c r="C54" s="225">
        <v>-375000</v>
      </c>
      <c r="D54" s="18"/>
      <c r="F54" s="1" t="s">
        <v>30</v>
      </c>
      <c r="H54" s="245">
        <f>H51+H52+H53</f>
        <v>-476953.42805600027</v>
      </c>
      <c r="I54" s="245">
        <f>I51+I52+I53</f>
        <v>-528059.47882700036</v>
      </c>
      <c r="J54" s="245">
        <f>J51+J52+J53</f>
        <v>-194003.43684400036</v>
      </c>
      <c r="K54" s="245">
        <f>K51+K52+K53</f>
        <v>-191210.93741300015</v>
      </c>
      <c r="L54" s="26">
        <f>SUM(H54:K54)</f>
        <v>-1390227.281140001</v>
      </c>
    </row>
    <row r="55" spans="1:20" ht="15.6" customHeight="1" thickBot="1">
      <c r="A55" s="32" t="s">
        <v>48</v>
      </c>
      <c r="B55" s="232"/>
      <c r="C55" s="53">
        <f>SUM(C41:C54)</f>
        <v>4020076.4399999995</v>
      </c>
      <c r="D55" s="206"/>
      <c r="F55" s="87" t="s">
        <v>82</v>
      </c>
      <c r="H55" s="87" t="s">
        <v>76</v>
      </c>
      <c r="I55" s="2">
        <f>SUM(H54:I54)</f>
        <v>-1005012.9068830006</v>
      </c>
      <c r="J55" s="8" t="s">
        <v>77</v>
      </c>
      <c r="K55" s="87">
        <f>SUM(J54:K54)</f>
        <v>-385214.37425700051</v>
      </c>
      <c r="L55"/>
    </row>
    <row r="56" spans="1:20" ht="15.6" customHeight="1" thickTop="1">
      <c r="A56" s="88" t="s">
        <v>172</v>
      </c>
      <c r="B56" s="30" t="s">
        <v>173</v>
      </c>
      <c r="C56" s="225">
        <v>0</v>
      </c>
      <c r="D56" s="18"/>
      <c r="F56" s="197" t="s">
        <v>83</v>
      </c>
      <c r="H56" s="35"/>
      <c r="T56" s="22"/>
    </row>
    <row r="57" spans="1:20" ht="15.6" customHeight="1">
      <c r="A57" s="88" t="s">
        <v>194</v>
      </c>
      <c r="B57" s="30" t="s">
        <v>195</v>
      </c>
      <c r="C57" s="225">
        <v>-28878</v>
      </c>
      <c r="D57" s="18"/>
      <c r="F57" s="197"/>
      <c r="H57" s="35"/>
    </row>
    <row r="58" spans="1:20" ht="15.6" customHeight="1">
      <c r="A58" s="87" t="s">
        <v>164</v>
      </c>
      <c r="B58" s="8" t="s">
        <v>102</v>
      </c>
      <c r="C58" s="225">
        <v>337415.56</v>
      </c>
      <c r="D58" s="18"/>
      <c r="F58" s="197"/>
      <c r="H58" s="35"/>
    </row>
    <row r="59" spans="1:20" ht="15.6" customHeight="1" thickBot="1">
      <c r="A59" s="87" t="s">
        <v>165</v>
      </c>
      <c r="B59" s="8" t="s">
        <v>103</v>
      </c>
      <c r="C59" s="225">
        <v>162136.15</v>
      </c>
      <c r="D59" s="18"/>
      <c r="F59" s="197"/>
      <c r="H59" s="52"/>
      <c r="I59" s="198"/>
      <c r="J59" s="198"/>
      <c r="K59" s="75"/>
      <c r="L59" s="198"/>
    </row>
    <row r="60" spans="1:20" ht="15.6" customHeight="1" thickBot="1">
      <c r="A60" s="1" t="s">
        <v>149</v>
      </c>
      <c r="C60" s="53">
        <f>SUM(C55:C59)</f>
        <v>4490750.1499999994</v>
      </c>
      <c r="D60" s="18"/>
      <c r="F60" s="199"/>
      <c r="H60" s="89" t="s">
        <v>90</v>
      </c>
      <c r="I60" s="90"/>
    </row>
    <row r="61" spans="1:20" ht="15.6" customHeight="1" thickTop="1" thickBot="1">
      <c r="C61" s="229"/>
      <c r="D61" s="18"/>
      <c r="H61" s="82" t="s">
        <v>78</v>
      </c>
      <c r="I61" s="83" t="s">
        <v>79</v>
      </c>
      <c r="J61" s="2"/>
      <c r="N61" s="2"/>
    </row>
    <row r="62" spans="1:20" ht="15.6" customHeight="1" thickBot="1">
      <c r="A62" s="8"/>
      <c r="B62" s="8" t="s">
        <v>38</v>
      </c>
      <c r="C62" s="40">
        <f>C60+C32</f>
        <v>6746465.0799999991</v>
      </c>
      <c r="D62" s="18"/>
      <c r="H62" s="84" t="e">
        <f>'191010 WA DEF'!E37+'191010 WA DEF'!E38+'191010 WA DEF'!E39+'191000 WA Amort'!H37+'191000 WA Amort'!H38+'191000 WA Amort'!H39+#REF!+#REF!+#REF!+#REF!+#REF!+#REF!</f>
        <v>#REF!</v>
      </c>
      <c r="I62" s="91" t="e">
        <f>'191010 WA DEF'!F36+'191010 WA DEF'!F38+'191010 WA DEF'!F39+'191000 WA Amort'!I36+'191000 WA Amort'!I38+'191000 WA Amort'!I39+#REF!+#REF!+#REF!+#REF!+#REF!+#REF!</f>
        <v>#REF!</v>
      </c>
      <c r="O62" s="2"/>
      <c r="P62" s="200"/>
    </row>
    <row r="63" spans="1:20" ht="15.6" customHeight="1">
      <c r="A63" s="30"/>
      <c r="B63" s="30"/>
      <c r="C63" s="227"/>
      <c r="D63" s="18"/>
      <c r="G63" s="2"/>
      <c r="I63" s="244" t="e">
        <f>H62-I62</f>
        <v>#REF!</v>
      </c>
      <c r="N63" s="10"/>
      <c r="S63" s="3"/>
    </row>
    <row r="64" spans="1:20" ht="15.6" customHeight="1">
      <c r="B64" s="8" t="s">
        <v>148</v>
      </c>
      <c r="C64" s="225">
        <v>6746465.0800000001</v>
      </c>
      <c r="D64" s="18"/>
      <c r="G64" s="271"/>
      <c r="H64" s="272"/>
      <c r="I64" s="263"/>
      <c r="J64" s="2"/>
      <c r="N64" s="10"/>
    </row>
    <row r="65" spans="1:21" ht="15.6" customHeight="1">
      <c r="A65" s="8"/>
      <c r="B65" s="8" t="s">
        <v>71</v>
      </c>
      <c r="C65" s="231">
        <f>ROUND(C62-C64,2)</f>
        <v>0</v>
      </c>
      <c r="D65" s="19"/>
      <c r="G65" s="271"/>
      <c r="H65" s="272"/>
      <c r="I65" s="264"/>
      <c r="J65" s="2"/>
      <c r="N65" s="10"/>
      <c r="S65" s="12"/>
    </row>
    <row r="66" spans="1:21" ht="15.6" customHeight="1">
      <c r="C66" s="85"/>
      <c r="N66" s="10"/>
      <c r="S66" s="12"/>
    </row>
    <row r="67" spans="1:21" ht="15.6" customHeight="1">
      <c r="C67" s="5"/>
      <c r="D67" s="18"/>
      <c r="F67" s="199"/>
      <c r="H67" s="260"/>
      <c r="N67" s="10"/>
      <c r="S67" s="11"/>
    </row>
    <row r="68" spans="1:21" ht="15.6" customHeight="1">
      <c r="C68" s="5"/>
      <c r="D68" s="23"/>
      <c r="N68" s="10"/>
      <c r="S68" s="12"/>
    </row>
    <row r="69" spans="1:21" ht="15.6" customHeight="1">
      <c r="C69" s="37"/>
      <c r="D69" s="18"/>
      <c r="F69" s="199"/>
      <c r="G69" s="199"/>
      <c r="H69" s="88"/>
      <c r="N69" s="10"/>
    </row>
    <row r="70" spans="1:21" ht="15.6" customHeight="1">
      <c r="D70" s="18"/>
      <c r="S70" s="12"/>
    </row>
    <row r="71" spans="1:21" ht="15.6" customHeight="1">
      <c r="D71" s="18"/>
    </row>
    <row r="72" spans="1:21" ht="15.6" customHeight="1">
      <c r="D72" s="18"/>
    </row>
    <row r="73" spans="1:21" ht="15.6" customHeight="1">
      <c r="D73" s="19"/>
      <c r="S73" s="13"/>
    </row>
    <row r="74" spans="1:21">
      <c r="D74" s="18"/>
      <c r="R74" s="3"/>
      <c r="S74" s="3"/>
      <c r="T74" s="3"/>
    </row>
    <row r="75" spans="1:21">
      <c r="D75" s="18"/>
    </row>
    <row r="76" spans="1:21">
      <c r="D76" s="18"/>
      <c r="U76" s="14"/>
    </row>
    <row r="77" spans="1:21">
      <c r="D77" s="24"/>
    </row>
    <row r="1479" spans="3:3">
      <c r="C1479" s="87">
        <v>-2130</v>
      </c>
    </row>
    <row r="1487" spans="3:3">
      <c r="C1487" s="87">
        <f>7004298-2130</f>
        <v>7002168</v>
      </c>
    </row>
  </sheetData>
  <mergeCells count="2">
    <mergeCell ref="F18:I18"/>
    <mergeCell ref="J18:M18"/>
  </mergeCells>
  <conditionalFormatting sqref="C65 I63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K44:K46">
    <cfRule type="cellIs" dxfId="36" priority="37" operator="notEqual">
      <formula>0</formula>
    </cfRule>
  </conditionalFormatting>
  <conditionalFormatting sqref="C65">
    <cfRule type="cellIs" dxfId="35" priority="35" stopIfTrue="1" operator="equal">
      <formula>0</formula>
    </cfRule>
    <cfRule type="cellIs" dxfId="34" priority="36" stopIfTrue="1" operator="notEqual">
      <formula>0</formula>
    </cfRule>
  </conditionalFormatting>
  <conditionalFormatting sqref="H15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H15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J15">
    <cfRule type="cellIs" dxfId="29" priority="29" stopIfTrue="1" operator="equal">
      <formula>0</formula>
    </cfRule>
    <cfRule type="cellIs" dxfId="28" priority="30" stopIfTrue="1" operator="notEqual">
      <formula>0</formula>
    </cfRule>
  </conditionalFormatting>
  <conditionalFormatting sqref="J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L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L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G32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G32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G44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44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K30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K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K43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43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G60">
    <cfRule type="cellIs" dxfId="5" priority="6" operator="equal">
      <formula>"ERROR"</formula>
    </cfRule>
  </conditionalFormatting>
  <conditionalFormatting sqref="G60">
    <cfRule type="cellIs" dxfId="4" priority="5" operator="equal">
      <formula>"ERROR"</formula>
    </cfRule>
  </conditionalFormatting>
  <conditionalFormatting sqref="G67">
    <cfRule type="cellIs" dxfId="3" priority="4" operator="equal">
      <formula>"ERROR"</formula>
    </cfRule>
  </conditionalFormatting>
  <conditionalFormatting sqref="G67">
    <cfRule type="cellIs" dxfId="2" priority="3" operator="equal">
      <formula>"ERROR"</formula>
    </cfRule>
  </conditionalFormatting>
  <conditionalFormatting sqref="H69">
    <cfRule type="cellIs" dxfId="1" priority="2" operator="equal">
      <formula>"ERROR"</formula>
    </cfRule>
  </conditionalFormatting>
  <conditionalFormatting sqref="H69">
    <cfRule type="cellIs" dxfId="0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tabSelected="1" zoomScale="90" zoomScaleNormal="90" workbookViewId="0">
      <pane ySplit="6" topLeftCell="A19" activePane="bottomLeft" state="frozen"/>
      <selection activeCell="F37" sqref="F37"/>
      <selection pane="bottomLeft" activeCell="K36" sqref="K36"/>
    </sheetView>
  </sheetViews>
  <sheetFormatPr defaultColWidth="8.85546875" defaultRowHeight="15"/>
  <cols>
    <col min="1" max="1" width="9.140625" style="96" customWidth="1"/>
    <col min="2" max="2" width="8.85546875" style="96"/>
    <col min="3" max="3" width="1.7109375" style="97" customWidth="1"/>
    <col min="4" max="4" width="13.7109375" style="96" customWidth="1"/>
    <col min="5" max="6" width="14.28515625" style="96" customWidth="1"/>
    <col min="7" max="7" width="14.7109375" style="96" bestFit="1" customWidth="1"/>
    <col min="8" max="8" width="12.140625" style="96" customWidth="1"/>
    <col min="9" max="9" width="15.28515625" style="96" bestFit="1" customWidth="1"/>
    <col min="10" max="10" width="1.7109375" style="97" customWidth="1"/>
    <col min="11" max="11" width="14.28515625" style="96" bestFit="1" customWidth="1"/>
    <col min="12" max="12" width="13.85546875" style="96" bestFit="1" customWidth="1"/>
    <col min="13" max="13" width="6.140625" style="138" customWidth="1"/>
    <col min="14" max="16" width="8.85546875" style="96"/>
    <col min="17" max="17" width="12.7109375" style="96" customWidth="1"/>
    <col min="18" max="19" width="13.140625" style="96" bestFit="1" customWidth="1"/>
    <col min="20" max="16384" width="8.85546875" style="96"/>
  </cols>
  <sheetData>
    <row r="1" spans="1:13" s="100" customFormat="1" ht="15.75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75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75">
      <c r="A3" s="98" t="s">
        <v>141</v>
      </c>
      <c r="B3" s="99"/>
      <c r="C3" s="99"/>
      <c r="D3" s="99"/>
      <c r="E3" s="99"/>
      <c r="F3" s="99"/>
      <c r="G3" s="99"/>
    </row>
    <row r="4" spans="1:13" s="100" customFormat="1" ht="15.75">
      <c r="A4" s="98" t="s">
        <v>142</v>
      </c>
      <c r="B4" s="99"/>
      <c r="C4" s="99"/>
      <c r="D4" s="99"/>
      <c r="E4" s="99"/>
      <c r="F4" s="99"/>
      <c r="G4" s="99"/>
    </row>
    <row r="5" spans="1:13" s="103" customFormat="1" ht="18.75">
      <c r="A5" s="101"/>
      <c r="B5" s="102"/>
      <c r="C5" s="102"/>
      <c r="D5" s="102"/>
      <c r="E5" s="102"/>
      <c r="F5" s="102"/>
      <c r="G5" s="102"/>
    </row>
    <row r="6" spans="1:13" s="104" customFormat="1" ht="56.45" customHeight="1">
      <c r="A6" s="105" t="s">
        <v>97</v>
      </c>
      <c r="B6" s="106" t="s">
        <v>89</v>
      </c>
      <c r="C6" s="107"/>
      <c r="D6" s="106" t="s">
        <v>101</v>
      </c>
      <c r="E6" s="106" t="s">
        <v>88</v>
      </c>
      <c r="F6" s="106" t="s">
        <v>1</v>
      </c>
      <c r="G6" s="106" t="s">
        <v>2</v>
      </c>
      <c r="H6" s="106" t="s">
        <v>3</v>
      </c>
      <c r="I6" s="106" t="s">
        <v>21</v>
      </c>
      <c r="J6" s="107"/>
      <c r="K6" s="108" t="s">
        <v>98</v>
      </c>
      <c r="L6" s="108" t="s">
        <v>99</v>
      </c>
      <c r="M6" s="107"/>
    </row>
    <row r="7" spans="1:13" s="104" customFormat="1" ht="15.75">
      <c r="A7" s="143">
        <v>202001</v>
      </c>
      <c r="B7" s="144">
        <v>4.9599999999999998E-2</v>
      </c>
      <c r="C7" s="121"/>
      <c r="D7" s="145">
        <v>0</v>
      </c>
      <c r="E7" s="146">
        <v>-805474.47813399998</v>
      </c>
      <c r="F7" s="145">
        <v>465507.08934299834</v>
      </c>
      <c r="G7" s="145">
        <v>-1019075.8062920009</v>
      </c>
      <c r="H7" s="257">
        <f t="shared" ref="H7:H18" si="0">ROUND(((E7)*(B7/12))+((SUM(F7:G7)/2)*(B7/12)),2)</f>
        <v>-4473.34</v>
      </c>
      <c r="I7" s="146">
        <f>SUM(E7:H7)</f>
        <v>-1363516.5350830026</v>
      </c>
      <c r="J7" s="123"/>
      <c r="K7" s="147">
        <v>-1363516.54</v>
      </c>
      <c r="L7" s="148">
        <f t="shared" ref="L7:L12" si="1">K7-I7</f>
        <v>-4.9169973935931921E-3</v>
      </c>
      <c r="M7" s="137"/>
    </row>
    <row r="8" spans="1:13" s="104" customFormat="1" ht="15.75">
      <c r="A8" s="139">
        <f>A7+1</f>
        <v>202002</v>
      </c>
      <c r="B8" s="144">
        <v>4.9599999999999998E-2</v>
      </c>
      <c r="C8" s="121"/>
      <c r="D8" s="125">
        <v>0</v>
      </c>
      <c r="E8" s="146">
        <f>I7+D8</f>
        <v>-1363516.5350830026</v>
      </c>
      <c r="F8" s="145">
        <v>357241.75332700042</v>
      </c>
      <c r="G8" s="256">
        <v>-930160.93573400006</v>
      </c>
      <c r="H8" s="122">
        <f t="shared" si="0"/>
        <v>-6819.9</v>
      </c>
      <c r="I8" s="167">
        <f t="shared" ref="I8:I12" si="2">SUM(E8:H8)</f>
        <v>-1943255.6174900022</v>
      </c>
      <c r="J8" s="123"/>
      <c r="K8" s="147">
        <v>-1943255.62</v>
      </c>
      <c r="L8" s="148">
        <f t="shared" si="1"/>
        <v>-2.5099979247897863E-3</v>
      </c>
      <c r="M8" s="137"/>
    </row>
    <row r="9" spans="1:13" s="104" customFormat="1" ht="15.75">
      <c r="A9" s="139">
        <f t="shared" ref="A9:A18" si="3">A8+1</f>
        <v>202003</v>
      </c>
      <c r="B9" s="144">
        <v>4.9599999999999998E-2</v>
      </c>
      <c r="C9" s="121"/>
      <c r="D9" s="125">
        <v>0</v>
      </c>
      <c r="E9" s="146">
        <f>I8+D9</f>
        <v>-1943255.6174900022</v>
      </c>
      <c r="F9" s="145">
        <v>-16044.36190700205</v>
      </c>
      <c r="G9" s="256">
        <v>-702834.43791600014</v>
      </c>
      <c r="H9" s="122">
        <f>ROUND(((E9)*(B9/12))+((SUM(F9:G9)/2)*(B9/12)),2)</f>
        <v>-9517.81</v>
      </c>
      <c r="I9" s="167">
        <f t="shared" si="2"/>
        <v>-2671652.2273130044</v>
      </c>
      <c r="J9" s="123"/>
      <c r="K9" s="147">
        <v>-2671652.23</v>
      </c>
      <c r="L9" s="148">
        <f t="shared" si="1"/>
        <v>-2.6869955472648144E-3</v>
      </c>
      <c r="M9" s="137"/>
    </row>
    <row r="10" spans="1:13" s="104" customFormat="1" ht="15.75">
      <c r="A10" s="139">
        <f t="shared" si="3"/>
        <v>202004</v>
      </c>
      <c r="B10" s="144">
        <v>4.7500000000000001E-2</v>
      </c>
      <c r="C10" s="121"/>
      <c r="D10" s="125">
        <v>0</v>
      </c>
      <c r="E10" s="146">
        <f t="shared" ref="E10:E18" si="4">I9+D10</f>
        <v>-2671652.2273130044</v>
      </c>
      <c r="F10" s="145">
        <v>-286572.46695799823</v>
      </c>
      <c r="G10" s="256">
        <v>354965.17556600017</v>
      </c>
      <c r="H10" s="122">
        <f t="shared" si="0"/>
        <v>-10439.93</v>
      </c>
      <c r="I10" s="167">
        <f t="shared" si="2"/>
        <v>-2613699.4487050031</v>
      </c>
      <c r="J10" s="123"/>
      <c r="K10" s="147">
        <v>-2613699.4500000002</v>
      </c>
      <c r="L10" s="148">
        <f t="shared" si="1"/>
        <v>-1.2949970550835133E-3</v>
      </c>
      <c r="M10" s="137"/>
    </row>
    <row r="11" spans="1:13" s="104" customFormat="1" ht="15.75">
      <c r="A11" s="139">
        <f t="shared" si="3"/>
        <v>202005</v>
      </c>
      <c r="B11" s="144">
        <v>4.7500000000000001E-2</v>
      </c>
      <c r="C11" s="121"/>
      <c r="D11" s="125">
        <v>0</v>
      </c>
      <c r="E11" s="146">
        <f t="shared" si="4"/>
        <v>-2613699.4487050031</v>
      </c>
      <c r="F11" s="145">
        <v>-349533.46451799979</v>
      </c>
      <c r="G11" s="256">
        <v>790807.96102399973</v>
      </c>
      <c r="H11" s="122">
        <f t="shared" si="0"/>
        <v>-9472.5400000000009</v>
      </c>
      <c r="I11" s="167">
        <f t="shared" si="2"/>
        <v>-2181897.4921990032</v>
      </c>
      <c r="J11" s="123"/>
      <c r="K11" s="147">
        <v>-2181897.4900000002</v>
      </c>
      <c r="L11" s="148">
        <f t="shared" si="1"/>
        <v>2.1990030072629452E-3</v>
      </c>
      <c r="M11" s="137"/>
    </row>
    <row r="12" spans="1:13" s="104" customFormat="1" ht="15.75">
      <c r="A12" s="139">
        <f t="shared" si="3"/>
        <v>202006</v>
      </c>
      <c r="B12" s="144">
        <v>4.7500000000000001E-2</v>
      </c>
      <c r="C12" s="121"/>
      <c r="D12" s="125">
        <v>0</v>
      </c>
      <c r="E12" s="146">
        <f t="shared" si="4"/>
        <v>-2181897.4921990032</v>
      </c>
      <c r="F12" s="145">
        <v>-221914.22001199971</v>
      </c>
      <c r="G12" s="256">
        <v>995442.01104200003</v>
      </c>
      <c r="H12" s="122">
        <f t="shared" si="0"/>
        <v>-7105.74</v>
      </c>
      <c r="I12" s="167">
        <f t="shared" si="2"/>
        <v>-1415475.441169003</v>
      </c>
      <c r="J12" s="123"/>
      <c r="K12" s="147">
        <v>-1415475.44</v>
      </c>
      <c r="L12" s="148">
        <f t="shared" si="1"/>
        <v>1.1690030805766582E-3</v>
      </c>
      <c r="M12" s="137"/>
    </row>
    <row r="13" spans="1:13" s="104" customFormat="1" ht="15.75">
      <c r="A13" s="139">
        <f t="shared" si="3"/>
        <v>202007</v>
      </c>
      <c r="B13" s="124">
        <v>3.4299999999999997E-2</v>
      </c>
      <c r="C13" s="121"/>
      <c r="D13" s="125">
        <v>0</v>
      </c>
      <c r="E13" s="146">
        <f t="shared" si="4"/>
        <v>-1415475.441169003</v>
      </c>
      <c r="F13" s="145">
        <v>-286329.88624400063</v>
      </c>
      <c r="G13" s="256">
        <v>1119731.3959779998</v>
      </c>
      <c r="H13" s="122">
        <f t="shared" si="0"/>
        <v>-2854.83</v>
      </c>
      <c r="I13" s="167">
        <f>SUM(E13:H13)</f>
        <v>-584928.76143500383</v>
      </c>
      <c r="J13" s="123"/>
      <c r="K13" s="147">
        <v>-584928.76</v>
      </c>
      <c r="L13" s="148">
        <f t="shared" ref="L13" si="5">K13-I13</f>
        <v>1.4350038254633546E-3</v>
      </c>
      <c r="M13" s="137"/>
    </row>
    <row r="14" spans="1:13" s="104" customFormat="1" ht="15.75">
      <c r="A14" s="139">
        <f t="shared" si="3"/>
        <v>202008</v>
      </c>
      <c r="B14" s="124">
        <v>3.4299999999999997E-2</v>
      </c>
      <c r="C14" s="121"/>
      <c r="D14" s="125">
        <v>0</v>
      </c>
      <c r="E14" s="146">
        <f t="shared" si="4"/>
        <v>-584928.76143500383</v>
      </c>
      <c r="F14" s="145">
        <v>-475108.5041119997</v>
      </c>
      <c r="G14" s="256">
        <v>1175024.5782880005</v>
      </c>
      <c r="H14" s="122">
        <f t="shared" si="0"/>
        <v>-671.62</v>
      </c>
      <c r="I14" s="167">
        <f>SUM(E14:H14)</f>
        <v>114315.69274099695</v>
      </c>
      <c r="J14" s="123"/>
      <c r="K14" s="147">
        <v>114315.69</v>
      </c>
      <c r="L14" s="148">
        <f t="shared" ref="L14" si="6">K14-I14</f>
        <v>-2.7409969479776919E-3</v>
      </c>
      <c r="M14" s="137"/>
    </row>
    <row r="15" spans="1:13" s="104" customFormat="1" ht="15.75">
      <c r="A15" s="139">
        <f t="shared" si="3"/>
        <v>202009</v>
      </c>
      <c r="B15" s="124">
        <v>3.4299999999999997E-2</v>
      </c>
      <c r="C15" s="121"/>
      <c r="D15" s="125">
        <v>0</v>
      </c>
      <c r="E15" s="146">
        <f t="shared" si="4"/>
        <v>114315.69274099695</v>
      </c>
      <c r="F15" s="145">
        <v>-412609.49763799895</v>
      </c>
      <c r="G15" s="256">
        <v>1016420.835708</v>
      </c>
      <c r="H15" s="122">
        <f t="shared" si="0"/>
        <v>1189.7</v>
      </c>
      <c r="I15" s="167">
        <f t="shared" ref="I15:I16" si="7">SUM(E15:H15)</f>
        <v>719316.73081099801</v>
      </c>
      <c r="J15" s="123"/>
      <c r="K15" s="147">
        <v>719316.73</v>
      </c>
      <c r="L15" s="148">
        <f t="shared" ref="L15" si="8">K15-I15</f>
        <v>-8.1099802628159523E-4</v>
      </c>
      <c r="M15" s="137"/>
    </row>
    <row r="16" spans="1:13" s="104" customFormat="1" ht="15.75">
      <c r="A16" s="139">
        <f t="shared" si="3"/>
        <v>202010</v>
      </c>
      <c r="B16" s="124">
        <v>3.2500000000000001E-2</v>
      </c>
      <c r="C16" s="121"/>
      <c r="D16" s="125">
        <v>0</v>
      </c>
      <c r="E16" s="146">
        <f t="shared" si="4"/>
        <v>719316.73081099801</v>
      </c>
      <c r="F16" s="145">
        <v>-164901.39884799952</v>
      </c>
      <c r="G16" s="256">
        <v>260754.5799239995</v>
      </c>
      <c r="H16" s="122">
        <f t="shared" si="0"/>
        <v>2077.9499999999998</v>
      </c>
      <c r="I16" s="167">
        <f t="shared" si="7"/>
        <v>817247.86188699794</v>
      </c>
      <c r="J16" s="123"/>
      <c r="K16" s="147">
        <v>817247.86</v>
      </c>
      <c r="L16" s="148">
        <f t="shared" ref="L16" si="9">K16-I16</f>
        <v>-1.8869979539886117E-3</v>
      </c>
      <c r="M16" s="137"/>
    </row>
    <row r="17" spans="1:23" s="104" customFormat="1" ht="15.75">
      <c r="A17" s="139">
        <f t="shared" si="3"/>
        <v>202011</v>
      </c>
      <c r="B17" s="124">
        <v>3.2500000000000001E-2</v>
      </c>
      <c r="C17" s="121"/>
      <c r="D17" s="125">
        <f>-I16</f>
        <v>-817247.86188699794</v>
      </c>
      <c r="E17" s="146">
        <f t="shared" si="4"/>
        <v>0</v>
      </c>
      <c r="F17" s="145">
        <v>274531.20816099923</v>
      </c>
      <c r="G17" s="256">
        <v>-636016.65180400014</v>
      </c>
      <c r="H17" s="122">
        <f t="shared" si="0"/>
        <v>-489.51</v>
      </c>
      <c r="I17" s="167">
        <f>SUM(E17:H17)</f>
        <v>-361974.95364300092</v>
      </c>
      <c r="J17" s="123"/>
      <c r="K17" s="147">
        <v>-361974.95</v>
      </c>
      <c r="L17" s="148">
        <f t="shared" ref="L17" si="10">K17-I17</f>
        <v>3.643000905867666E-3</v>
      </c>
      <c r="M17" s="110"/>
    </row>
    <row r="18" spans="1:23" s="104" customFormat="1" ht="16.5" thickBot="1">
      <c r="A18" s="140">
        <f t="shared" si="3"/>
        <v>202012</v>
      </c>
      <c r="B18" s="126">
        <v>3.2500000000000001E-2</v>
      </c>
      <c r="C18" s="141"/>
      <c r="D18" s="127">
        <v>0</v>
      </c>
      <c r="E18" s="128">
        <f t="shared" si="4"/>
        <v>-361974.95364300092</v>
      </c>
      <c r="F18" s="127">
        <v>986052.61182399932</v>
      </c>
      <c r="G18" s="127">
        <v>-1221931.857657</v>
      </c>
      <c r="H18" s="128">
        <f t="shared" si="0"/>
        <v>-1299.77</v>
      </c>
      <c r="I18" s="180">
        <f t="shared" ref="I18" si="11">SUM(E18:H18)</f>
        <v>-599153.96947600157</v>
      </c>
      <c r="J18" s="142"/>
      <c r="K18" s="129">
        <v>-599153.97</v>
      </c>
      <c r="L18" s="130">
        <f t="shared" ref="L18:L19" si="12">K18-I18</f>
        <v>-5.2399840205907822E-4</v>
      </c>
      <c r="M18" s="137"/>
    </row>
    <row r="19" spans="1:23" s="104" customFormat="1" ht="15.75">
      <c r="A19" s="143">
        <v>202101</v>
      </c>
      <c r="B19" s="144">
        <v>3.2500000000000001E-2</v>
      </c>
      <c r="C19" s="121"/>
      <c r="D19" s="145">
        <v>0</v>
      </c>
      <c r="E19" s="146">
        <f>I18+D19</f>
        <v>-599153.96947600157</v>
      </c>
      <c r="F19" s="145">
        <f>Jan!$H$54</f>
        <v>759776.25110800005</v>
      </c>
      <c r="G19" s="145">
        <f>Jan!$I$54</f>
        <v>-1158080.3228010007</v>
      </c>
      <c r="H19" s="257">
        <f>ROUND(((E19)*(B19/12))+((SUM(F19:G19)/2)*(B19/12)),2)</f>
        <v>-2162.08</v>
      </c>
      <c r="I19" s="146">
        <f>SUM(E19:H19)</f>
        <v>-999620.12116900214</v>
      </c>
      <c r="J19" s="123"/>
      <c r="K19" s="147">
        <v>-999620.12</v>
      </c>
      <c r="L19" s="148">
        <f t="shared" si="12"/>
        <v>1.1690021492540836E-3</v>
      </c>
      <c r="M19" s="137"/>
    </row>
    <row r="20" spans="1:23" s="104" customFormat="1" ht="15.75">
      <c r="A20" s="139">
        <f>A19+1</f>
        <v>202102</v>
      </c>
      <c r="B20" s="144">
        <v>3.2500000000000001E-2</v>
      </c>
      <c r="C20" s="121"/>
      <c r="D20" s="125">
        <v>0</v>
      </c>
      <c r="E20" s="146">
        <f>I19+D20</f>
        <v>-999620.12116900214</v>
      </c>
      <c r="F20" s="145">
        <f>Feb!$H$54</f>
        <v>3250049.2587400014</v>
      </c>
      <c r="G20" s="145">
        <f>Feb!$I$54</f>
        <v>-1308687.1307599999</v>
      </c>
      <c r="H20" s="122">
        <f t="shared" ref="H20" si="13">ROUND(((E20)*(B20/12))+((SUM(F20:G20)/2)*(B20/12)),2)</f>
        <v>-78.38</v>
      </c>
      <c r="I20" s="167">
        <f t="shared" ref="I20:I24" si="14">SUM(E20:H20)</f>
        <v>941663.62681099924</v>
      </c>
      <c r="J20" s="123"/>
      <c r="K20" s="147">
        <v>941663.63</v>
      </c>
      <c r="L20" s="148">
        <f t="shared" ref="L20" si="15">K20-I20</f>
        <v>3.1890007667243481E-3</v>
      </c>
      <c r="M20" s="137"/>
    </row>
    <row r="21" spans="1:23" s="104" customFormat="1" ht="15.75">
      <c r="A21" s="139">
        <f t="shared" ref="A21:A30" si="16">A20+1</f>
        <v>202103</v>
      </c>
      <c r="B21" s="144">
        <v>3.2500000000000001E-2</v>
      </c>
      <c r="C21" s="121"/>
      <c r="D21" s="125">
        <v>0</v>
      </c>
      <c r="E21" s="146">
        <f>I20+D21</f>
        <v>941663.62681099924</v>
      </c>
      <c r="F21" s="145">
        <f>Mar!$H$54</f>
        <v>-476953.42805600027</v>
      </c>
      <c r="G21" s="145">
        <f>Mar!$I$54</f>
        <v>-528059.47882700036</v>
      </c>
      <c r="H21" s="122">
        <f>ROUND(((E21)*(B21/12))+((SUM(F21:G21)/2)*(B21/12)),2)</f>
        <v>1189.3800000000001</v>
      </c>
      <c r="I21" s="167">
        <f t="shared" si="14"/>
        <v>-62159.900072001394</v>
      </c>
      <c r="J21" s="123"/>
      <c r="K21" s="147">
        <v>-62159.9</v>
      </c>
      <c r="L21" s="148">
        <f t="shared" ref="L21" si="17">K21-I21</f>
        <v>7.2001392254605889E-5</v>
      </c>
      <c r="M21" s="137"/>
    </row>
    <row r="22" spans="1:23" s="104" customFormat="1" ht="15.75">
      <c r="A22" s="139">
        <f t="shared" si="16"/>
        <v>202104</v>
      </c>
      <c r="B22" s="144"/>
      <c r="C22" s="121"/>
      <c r="D22" s="125">
        <v>0</v>
      </c>
      <c r="E22" s="146"/>
      <c r="F22" s="145"/>
      <c r="G22" s="256"/>
      <c r="H22" s="122">
        <f t="shared" ref="H22:H30" si="18">ROUND(((E22)*(B22/12))+((SUM(F22:G22)/2)*(B22/12)),2)</f>
        <v>0</v>
      </c>
      <c r="I22" s="167">
        <f t="shared" si="14"/>
        <v>0</v>
      </c>
      <c r="J22" s="123"/>
      <c r="K22" s="147"/>
      <c r="L22" s="148"/>
      <c r="M22" s="137"/>
    </row>
    <row r="23" spans="1:23" s="104" customFormat="1" ht="15.75">
      <c r="A23" s="139">
        <f t="shared" si="16"/>
        <v>202105</v>
      </c>
      <c r="B23" s="144"/>
      <c r="C23" s="121"/>
      <c r="D23" s="125">
        <v>0</v>
      </c>
      <c r="E23" s="146"/>
      <c r="F23" s="145"/>
      <c r="G23" s="256"/>
      <c r="H23" s="122">
        <f t="shared" si="18"/>
        <v>0</v>
      </c>
      <c r="I23" s="167">
        <f t="shared" si="14"/>
        <v>0</v>
      </c>
      <c r="J23" s="123"/>
      <c r="K23" s="147"/>
      <c r="L23" s="148"/>
      <c r="M23" s="137"/>
    </row>
    <row r="24" spans="1:23" s="104" customFormat="1" ht="15.75">
      <c r="A24" s="139">
        <f t="shared" si="16"/>
        <v>202106</v>
      </c>
      <c r="B24" s="144"/>
      <c r="C24" s="121"/>
      <c r="D24" s="125">
        <v>0</v>
      </c>
      <c r="E24" s="146"/>
      <c r="F24" s="145"/>
      <c r="G24" s="256"/>
      <c r="H24" s="122">
        <f t="shared" si="18"/>
        <v>0</v>
      </c>
      <c r="I24" s="167">
        <f t="shared" si="14"/>
        <v>0</v>
      </c>
      <c r="J24" s="123"/>
      <c r="K24" s="147"/>
      <c r="L24" s="148"/>
      <c r="M24" s="137"/>
    </row>
    <row r="25" spans="1:23" s="104" customFormat="1" ht="15.75">
      <c r="A25" s="139">
        <f t="shared" si="16"/>
        <v>202107</v>
      </c>
      <c r="B25" s="124"/>
      <c r="C25" s="121"/>
      <c r="D25" s="125">
        <v>0</v>
      </c>
      <c r="E25" s="146"/>
      <c r="F25" s="145"/>
      <c r="G25" s="256"/>
      <c r="H25" s="122">
        <f t="shared" si="18"/>
        <v>0</v>
      </c>
      <c r="I25" s="167">
        <f>SUM(E25:H25)</f>
        <v>0</v>
      </c>
      <c r="J25" s="123"/>
      <c r="K25" s="147"/>
      <c r="L25" s="148"/>
      <c r="M25" s="137"/>
    </row>
    <row r="26" spans="1:23" s="104" customFormat="1" ht="15.75">
      <c r="A26" s="139">
        <f t="shared" si="16"/>
        <v>202108</v>
      </c>
      <c r="B26" s="124"/>
      <c r="C26" s="121"/>
      <c r="D26" s="125">
        <v>0</v>
      </c>
      <c r="E26" s="146"/>
      <c r="F26" s="145"/>
      <c r="G26" s="256"/>
      <c r="H26" s="122">
        <f t="shared" si="18"/>
        <v>0</v>
      </c>
      <c r="I26" s="167">
        <f>SUM(E26:H26)</f>
        <v>0</v>
      </c>
      <c r="J26" s="123"/>
      <c r="K26" s="147"/>
      <c r="L26" s="148"/>
      <c r="M26" s="137"/>
    </row>
    <row r="27" spans="1:23" s="104" customFormat="1" ht="15.75">
      <c r="A27" s="139">
        <f t="shared" si="16"/>
        <v>202109</v>
      </c>
      <c r="B27" s="124"/>
      <c r="C27" s="121"/>
      <c r="D27" s="125">
        <v>0</v>
      </c>
      <c r="E27" s="146"/>
      <c r="F27" s="145"/>
      <c r="G27" s="256"/>
      <c r="H27" s="122">
        <f t="shared" si="18"/>
        <v>0</v>
      </c>
      <c r="I27" s="167">
        <f t="shared" ref="I27:I28" si="19">SUM(E27:H27)</f>
        <v>0</v>
      </c>
      <c r="J27" s="123"/>
      <c r="K27" s="147"/>
      <c r="L27" s="148"/>
      <c r="M27" s="137"/>
    </row>
    <row r="28" spans="1:23" s="104" customFormat="1" ht="15.75">
      <c r="A28" s="139">
        <f t="shared" si="16"/>
        <v>202110</v>
      </c>
      <c r="B28" s="124"/>
      <c r="C28" s="121"/>
      <c r="D28" s="125">
        <v>0</v>
      </c>
      <c r="E28" s="146"/>
      <c r="F28" s="145"/>
      <c r="G28" s="256"/>
      <c r="H28" s="122">
        <f t="shared" si="18"/>
        <v>0</v>
      </c>
      <c r="I28" s="167">
        <f t="shared" si="19"/>
        <v>0</v>
      </c>
      <c r="J28" s="123"/>
      <c r="K28" s="147"/>
      <c r="L28" s="148"/>
      <c r="M28" s="137"/>
    </row>
    <row r="29" spans="1:23" s="104" customFormat="1" ht="15.75">
      <c r="A29" s="139">
        <f t="shared" si="16"/>
        <v>202111</v>
      </c>
      <c r="B29" s="124"/>
      <c r="C29" s="121"/>
      <c r="D29" s="125"/>
      <c r="E29" s="146"/>
      <c r="F29" s="145"/>
      <c r="G29" s="256"/>
      <c r="H29" s="122">
        <f t="shared" si="18"/>
        <v>0</v>
      </c>
      <c r="I29" s="167">
        <f>SUM(E29:H29)</f>
        <v>0</v>
      </c>
      <c r="J29" s="123"/>
      <c r="K29" s="147"/>
      <c r="L29" s="148"/>
      <c r="M29" s="110"/>
    </row>
    <row r="30" spans="1:23" s="104" customFormat="1" ht="16.5" thickBot="1">
      <c r="A30" s="140">
        <f t="shared" si="16"/>
        <v>202112</v>
      </c>
      <c r="B30" s="126"/>
      <c r="C30" s="141"/>
      <c r="D30" s="127">
        <v>0</v>
      </c>
      <c r="E30" s="128"/>
      <c r="F30" s="127"/>
      <c r="G30" s="127"/>
      <c r="H30" s="128">
        <f t="shared" si="18"/>
        <v>0</v>
      </c>
      <c r="I30" s="180">
        <f t="shared" ref="I30" si="20">SUM(E30:H30)</f>
        <v>0</v>
      </c>
      <c r="J30" s="142"/>
      <c r="K30" s="147"/>
      <c r="L30" s="148"/>
      <c r="M30" s="137"/>
    </row>
    <row r="31" spans="1:23" ht="15.75">
      <c r="A31" s="119"/>
      <c r="B31" s="119"/>
      <c r="C31" s="120"/>
      <c r="D31" s="131">
        <f>SUMIF($A$7:$A$30,$D34,D$7:D$30)</f>
        <v>0</v>
      </c>
      <c r="E31" s="119"/>
      <c r="F31" s="131">
        <f>SUMIF($A$7:$A$30,$D34,F$7:F$30)</f>
        <v>-476953.42805600027</v>
      </c>
      <c r="G31" s="131">
        <f>SUMIF($A$7:$A$30,$D34,G$7:G$30)</f>
        <v>-528059.47882700036</v>
      </c>
      <c r="H31" s="131">
        <f>SUMIF($A$7:$A$30,$D34,H$7:H$30)</f>
        <v>1189.3800000000001</v>
      </c>
      <c r="I31" s="132" t="s">
        <v>110</v>
      </c>
      <c r="J31" s="120"/>
      <c r="K31" s="119"/>
      <c r="L31" s="119"/>
      <c r="M31" s="136"/>
      <c r="Q31" s="109"/>
      <c r="R31" s="110"/>
      <c r="S31" s="110"/>
      <c r="T31" s="111"/>
      <c r="U31" s="97"/>
      <c r="V31" s="97"/>
      <c r="W31" s="97"/>
    </row>
    <row r="32" spans="1:23" s="185" customFormat="1">
      <c r="A32" s="135"/>
      <c r="B32" s="135"/>
      <c r="C32" s="182"/>
      <c r="D32" s="183" t="s">
        <v>128</v>
      </c>
      <c r="E32" s="135"/>
      <c r="F32" s="183" t="s">
        <v>121</v>
      </c>
      <c r="G32" s="183" t="s">
        <v>122</v>
      </c>
      <c r="H32" s="183" t="s">
        <v>123</v>
      </c>
      <c r="I32" s="135"/>
      <c r="J32" s="182"/>
      <c r="K32" s="135"/>
      <c r="L32" s="135"/>
      <c r="M32" s="184"/>
      <c r="Q32" s="186"/>
      <c r="R32" s="186"/>
      <c r="S32" s="186"/>
      <c r="T32" s="186"/>
      <c r="U32" s="186"/>
      <c r="V32" s="186"/>
      <c r="W32" s="186"/>
    </row>
    <row r="33" spans="1:23">
      <c r="A33" s="119"/>
      <c r="B33" s="119"/>
      <c r="C33" s="120"/>
      <c r="D33" s="119"/>
      <c r="E33" s="119"/>
      <c r="F33" s="119"/>
      <c r="G33" s="119"/>
      <c r="H33" s="119"/>
      <c r="I33" s="119"/>
      <c r="J33" s="120"/>
      <c r="K33" s="119"/>
      <c r="L33" s="119"/>
      <c r="M33" s="136"/>
      <c r="Q33" s="97"/>
      <c r="R33" s="97"/>
      <c r="S33" s="97"/>
      <c r="T33" s="97"/>
      <c r="U33" s="97"/>
      <c r="V33" s="97"/>
      <c r="W33" s="97"/>
    </row>
    <row r="34" spans="1:23">
      <c r="A34" s="119"/>
      <c r="B34" s="119"/>
      <c r="C34" s="120"/>
      <c r="D34" s="112">
        <v>202103</v>
      </c>
      <c r="E34" s="113" t="s">
        <v>111</v>
      </c>
      <c r="F34" s="114"/>
      <c r="G34" s="119"/>
      <c r="H34" s="119"/>
      <c r="I34" s="119"/>
      <c r="J34" s="120"/>
      <c r="K34" s="119"/>
      <c r="L34" s="119"/>
      <c r="M34" s="136"/>
    </row>
    <row r="35" spans="1:23">
      <c r="A35" s="119"/>
      <c r="B35" s="119"/>
      <c r="C35" s="120"/>
      <c r="D35" s="115" t="s">
        <v>112</v>
      </c>
      <c r="E35" s="115" t="s">
        <v>113</v>
      </c>
      <c r="F35" s="115" t="s">
        <v>114</v>
      </c>
      <c r="G35" s="119"/>
      <c r="H35" s="119"/>
      <c r="I35" s="119"/>
      <c r="J35" s="120"/>
      <c r="K35" s="119"/>
      <c r="L35" s="119"/>
      <c r="M35" s="136"/>
    </row>
    <row r="36" spans="1:23">
      <c r="A36" s="119"/>
      <c r="B36" s="119"/>
      <c r="C36" s="133" t="s">
        <v>34</v>
      </c>
      <c r="D36" s="116" t="s">
        <v>115</v>
      </c>
      <c r="E36" s="117"/>
      <c r="F36" s="118">
        <f>IF($H$31&gt;0,ABS($H$31),"")</f>
        <v>1189.3800000000001</v>
      </c>
      <c r="G36" s="135" t="s">
        <v>123</v>
      </c>
      <c r="H36" s="119"/>
      <c r="I36" s="119"/>
      <c r="J36" s="120"/>
      <c r="K36" s="119"/>
      <c r="L36" s="119"/>
      <c r="M36" s="136"/>
    </row>
    <row r="37" spans="1:23">
      <c r="A37" s="119"/>
      <c r="B37" s="119"/>
      <c r="C37" s="133" t="s">
        <v>119</v>
      </c>
      <c r="D37" s="116" t="s">
        <v>116</v>
      </c>
      <c r="E37" s="118" t="str">
        <f>IF($H$31&lt;0,ABS($H$31),"")</f>
        <v/>
      </c>
      <c r="F37" s="117"/>
      <c r="G37" s="135" t="s">
        <v>123</v>
      </c>
      <c r="H37" s="119"/>
      <c r="I37" s="119"/>
      <c r="J37" s="120"/>
      <c r="K37" s="119"/>
      <c r="L37" s="119"/>
      <c r="M37" s="136"/>
    </row>
    <row r="38" spans="1:23">
      <c r="A38" s="119"/>
      <c r="B38" s="119"/>
      <c r="C38" s="133" t="s">
        <v>144</v>
      </c>
      <c r="D38" s="116" t="s">
        <v>117</v>
      </c>
      <c r="E38" s="118" t="str">
        <f>IF($F$31+$G$31+H31&gt;0,ABS($F$31+$G$31+H31),"")</f>
        <v/>
      </c>
      <c r="F38" s="118">
        <f>IF($F$31+$G$31+H31&lt;0,ABS($F$31+$G$31+H31),"")</f>
        <v>1003823.5268830006</v>
      </c>
      <c r="G38" s="135" t="s">
        <v>124</v>
      </c>
      <c r="H38" s="119"/>
      <c r="I38" s="119"/>
      <c r="J38" s="120"/>
      <c r="K38" s="119"/>
      <c r="L38" s="119"/>
      <c r="M38" s="136"/>
    </row>
    <row r="39" spans="1:23">
      <c r="A39" s="119"/>
      <c r="B39" s="119"/>
      <c r="C39" s="133" t="s">
        <v>120</v>
      </c>
      <c r="D39" s="116" t="s">
        <v>118</v>
      </c>
      <c r="E39" s="118">
        <f>IF($F$31+$G$31&lt;0,ABS($F$31+$G$31),"")</f>
        <v>1005012.9068830006</v>
      </c>
      <c r="F39" s="118" t="str">
        <f>IF($F$31+$G$31&gt;0,ABS($F$31+$G$31),"")</f>
        <v/>
      </c>
      <c r="G39" s="135" t="s">
        <v>125</v>
      </c>
      <c r="H39" s="119"/>
      <c r="I39" s="119"/>
      <c r="J39" s="120"/>
      <c r="K39" s="119"/>
      <c r="L39" s="119"/>
      <c r="M39" s="136"/>
    </row>
    <row r="40" spans="1:23">
      <c r="A40" s="119"/>
      <c r="B40" s="119"/>
      <c r="C40" s="120"/>
      <c r="D40" s="119"/>
      <c r="E40" s="119"/>
      <c r="F40" s="119"/>
      <c r="G40" s="135"/>
      <c r="H40" s="119"/>
      <c r="I40" s="119"/>
      <c r="J40" s="120"/>
      <c r="K40" s="119"/>
      <c r="L40" s="119"/>
      <c r="M40" s="136"/>
    </row>
    <row r="41" spans="1:23">
      <c r="A41" s="119"/>
      <c r="B41" s="119"/>
      <c r="C41" s="120"/>
      <c r="D41" s="119"/>
      <c r="E41" s="119"/>
      <c r="F41" s="134">
        <f>SUM(E36:E39)-SUM(F36:F39)</f>
        <v>0</v>
      </c>
      <c r="G41" s="135" t="s">
        <v>126</v>
      </c>
      <c r="H41" s="119"/>
      <c r="I41" s="119"/>
      <c r="J41" s="120"/>
      <c r="K41" s="119"/>
      <c r="L41" s="119"/>
      <c r="M41" s="136"/>
    </row>
    <row r="42" spans="1:23">
      <c r="G42" s="185"/>
    </row>
    <row r="43" spans="1:23" ht="15.75">
      <c r="D43" s="115" t="s">
        <v>127</v>
      </c>
      <c r="E43" s="150"/>
      <c r="F43" s="151"/>
      <c r="G43" s="187"/>
    </row>
    <row r="44" spans="1:23">
      <c r="D44" s="116" t="s">
        <v>117</v>
      </c>
      <c r="E44" s="118" t="str">
        <f>IF($D$31&gt;0,ABS($D$31),"")</f>
        <v/>
      </c>
      <c r="F44" s="153"/>
      <c r="G44" s="135" t="s">
        <v>128</v>
      </c>
    </row>
    <row r="45" spans="1:23">
      <c r="D45" s="152" t="s">
        <v>129</v>
      </c>
      <c r="E45" s="153">
        <f>F44</f>
        <v>0</v>
      </c>
      <c r="F45" s="118" t="str">
        <f>E44</f>
        <v/>
      </c>
      <c r="G45" s="154"/>
    </row>
  </sheetData>
  <printOptions horizontalCentered="1"/>
  <pageMargins left="0.25" right="0.25" top="0.5" bottom="0.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F37" sqref="F37"/>
      <selection pane="bottomLeft" activeCell="E33" sqref="E33"/>
    </sheetView>
  </sheetViews>
  <sheetFormatPr defaultColWidth="8.85546875" defaultRowHeight="12.75" outlineLevelCol="1"/>
  <cols>
    <col min="1" max="1" width="9.140625" style="119" customWidth="1"/>
    <col min="2" max="2" width="9" style="119" bestFit="1" customWidth="1"/>
    <col min="3" max="3" width="14.140625" style="119" bestFit="1" customWidth="1"/>
    <col min="4" max="4" width="12.85546875" style="119" bestFit="1" customWidth="1"/>
    <col min="5" max="5" width="14.140625" style="119" bestFit="1" customWidth="1"/>
    <col min="6" max="6" width="14.28515625" style="119" bestFit="1" customWidth="1"/>
    <col min="7" max="7" width="12.42578125" style="119" customWidth="1"/>
    <col min="8" max="8" width="13.140625" style="119" bestFit="1" customWidth="1"/>
    <col min="9" max="9" width="11.5703125" style="119" bestFit="1" customWidth="1"/>
    <col min="10" max="10" width="10.140625" style="119" bestFit="1" customWidth="1"/>
    <col min="11" max="11" width="12.42578125" style="119" bestFit="1" customWidth="1"/>
    <col min="12" max="12" width="11.5703125" style="119" hidden="1" customWidth="1" outlineLevel="1"/>
    <col min="13" max="13" width="11" style="119" hidden="1" customWidth="1" outlineLevel="1"/>
    <col min="14" max="14" width="11.5703125" style="119" hidden="1" customWidth="1" outlineLevel="1"/>
    <col min="15" max="15" width="11.28515625" style="119" bestFit="1" customWidth="1" collapsed="1"/>
    <col min="16" max="16" width="14.140625" style="119" bestFit="1" customWidth="1"/>
    <col min="17" max="17" width="1.7109375" style="175" customWidth="1"/>
    <col min="18" max="18" width="14.140625" style="119" bestFit="1" customWidth="1"/>
    <col min="19" max="19" width="13.28515625" style="120" bestFit="1" customWidth="1"/>
    <col min="20" max="20" width="13.5703125" style="119" customWidth="1"/>
    <col min="21" max="21" width="13.85546875" style="119" bestFit="1" customWidth="1"/>
    <col min="22" max="24" width="8.85546875" style="119"/>
    <col min="25" max="25" width="12.7109375" style="119" customWidth="1"/>
    <col min="26" max="27" width="13.140625" style="119" bestFit="1" customWidth="1"/>
    <col min="28" max="16384" width="8.85546875" style="119"/>
  </cols>
  <sheetData>
    <row r="1" spans="1:21" s="100" customFormat="1" ht="15.75">
      <c r="A1" s="157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s="100" customFormat="1" ht="15.75">
      <c r="A2" s="157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1" s="100" customFormat="1" ht="15.75">
      <c r="A3" s="157" t="s">
        <v>143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1" s="100" customFormat="1" ht="15.75">
      <c r="A4" s="157" t="s">
        <v>100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1" s="103" customFormat="1" ht="13.5" thickBot="1">
      <c r="A5" s="155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21" s="156" customFormat="1" ht="56.45" customHeight="1">
      <c r="A6" s="106" t="s">
        <v>97</v>
      </c>
      <c r="B6" s="106" t="s">
        <v>89</v>
      </c>
      <c r="C6" s="106" t="s">
        <v>130</v>
      </c>
      <c r="D6" s="106" t="s">
        <v>133</v>
      </c>
      <c r="E6" s="170" t="s">
        <v>88</v>
      </c>
      <c r="F6" s="161" t="s">
        <v>138</v>
      </c>
      <c r="G6" s="162" t="s">
        <v>131</v>
      </c>
      <c r="H6" s="163" t="s">
        <v>104</v>
      </c>
      <c r="I6" s="161" t="s">
        <v>139</v>
      </c>
      <c r="J6" s="162" t="s">
        <v>131</v>
      </c>
      <c r="K6" s="163" t="s">
        <v>104</v>
      </c>
      <c r="L6" s="161" t="s">
        <v>140</v>
      </c>
      <c r="M6" s="162" t="s">
        <v>131</v>
      </c>
      <c r="N6" s="163" t="s">
        <v>104</v>
      </c>
      <c r="O6" s="173" t="s">
        <v>3</v>
      </c>
      <c r="P6" s="106" t="s">
        <v>21</v>
      </c>
      <c r="Q6" s="174"/>
      <c r="R6" s="108" t="s">
        <v>98</v>
      </c>
      <c r="S6" s="108" t="s">
        <v>99</v>
      </c>
    </row>
    <row r="7" spans="1:21">
      <c r="A7" s="246" t="s">
        <v>150</v>
      </c>
      <c r="B7" s="158">
        <f>'191010 WA DEF'!B7</f>
        <v>4.9599999999999998E-2</v>
      </c>
      <c r="C7" s="146">
        <v>0</v>
      </c>
      <c r="D7" s="146">
        <v>0</v>
      </c>
      <c r="E7" s="160">
        <v>985404.04219200055</v>
      </c>
      <c r="F7" s="168">
        <f>19882002+20223</f>
        <v>19902225</v>
      </c>
      <c r="G7" s="159">
        <v>-4.0899999999999999E-3</v>
      </c>
      <c r="H7" s="172">
        <f>F7*G7</f>
        <v>-81400.100250000003</v>
      </c>
      <c r="I7" s="169">
        <v>7441465</v>
      </c>
      <c r="J7" s="159">
        <v>-1.035E-2</v>
      </c>
      <c r="K7" s="172">
        <f>I7*J7</f>
        <v>-77019.162750000003</v>
      </c>
      <c r="L7" s="169">
        <v>176036</v>
      </c>
      <c r="M7" s="159">
        <v>-1.035E-2</v>
      </c>
      <c r="N7" s="172">
        <f>L7*M7</f>
        <v>-1821.9726000000001</v>
      </c>
      <c r="O7" s="166">
        <f t="shared" ref="O7:O18" si="0">ROUND(((E7*(B7/12))+(H7+K7+N7)/2*(B7/12)),2)</f>
        <v>3741.84</v>
      </c>
      <c r="P7" s="146">
        <f t="shared" ref="P7:P18" si="1">E7+H7+K7+N7+O7</f>
        <v>828904.6465920005</v>
      </c>
      <c r="Q7" s="110"/>
      <c r="R7" s="147">
        <v>823211.28</v>
      </c>
      <c r="S7" s="148">
        <f t="shared" ref="S7:S9" si="2">R7-P7</f>
        <v>-5693.3665920004714</v>
      </c>
    </row>
    <row r="8" spans="1:21">
      <c r="A8" s="246" t="s">
        <v>151</v>
      </c>
      <c r="B8" s="158">
        <f>'191010 WA DEF'!B8</f>
        <v>4.9599999999999998E-2</v>
      </c>
      <c r="C8" s="122">
        <v>0</v>
      </c>
      <c r="D8" s="122">
        <v>0</v>
      </c>
      <c r="E8" s="171">
        <f t="shared" ref="E8:E18" si="3">P7+C8+D8</f>
        <v>828904.6465920005</v>
      </c>
      <c r="F8" s="168">
        <f>18132989+23546</f>
        <v>18156535</v>
      </c>
      <c r="G8" s="159">
        <v>-4.0899999999999999E-3</v>
      </c>
      <c r="H8" s="172">
        <f t="shared" ref="H8:H16" si="4">F8*G8</f>
        <v>-74260.228149999995</v>
      </c>
      <c r="I8" s="169">
        <v>7239397</v>
      </c>
      <c r="J8" s="159">
        <v>-1.035E-2</v>
      </c>
      <c r="K8" s="172">
        <f t="shared" ref="K8:K16" si="5">I8*J8</f>
        <v>-74927.758950000003</v>
      </c>
      <c r="L8" s="169">
        <v>155563</v>
      </c>
      <c r="M8" s="159">
        <v>-1.035E-2</v>
      </c>
      <c r="N8" s="172">
        <f t="shared" ref="N8:N16" si="6">L8*M8</f>
        <v>-1610.0770499999999</v>
      </c>
      <c r="O8" s="167">
        <f t="shared" si="0"/>
        <v>3114.49</v>
      </c>
      <c r="P8" s="122">
        <f t="shared" si="1"/>
        <v>681221.0724420005</v>
      </c>
      <c r="Q8" s="110"/>
      <c r="R8" s="147">
        <v>675504.18</v>
      </c>
      <c r="S8" s="148">
        <f t="shared" si="2"/>
        <v>-5716.8924420004478</v>
      </c>
    </row>
    <row r="9" spans="1:21">
      <c r="A9" s="246" t="s">
        <v>152</v>
      </c>
      <c r="B9" s="158">
        <f>'191010 WA DEF'!B9</f>
        <v>4.9599999999999998E-2</v>
      </c>
      <c r="C9" s="122">
        <v>0</v>
      </c>
      <c r="D9" s="122">
        <v>0</v>
      </c>
      <c r="E9" s="171">
        <f t="shared" si="3"/>
        <v>681221.0724420005</v>
      </c>
      <c r="F9" s="168">
        <f>16716589+20495</f>
        <v>16737084</v>
      </c>
      <c r="G9" s="159">
        <v>-4.0899999999999999E-3</v>
      </c>
      <c r="H9" s="172">
        <f t="shared" si="4"/>
        <v>-68454.673559999996</v>
      </c>
      <c r="I9" s="169">
        <v>6588074</v>
      </c>
      <c r="J9" s="159">
        <v>-1.035E-2</v>
      </c>
      <c r="K9" s="172">
        <f t="shared" si="5"/>
        <v>-68186.565900000001</v>
      </c>
      <c r="L9" s="169">
        <v>135456</v>
      </c>
      <c r="M9" s="159">
        <v>-1.035E-2</v>
      </c>
      <c r="N9" s="172">
        <f t="shared" si="6"/>
        <v>-1401.9695999999999</v>
      </c>
      <c r="O9" s="167">
        <f t="shared" si="0"/>
        <v>2530.42</v>
      </c>
      <c r="P9" s="122">
        <f t="shared" si="1"/>
        <v>545708.28338200052</v>
      </c>
      <c r="Q9" s="110"/>
      <c r="R9" s="147">
        <v>540247.84</v>
      </c>
      <c r="S9" s="148">
        <f t="shared" si="2"/>
        <v>-5460.4433820005506</v>
      </c>
    </row>
    <row r="10" spans="1:21">
      <c r="A10" s="246" t="s">
        <v>153</v>
      </c>
      <c r="B10" s="158">
        <f>'191010 WA DEF'!B10</f>
        <v>4.7500000000000001E-2</v>
      </c>
      <c r="C10" s="122">
        <v>0</v>
      </c>
      <c r="D10" s="122">
        <v>0</v>
      </c>
      <c r="E10" s="171">
        <f t="shared" si="3"/>
        <v>545708.28338200052</v>
      </c>
      <c r="F10" s="168">
        <f>8669321+11194</f>
        <v>8680515</v>
      </c>
      <c r="G10" s="159">
        <v>-4.0899999999999999E-3</v>
      </c>
      <c r="H10" s="172">
        <f t="shared" si="4"/>
        <v>-35503.306349999999</v>
      </c>
      <c r="I10" s="169">
        <v>3389688</v>
      </c>
      <c r="J10" s="159">
        <v>-1.035E-2</v>
      </c>
      <c r="K10" s="172">
        <f t="shared" si="5"/>
        <v>-35083.270799999998</v>
      </c>
      <c r="L10" s="169">
        <v>-28206</v>
      </c>
      <c r="M10" s="159">
        <v>-1.035E-2</v>
      </c>
      <c r="N10" s="172">
        <f t="shared" si="6"/>
        <v>291.93209999999999</v>
      </c>
      <c r="O10" s="167">
        <f t="shared" si="0"/>
        <v>2020.97</v>
      </c>
      <c r="P10" s="122">
        <f t="shared" si="1"/>
        <v>477434.6083320005</v>
      </c>
      <c r="Q10" s="110"/>
      <c r="R10" s="147">
        <v>471952.55</v>
      </c>
      <c r="S10" s="148">
        <f t="shared" ref="S10" si="7">R10-P10</f>
        <v>-5482.0583320005098</v>
      </c>
    </row>
    <row r="11" spans="1:21">
      <c r="A11" s="246" t="s">
        <v>154</v>
      </c>
      <c r="B11" s="158">
        <f>'191010 WA DEF'!B11</f>
        <v>4.7500000000000001E-2</v>
      </c>
      <c r="C11" s="122">
        <v>0</v>
      </c>
      <c r="D11" s="122">
        <v>0</v>
      </c>
      <c r="E11" s="171">
        <f t="shared" si="3"/>
        <v>477434.6083320005</v>
      </c>
      <c r="F11" s="168">
        <f>5170311+6951</f>
        <v>5177262</v>
      </c>
      <c r="G11" s="159">
        <v>-4.0899999999999999E-3</v>
      </c>
      <c r="H11" s="172">
        <f t="shared" si="4"/>
        <v>-21175.00158</v>
      </c>
      <c r="I11" s="169">
        <v>2662302</v>
      </c>
      <c r="J11" s="159">
        <v>-1.035E-2</v>
      </c>
      <c r="K11" s="172">
        <f t="shared" si="5"/>
        <v>-27554.825700000001</v>
      </c>
      <c r="L11" s="169">
        <v>-100434</v>
      </c>
      <c r="M11" s="159">
        <v>-1.035E-2</v>
      </c>
      <c r="N11" s="172">
        <f t="shared" si="6"/>
        <v>1039.4919</v>
      </c>
      <c r="O11" s="167">
        <f t="shared" si="0"/>
        <v>1795.46</v>
      </c>
      <c r="P11" s="122">
        <f t="shared" si="1"/>
        <v>431539.73295200057</v>
      </c>
      <c r="Q11" s="110"/>
      <c r="R11" s="147">
        <v>426035.97</v>
      </c>
      <c r="S11" s="148">
        <f t="shared" ref="S11" si="8">R11-P11</f>
        <v>-5503.7629520006012</v>
      </c>
    </row>
    <row r="12" spans="1:21">
      <c r="A12" s="246" t="s">
        <v>155</v>
      </c>
      <c r="B12" s="158">
        <f>'191010 WA DEF'!B12</f>
        <v>4.7500000000000001E-2</v>
      </c>
      <c r="C12" s="122">
        <v>0</v>
      </c>
      <c r="D12" s="122">
        <v>0</v>
      </c>
      <c r="E12" s="171">
        <f t="shared" si="3"/>
        <v>431539.73295200057</v>
      </c>
      <c r="F12" s="168">
        <f>3317015+4575</f>
        <v>3321590</v>
      </c>
      <c r="G12" s="159">
        <v>-4.0899999999999999E-3</v>
      </c>
      <c r="H12" s="172">
        <f t="shared" si="4"/>
        <v>-13585.303099999999</v>
      </c>
      <c r="I12" s="169">
        <v>1746909</v>
      </c>
      <c r="J12" s="159">
        <v>-1.035E-2</v>
      </c>
      <c r="K12" s="172">
        <f t="shared" si="5"/>
        <v>-18080.508150000001</v>
      </c>
      <c r="L12" s="169">
        <v>0</v>
      </c>
      <c r="M12" s="159">
        <v>-1.035E-2</v>
      </c>
      <c r="N12" s="172">
        <f t="shared" si="6"/>
        <v>0</v>
      </c>
      <c r="O12" s="167">
        <f>ROUND(((E12*(B12/12))+(H12+K12+N12)/2*(B12/12)),2)</f>
        <v>1645.51</v>
      </c>
      <c r="P12" s="122">
        <f t="shared" si="1"/>
        <v>401519.43170200055</v>
      </c>
      <c r="Q12" s="110"/>
      <c r="R12" s="147">
        <v>395993.88</v>
      </c>
      <c r="S12" s="148">
        <f t="shared" ref="S12" si="9">R12-P12</f>
        <v>-5525.55170200055</v>
      </c>
    </row>
    <row r="13" spans="1:21">
      <c r="A13" s="246" t="s">
        <v>156</v>
      </c>
      <c r="B13" s="158">
        <v>3.4299999999999997E-2</v>
      </c>
      <c r="C13" s="122">
        <v>0</v>
      </c>
      <c r="D13" s="122">
        <v>0</v>
      </c>
      <c r="E13" s="171">
        <f t="shared" si="3"/>
        <v>401519.43170200055</v>
      </c>
      <c r="F13" s="168">
        <f>2630458+2800</f>
        <v>2633258</v>
      </c>
      <c r="G13" s="159">
        <v>-4.0899999999999999E-3</v>
      </c>
      <c r="H13" s="172">
        <f t="shared" si="4"/>
        <v>-10770.02522</v>
      </c>
      <c r="I13" s="169">
        <v>1745062</v>
      </c>
      <c r="J13" s="159">
        <v>-1.035E-2</v>
      </c>
      <c r="K13" s="172">
        <f t="shared" si="5"/>
        <v>-18061.3917</v>
      </c>
      <c r="L13" s="169">
        <v>0</v>
      </c>
      <c r="M13" s="159">
        <v>-1.035E-2</v>
      </c>
      <c r="N13" s="172">
        <f t="shared" si="6"/>
        <v>0</v>
      </c>
      <c r="O13" s="167">
        <f t="shared" si="0"/>
        <v>1106.47</v>
      </c>
      <c r="P13" s="122">
        <f t="shared" si="1"/>
        <v>373794.48478200054</v>
      </c>
      <c r="Q13" s="110"/>
      <c r="R13" s="147">
        <v>368253.14</v>
      </c>
      <c r="S13" s="148">
        <f t="shared" ref="S13" si="10">R13-P13</f>
        <v>-5541.344782000524</v>
      </c>
    </row>
    <row r="14" spans="1:21">
      <c r="A14" s="246" t="s">
        <v>157</v>
      </c>
      <c r="B14" s="158">
        <v>3.4299999999999997E-2</v>
      </c>
      <c r="C14" s="122">
        <v>0</v>
      </c>
      <c r="D14" s="122">
        <v>0</v>
      </c>
      <c r="E14" s="171">
        <f t="shared" si="3"/>
        <v>373794.48478200054</v>
      </c>
      <c r="F14" s="168">
        <f>2236586+2515</f>
        <v>2239101</v>
      </c>
      <c r="G14" s="159">
        <v>-4.0899999999999999E-3</v>
      </c>
      <c r="H14" s="172">
        <f t="shared" si="4"/>
        <v>-9157.9230900000002</v>
      </c>
      <c r="I14" s="169">
        <v>1621230</v>
      </c>
      <c r="J14" s="159">
        <v>-1.035E-2</v>
      </c>
      <c r="K14" s="172">
        <f t="shared" si="5"/>
        <v>-16779.730500000001</v>
      </c>
      <c r="L14" s="169">
        <v>0</v>
      </c>
      <c r="M14" s="159">
        <v>-1.035E-2</v>
      </c>
      <c r="N14" s="172">
        <f t="shared" si="6"/>
        <v>0</v>
      </c>
      <c r="O14" s="167">
        <f t="shared" si="0"/>
        <v>1031.3599999999999</v>
      </c>
      <c r="P14" s="122">
        <f t="shared" si="1"/>
        <v>348888.19119200052</v>
      </c>
      <c r="Q14" s="110"/>
      <c r="R14" s="147">
        <v>343331.01</v>
      </c>
      <c r="S14" s="148">
        <f t="shared" ref="S14" si="11">R14-P14</f>
        <v>-5557.181192000513</v>
      </c>
      <c r="U14" s="261"/>
    </row>
    <row r="15" spans="1:21">
      <c r="A15" s="246" t="s">
        <v>158</v>
      </c>
      <c r="B15" s="158">
        <v>3.4299999999999997E-2</v>
      </c>
      <c r="C15" s="122">
        <v>0</v>
      </c>
      <c r="D15" s="122">
        <v>0</v>
      </c>
      <c r="E15" s="171">
        <f t="shared" si="3"/>
        <v>348888.19119200052</v>
      </c>
      <c r="F15" s="168">
        <f>2843331+3965</f>
        <v>2847296</v>
      </c>
      <c r="G15" s="159">
        <v>-4.0899999999999999E-3</v>
      </c>
      <c r="H15" s="172">
        <f t="shared" si="4"/>
        <v>-11645.440639999999</v>
      </c>
      <c r="I15" s="169">
        <v>2009009</v>
      </c>
      <c r="J15" s="159">
        <v>-1.035E-2</v>
      </c>
      <c r="K15" s="172">
        <f t="shared" si="5"/>
        <v>-20793.243149999998</v>
      </c>
      <c r="L15" s="169">
        <v>0</v>
      </c>
      <c r="M15" s="159">
        <v>-1.035E-2</v>
      </c>
      <c r="N15" s="172">
        <f t="shared" si="6"/>
        <v>0</v>
      </c>
      <c r="O15" s="167">
        <f t="shared" si="0"/>
        <v>950.88</v>
      </c>
      <c r="P15" s="122">
        <f t="shared" si="1"/>
        <v>317400.38740200055</v>
      </c>
      <c r="Q15" s="110"/>
      <c r="R15" s="147">
        <v>317400.40999999997</v>
      </c>
      <c r="S15" s="148">
        <f t="shared" ref="S15" si="12">R15-P15</f>
        <v>2.2597999428398907E-2</v>
      </c>
    </row>
    <row r="16" spans="1:21">
      <c r="A16" s="246" t="s">
        <v>159</v>
      </c>
      <c r="B16" s="158">
        <v>3.2500000000000001E-2</v>
      </c>
      <c r="C16" s="122">
        <v>0</v>
      </c>
      <c r="D16" s="122">
        <v>0</v>
      </c>
      <c r="E16" s="171">
        <f t="shared" si="3"/>
        <v>317400.38740200055</v>
      </c>
      <c r="F16" s="168">
        <f>8963780+13468</f>
        <v>8977248</v>
      </c>
      <c r="G16" s="159">
        <v>-4.0899999999999999E-3</v>
      </c>
      <c r="H16" s="172">
        <f t="shared" si="4"/>
        <v>-36716.944320000002</v>
      </c>
      <c r="I16" s="169">
        <v>4850551</v>
      </c>
      <c r="J16" s="159">
        <v>-1.035E-2</v>
      </c>
      <c r="K16" s="172">
        <f t="shared" si="5"/>
        <v>-50203.202850000001</v>
      </c>
      <c r="L16" s="169">
        <v>0</v>
      </c>
      <c r="M16" s="159">
        <v>-1.035E-2</v>
      </c>
      <c r="N16" s="172">
        <f t="shared" si="6"/>
        <v>0</v>
      </c>
      <c r="O16" s="167">
        <f t="shared" si="0"/>
        <v>741.92</v>
      </c>
      <c r="P16" s="122">
        <f t="shared" si="1"/>
        <v>231222.16023200055</v>
      </c>
      <c r="Q16" s="110"/>
      <c r="R16" s="147">
        <v>231222.18</v>
      </c>
      <c r="S16" s="148">
        <f t="shared" ref="S16" si="13">R16-P16</f>
        <v>1.9767999445321038E-2</v>
      </c>
    </row>
    <row r="17" spans="1:23">
      <c r="A17" s="246" t="s">
        <v>160</v>
      </c>
      <c r="B17" s="158">
        <v>3.2500000000000001E-2</v>
      </c>
      <c r="C17" s="125">
        <f>-'191010 WA DEF'!D17</f>
        <v>817247.86188699794</v>
      </c>
      <c r="D17" s="125">
        <v>104173.57</v>
      </c>
      <c r="E17" s="171">
        <f>P16+C17+D17</f>
        <v>1152643.5921189985</v>
      </c>
      <c r="F17" s="168">
        <f>17131912+25911</f>
        <v>17157823</v>
      </c>
      <c r="G17" s="145" t="s">
        <v>132</v>
      </c>
      <c r="H17" s="164">
        <f>112959+169</f>
        <v>113128</v>
      </c>
      <c r="I17" s="169">
        <v>5799551</v>
      </c>
      <c r="J17" s="145" t="s">
        <v>132</v>
      </c>
      <c r="K17" s="164">
        <v>9063</v>
      </c>
      <c r="L17" s="169">
        <v>0</v>
      </c>
      <c r="M17" s="145" t="s">
        <v>132</v>
      </c>
      <c r="N17" s="164">
        <v>0</v>
      </c>
      <c r="O17" s="167">
        <f t="shared" si="0"/>
        <v>3287.21</v>
      </c>
      <c r="P17" s="122">
        <f>E17+H17+K17+N17+O17+0.02</f>
        <v>1278121.8221189985</v>
      </c>
      <c r="Q17" s="110"/>
      <c r="R17" s="147">
        <v>1278121.82</v>
      </c>
      <c r="S17" s="148">
        <f t="shared" ref="S17" si="14">R17-P17</f>
        <v>-2.1189984399825335E-3</v>
      </c>
    </row>
    <row r="18" spans="1:23" ht="13.5" thickBot="1">
      <c r="A18" s="275" t="s">
        <v>161</v>
      </c>
      <c r="B18" s="176">
        <v>3.2500000000000001E-2</v>
      </c>
      <c r="C18" s="128">
        <v>0</v>
      </c>
      <c r="D18" s="128">
        <v>0</v>
      </c>
      <c r="E18" s="177">
        <f t="shared" si="3"/>
        <v>1278121.8221189985</v>
      </c>
      <c r="F18" s="178">
        <f>21499328+32489</f>
        <v>21531817</v>
      </c>
      <c r="G18" s="149" t="s">
        <v>132</v>
      </c>
      <c r="H18" s="165">
        <f>148673+226</f>
        <v>148899</v>
      </c>
      <c r="I18" s="179">
        <v>7737352</v>
      </c>
      <c r="J18" s="149" t="s">
        <v>132</v>
      </c>
      <c r="K18" s="165">
        <v>-327</v>
      </c>
      <c r="L18" s="179">
        <v>0</v>
      </c>
      <c r="M18" s="149" t="s">
        <v>132</v>
      </c>
      <c r="N18" s="165">
        <v>0</v>
      </c>
      <c r="O18" s="180">
        <f t="shared" si="0"/>
        <v>3662.77</v>
      </c>
      <c r="P18" s="128">
        <f t="shared" si="1"/>
        <v>1430356.5921189985</v>
      </c>
      <c r="Q18" s="181"/>
      <c r="R18" s="276">
        <v>1430356.59</v>
      </c>
      <c r="S18" s="277">
        <f t="shared" ref="S18:S19" si="15">R18-P18</f>
        <v>-2.1189984399825335E-3</v>
      </c>
    </row>
    <row r="19" spans="1:23">
      <c r="A19" s="246" t="s">
        <v>180</v>
      </c>
      <c r="B19" s="158">
        <v>3.2500000000000001E-2</v>
      </c>
      <c r="C19" s="146">
        <v>0</v>
      </c>
      <c r="D19" s="146">
        <v>0</v>
      </c>
      <c r="E19" s="160">
        <f t="shared" ref="E19:E21" si="16">P18+C19+D19</f>
        <v>1430356.5921189985</v>
      </c>
      <c r="F19" s="168">
        <f>20652318+32556</f>
        <v>20684874</v>
      </c>
      <c r="G19" s="159">
        <v>6.9899999999999997E-3</v>
      </c>
      <c r="H19" s="172">
        <f>F19*G19</f>
        <v>144587.26926</v>
      </c>
      <c r="I19" s="169">
        <v>7466798</v>
      </c>
      <c r="J19" s="159">
        <v>1.2999999999999999E-4</v>
      </c>
      <c r="K19" s="172">
        <f>I19*J19</f>
        <v>970.68373999999994</v>
      </c>
      <c r="L19" s="169">
        <v>0</v>
      </c>
      <c r="M19" s="159">
        <v>0</v>
      </c>
      <c r="N19" s="172">
        <f>L19*M19</f>
        <v>0</v>
      </c>
      <c r="O19" s="166">
        <f t="shared" ref="O19:O23" si="17">ROUND(((E19*(B19/12))+(H19+K19+N19)/2*(B19/12)),2)</f>
        <v>4070.99</v>
      </c>
      <c r="P19" s="146">
        <f t="shared" ref="P19:P28" si="18">E19+H19+K19+N19+O19</f>
        <v>1579985.5351189985</v>
      </c>
      <c r="Q19" s="110"/>
      <c r="R19" s="147">
        <v>1579985.53</v>
      </c>
      <c r="S19" s="148">
        <f t="shared" si="15"/>
        <v>-5.1189984660595655E-3</v>
      </c>
    </row>
    <row r="20" spans="1:23">
      <c r="A20" s="246" t="s">
        <v>181</v>
      </c>
      <c r="B20" s="158">
        <v>3.2500000000000001E-2</v>
      </c>
      <c r="C20" s="122">
        <v>0</v>
      </c>
      <c r="D20" s="122">
        <v>0</v>
      </c>
      <c r="E20" s="160">
        <f t="shared" si="16"/>
        <v>1579985.5351189985</v>
      </c>
      <c r="F20" s="168">
        <f>21465565+35195</f>
        <v>21500760</v>
      </c>
      <c r="G20" s="159">
        <v>6.9899999999999997E-3</v>
      </c>
      <c r="H20" s="172">
        <f t="shared" ref="H20:H28" si="19">F20*G20</f>
        <v>150290.3124</v>
      </c>
      <c r="I20" s="169">
        <v>7487490</v>
      </c>
      <c r="J20" s="159">
        <v>1.2999999999999999E-4</v>
      </c>
      <c r="K20" s="172">
        <f t="shared" ref="K20:K28" si="20">I20*J20</f>
        <v>973.37369999999987</v>
      </c>
      <c r="L20" s="169"/>
      <c r="M20" s="159"/>
      <c r="N20" s="172">
        <f t="shared" ref="N20:N28" si="21">L20*M20</f>
        <v>0</v>
      </c>
      <c r="O20" s="167">
        <f t="shared" si="17"/>
        <v>4483.96</v>
      </c>
      <c r="P20" s="122">
        <f t="shared" si="18"/>
        <v>1735733.1812189985</v>
      </c>
      <c r="Q20" s="110"/>
      <c r="R20" s="147">
        <v>1735733.18</v>
      </c>
      <c r="S20" s="148">
        <f t="shared" ref="S20" si="22">R20-P20</f>
        <v>-1.21899857185781E-3</v>
      </c>
    </row>
    <row r="21" spans="1:23">
      <c r="A21" s="246" t="s">
        <v>182</v>
      </c>
      <c r="B21" s="158">
        <v>3.2500000000000001E-2</v>
      </c>
      <c r="C21" s="122">
        <v>0</v>
      </c>
      <c r="D21" s="122">
        <v>0</v>
      </c>
      <c r="E21" s="160">
        <f t="shared" si="16"/>
        <v>1735733.1812189985</v>
      </c>
      <c r="F21" s="168">
        <f>14741098+24419</f>
        <v>14765517</v>
      </c>
      <c r="G21" s="159">
        <v>6.9899999999999997E-3</v>
      </c>
      <c r="H21" s="172">
        <f t="shared" si="19"/>
        <v>103210.96382999999</v>
      </c>
      <c r="I21" s="169">
        <v>6893495</v>
      </c>
      <c r="J21" s="159">
        <v>1.2999999999999999E-4</v>
      </c>
      <c r="K21" s="172">
        <f t="shared" si="20"/>
        <v>896.15434999999991</v>
      </c>
      <c r="L21" s="169"/>
      <c r="M21" s="159"/>
      <c r="N21" s="172">
        <f t="shared" si="21"/>
        <v>0</v>
      </c>
      <c r="O21" s="167">
        <f t="shared" si="17"/>
        <v>4841.92</v>
      </c>
      <c r="P21" s="122">
        <f t="shared" si="18"/>
        <v>1844682.2193989984</v>
      </c>
      <c r="Q21" s="110"/>
      <c r="R21" s="147">
        <v>1844682.22</v>
      </c>
      <c r="S21" s="148">
        <f t="shared" ref="S21" si="23">R21-P21</f>
        <v>6.010015495121479E-4</v>
      </c>
    </row>
    <row r="22" spans="1:23">
      <c r="A22" s="246" t="s">
        <v>183</v>
      </c>
      <c r="B22" s="158"/>
      <c r="C22" s="122">
        <v>0</v>
      </c>
      <c r="D22" s="122">
        <v>0</v>
      </c>
      <c r="E22" s="171"/>
      <c r="F22" s="168"/>
      <c r="G22" s="159"/>
      <c r="H22" s="172">
        <f t="shared" si="19"/>
        <v>0</v>
      </c>
      <c r="I22" s="169"/>
      <c r="J22" s="159"/>
      <c r="K22" s="172">
        <f t="shared" si="20"/>
        <v>0</v>
      </c>
      <c r="L22" s="169"/>
      <c r="M22" s="159"/>
      <c r="N22" s="172">
        <f t="shared" si="21"/>
        <v>0</v>
      </c>
      <c r="O22" s="167">
        <f t="shared" si="17"/>
        <v>0</v>
      </c>
      <c r="P22" s="122">
        <f t="shared" si="18"/>
        <v>0</v>
      </c>
      <c r="Q22" s="110"/>
      <c r="R22" s="147"/>
      <c r="S22" s="148"/>
    </row>
    <row r="23" spans="1:23">
      <c r="A23" s="246" t="s">
        <v>184</v>
      </c>
      <c r="B23" s="158"/>
      <c r="C23" s="122">
        <v>0</v>
      </c>
      <c r="D23" s="122">
        <v>0</v>
      </c>
      <c r="E23" s="171"/>
      <c r="F23" s="168"/>
      <c r="G23" s="159"/>
      <c r="H23" s="172">
        <f t="shared" si="19"/>
        <v>0</v>
      </c>
      <c r="I23" s="169"/>
      <c r="J23" s="159"/>
      <c r="K23" s="172">
        <f t="shared" si="20"/>
        <v>0</v>
      </c>
      <c r="L23" s="169"/>
      <c r="M23" s="159"/>
      <c r="N23" s="172">
        <f t="shared" si="21"/>
        <v>0</v>
      </c>
      <c r="O23" s="167">
        <f t="shared" si="17"/>
        <v>0</v>
      </c>
      <c r="P23" s="122">
        <f t="shared" si="18"/>
        <v>0</v>
      </c>
      <c r="Q23" s="110"/>
      <c r="R23" s="147"/>
      <c r="S23" s="148"/>
    </row>
    <row r="24" spans="1:23">
      <c r="A24" s="246" t="s">
        <v>185</v>
      </c>
      <c r="B24" s="158"/>
      <c r="C24" s="122">
        <v>0</v>
      </c>
      <c r="D24" s="122">
        <v>0</v>
      </c>
      <c r="E24" s="171"/>
      <c r="F24" s="168"/>
      <c r="G24" s="159"/>
      <c r="H24" s="172">
        <f t="shared" si="19"/>
        <v>0</v>
      </c>
      <c r="I24" s="169"/>
      <c r="J24" s="159"/>
      <c r="K24" s="172">
        <f t="shared" si="20"/>
        <v>0</v>
      </c>
      <c r="L24" s="169"/>
      <c r="M24" s="159"/>
      <c r="N24" s="172">
        <f t="shared" si="21"/>
        <v>0</v>
      </c>
      <c r="O24" s="167">
        <f>ROUND(((E24*(B24/12))+(H24+K24+N24)/2*(B24/12)),2)</f>
        <v>0</v>
      </c>
      <c r="P24" s="122">
        <f t="shared" si="18"/>
        <v>0</v>
      </c>
      <c r="Q24" s="110"/>
      <c r="R24" s="147"/>
      <c r="S24" s="148"/>
    </row>
    <row r="25" spans="1:23">
      <c r="A25" s="246" t="s">
        <v>186</v>
      </c>
      <c r="B25" s="158"/>
      <c r="C25" s="122">
        <v>0</v>
      </c>
      <c r="D25" s="122">
        <v>0</v>
      </c>
      <c r="E25" s="171"/>
      <c r="F25" s="168"/>
      <c r="G25" s="159"/>
      <c r="H25" s="172">
        <f t="shared" si="19"/>
        <v>0</v>
      </c>
      <c r="I25" s="169"/>
      <c r="J25" s="159"/>
      <c r="K25" s="172">
        <f t="shared" si="20"/>
        <v>0</v>
      </c>
      <c r="L25" s="169"/>
      <c r="M25" s="159"/>
      <c r="N25" s="172">
        <f t="shared" si="21"/>
        <v>0</v>
      </c>
      <c r="O25" s="167">
        <f t="shared" ref="O25:O30" si="24">ROUND(((E25*(B25/12))+(H25+K25+N25)/2*(B25/12)),2)</f>
        <v>0</v>
      </c>
      <c r="P25" s="122">
        <f t="shared" si="18"/>
        <v>0</v>
      </c>
      <c r="Q25" s="110"/>
      <c r="R25" s="147"/>
      <c r="S25" s="148"/>
    </row>
    <row r="26" spans="1:23">
      <c r="A26" s="246" t="s">
        <v>187</v>
      </c>
      <c r="B26" s="158"/>
      <c r="C26" s="122">
        <v>0</v>
      </c>
      <c r="D26" s="122">
        <v>0</v>
      </c>
      <c r="E26" s="171"/>
      <c r="F26" s="168"/>
      <c r="G26" s="159"/>
      <c r="H26" s="172">
        <f t="shared" si="19"/>
        <v>0</v>
      </c>
      <c r="I26" s="169"/>
      <c r="J26" s="159"/>
      <c r="K26" s="172">
        <f t="shared" si="20"/>
        <v>0</v>
      </c>
      <c r="L26" s="169"/>
      <c r="M26" s="159"/>
      <c r="N26" s="172">
        <f t="shared" si="21"/>
        <v>0</v>
      </c>
      <c r="O26" s="167">
        <f t="shared" si="24"/>
        <v>0</v>
      </c>
      <c r="P26" s="122">
        <f t="shared" si="18"/>
        <v>0</v>
      </c>
      <c r="Q26" s="110"/>
      <c r="R26" s="147"/>
      <c r="S26" s="148"/>
      <c r="U26" s="261"/>
    </row>
    <row r="27" spans="1:23">
      <c r="A27" s="246" t="s">
        <v>188</v>
      </c>
      <c r="B27" s="158"/>
      <c r="C27" s="122">
        <v>0</v>
      </c>
      <c r="D27" s="122">
        <v>0</v>
      </c>
      <c r="E27" s="171"/>
      <c r="F27" s="168"/>
      <c r="G27" s="159"/>
      <c r="H27" s="172">
        <f t="shared" si="19"/>
        <v>0</v>
      </c>
      <c r="I27" s="169"/>
      <c r="J27" s="159"/>
      <c r="K27" s="172">
        <f t="shared" si="20"/>
        <v>0</v>
      </c>
      <c r="L27" s="169"/>
      <c r="M27" s="159"/>
      <c r="N27" s="172">
        <f t="shared" si="21"/>
        <v>0</v>
      </c>
      <c r="O27" s="167">
        <f t="shared" si="24"/>
        <v>0</v>
      </c>
      <c r="P27" s="122">
        <f t="shared" si="18"/>
        <v>0</v>
      </c>
      <c r="Q27" s="110"/>
      <c r="R27" s="147"/>
      <c r="S27" s="148"/>
    </row>
    <row r="28" spans="1:23">
      <c r="A28" s="246" t="s">
        <v>189</v>
      </c>
      <c r="B28" s="158"/>
      <c r="C28" s="122">
        <v>0</v>
      </c>
      <c r="D28" s="122">
        <v>0</v>
      </c>
      <c r="E28" s="171"/>
      <c r="F28" s="168"/>
      <c r="G28" s="159"/>
      <c r="H28" s="172">
        <f t="shared" si="19"/>
        <v>0</v>
      </c>
      <c r="I28" s="169"/>
      <c r="J28" s="159"/>
      <c r="K28" s="172">
        <f t="shared" si="20"/>
        <v>0</v>
      </c>
      <c r="L28" s="169"/>
      <c r="M28" s="159"/>
      <c r="N28" s="172">
        <f t="shared" si="21"/>
        <v>0</v>
      </c>
      <c r="O28" s="167">
        <f t="shared" si="24"/>
        <v>0</v>
      </c>
      <c r="P28" s="122">
        <f t="shared" si="18"/>
        <v>0</v>
      </c>
      <c r="Q28" s="110"/>
      <c r="R28" s="147"/>
      <c r="S28" s="148"/>
    </row>
    <row r="29" spans="1:23">
      <c r="A29" s="246" t="s">
        <v>190</v>
      </c>
      <c r="B29" s="158"/>
      <c r="C29" s="125"/>
      <c r="D29" s="125"/>
      <c r="E29" s="171"/>
      <c r="F29" s="168"/>
      <c r="G29" s="145" t="s">
        <v>132</v>
      </c>
      <c r="H29" s="164"/>
      <c r="I29" s="169"/>
      <c r="J29" s="145" t="s">
        <v>132</v>
      </c>
      <c r="K29" s="164"/>
      <c r="L29" s="169"/>
      <c r="M29" s="145" t="s">
        <v>132</v>
      </c>
      <c r="N29" s="164">
        <v>0</v>
      </c>
      <c r="O29" s="167">
        <f t="shared" si="24"/>
        <v>0</v>
      </c>
      <c r="P29" s="122">
        <f>E29+H29+K29+N29+O29</f>
        <v>0</v>
      </c>
      <c r="Q29" s="110"/>
      <c r="R29" s="147"/>
      <c r="S29" s="148"/>
    </row>
    <row r="30" spans="1:23">
      <c r="A30" s="246" t="s">
        <v>191</v>
      </c>
      <c r="B30" s="158"/>
      <c r="C30" s="122">
        <v>0</v>
      </c>
      <c r="D30" s="122">
        <v>0</v>
      </c>
      <c r="E30" s="171"/>
      <c r="F30" s="168"/>
      <c r="G30" s="145" t="s">
        <v>132</v>
      </c>
      <c r="H30" s="164"/>
      <c r="I30" s="169"/>
      <c r="J30" s="145" t="s">
        <v>132</v>
      </c>
      <c r="K30" s="164"/>
      <c r="L30" s="169"/>
      <c r="M30" s="145" t="s">
        <v>132</v>
      </c>
      <c r="N30" s="164">
        <v>0</v>
      </c>
      <c r="O30" s="167">
        <f t="shared" si="24"/>
        <v>0</v>
      </c>
      <c r="P30" s="122">
        <f t="shared" ref="P30" si="25">E30+H30+K30+N30+O30</f>
        <v>0</v>
      </c>
      <c r="Q30" s="110"/>
      <c r="R30" s="147"/>
      <c r="S30" s="148"/>
    </row>
    <row r="31" spans="1:23" s="185" customFormat="1" ht="15.75">
      <c r="A31" s="135"/>
      <c r="B31" s="135"/>
      <c r="C31" s="182"/>
      <c r="D31" s="131">
        <f>SUMIF($A$7:$A$30,$G34,D$7:D$30)</f>
        <v>0</v>
      </c>
      <c r="E31" s="131"/>
      <c r="F31" s="131"/>
      <c r="G31" s="131"/>
      <c r="H31" s="131">
        <f>SUMIF($A$7:$A$30,$G34,H$7:H$30)</f>
        <v>103210.96382999999</v>
      </c>
      <c r="I31" s="132"/>
      <c r="J31" s="182"/>
      <c r="K31" s="131">
        <f>SUMIF($A$7:$A$30,$G34,K$7:K$30)</f>
        <v>896.15434999999991</v>
      </c>
      <c r="L31" s="135"/>
      <c r="M31" s="184"/>
      <c r="N31" s="131">
        <f>SUMIF($A$7:$A$30,$G34,N$7:N$30)</f>
        <v>0</v>
      </c>
      <c r="O31" s="131">
        <f>SUMIF($A$7:$A$30,$G34,O$7:O$30)</f>
        <v>4841.92</v>
      </c>
      <c r="P31" s="132" t="s">
        <v>110</v>
      </c>
      <c r="Q31" s="188"/>
      <c r="R31" s="189"/>
      <c r="S31" s="189"/>
      <c r="T31" s="190"/>
      <c r="U31" s="186"/>
      <c r="V31" s="186"/>
      <c r="W31" s="186"/>
    </row>
    <row r="32" spans="1:23" s="185" customFormat="1" ht="15">
      <c r="A32" s="135"/>
      <c r="B32" s="135"/>
      <c r="C32" s="182"/>
      <c r="D32" s="183" t="s">
        <v>123</v>
      </c>
      <c r="E32" s="183"/>
      <c r="F32" s="183"/>
      <c r="G32" s="183"/>
      <c r="H32" s="183" t="s">
        <v>121</v>
      </c>
      <c r="I32" s="135"/>
      <c r="J32" s="182"/>
      <c r="K32" s="183" t="s">
        <v>121</v>
      </c>
      <c r="L32" s="183"/>
      <c r="M32" s="191"/>
      <c r="N32" s="183" t="s">
        <v>121</v>
      </c>
      <c r="O32" s="183" t="s">
        <v>122</v>
      </c>
      <c r="Q32" s="186"/>
      <c r="R32" s="186"/>
      <c r="S32" s="186"/>
      <c r="T32" s="186"/>
      <c r="U32" s="186"/>
      <c r="V32" s="186"/>
      <c r="W32" s="186"/>
    </row>
    <row r="33" spans="4:26" s="96" customFormat="1" ht="15">
      <c r="D33" s="119"/>
      <c r="E33" s="119"/>
      <c r="F33" s="120"/>
      <c r="G33" s="119"/>
      <c r="H33" s="119"/>
      <c r="I33" s="119"/>
      <c r="J33" s="119"/>
      <c r="K33" s="119"/>
      <c r="L33" s="119"/>
      <c r="M33" s="120"/>
      <c r="N33" s="119"/>
      <c r="O33" s="119"/>
      <c r="P33" s="136"/>
      <c r="T33" s="97"/>
      <c r="U33" s="97"/>
      <c r="V33" s="97"/>
      <c r="W33" s="97"/>
      <c r="X33" s="97"/>
      <c r="Y33" s="97"/>
      <c r="Z33" s="97"/>
    </row>
    <row r="34" spans="4:26" s="96" customFormat="1" ht="15">
      <c r="D34" s="119"/>
      <c r="E34" s="119"/>
      <c r="F34" s="120"/>
      <c r="G34" s="112">
        <v>202103</v>
      </c>
      <c r="H34" s="113" t="s">
        <v>111</v>
      </c>
      <c r="I34" s="114"/>
      <c r="J34" s="119"/>
      <c r="K34" s="119"/>
      <c r="L34" s="119"/>
      <c r="M34" s="120"/>
      <c r="N34" s="119"/>
      <c r="O34" s="119"/>
      <c r="P34" s="136"/>
    </row>
    <row r="35" spans="4:26" s="96" customFormat="1" ht="15">
      <c r="D35" s="119"/>
      <c r="E35" s="119"/>
      <c r="F35" s="120"/>
      <c r="G35" s="115" t="s">
        <v>112</v>
      </c>
      <c r="H35" s="115" t="s">
        <v>113</v>
      </c>
      <c r="I35" s="115" t="s">
        <v>114</v>
      </c>
      <c r="J35" s="119"/>
      <c r="K35" s="119"/>
      <c r="L35" s="119"/>
      <c r="M35" s="120"/>
      <c r="N35" s="119"/>
      <c r="O35" s="119"/>
      <c r="P35" s="136"/>
    </row>
    <row r="36" spans="4:26" s="96" customFormat="1" ht="15">
      <c r="D36" s="119"/>
      <c r="E36" s="119"/>
      <c r="F36" s="133" t="s">
        <v>34</v>
      </c>
      <c r="G36" s="116" t="s">
        <v>115</v>
      </c>
      <c r="H36" s="117"/>
      <c r="I36" s="118">
        <f>IF($O$31&gt;0,ABS($O$31),"")</f>
        <v>4841.92</v>
      </c>
      <c r="J36" s="135" t="s">
        <v>122</v>
      </c>
      <c r="K36" s="119"/>
      <c r="L36" s="119"/>
      <c r="M36" s="258"/>
      <c r="N36" s="110"/>
      <c r="O36" s="119"/>
      <c r="P36" s="136"/>
    </row>
    <row r="37" spans="4:26" s="96" customFormat="1" ht="15">
      <c r="D37" s="119"/>
      <c r="E37" s="119"/>
      <c r="F37" s="133" t="s">
        <v>119</v>
      </c>
      <c r="G37" s="116" t="s">
        <v>116</v>
      </c>
      <c r="H37" s="118" t="str">
        <f>IF($O$31&lt;0,ABS($O$31),"")</f>
        <v/>
      </c>
      <c r="I37" s="117"/>
      <c r="J37" s="135" t="s">
        <v>162</v>
      </c>
      <c r="K37" s="119"/>
      <c r="L37" s="265"/>
      <c r="M37" s="262"/>
      <c r="N37" s="266"/>
      <c r="O37" s="119"/>
      <c r="P37" s="136"/>
    </row>
    <row r="38" spans="4:26" s="96" customFormat="1" ht="15">
      <c r="D38" s="119"/>
      <c r="E38" s="119"/>
      <c r="F38" s="133" t="s">
        <v>6</v>
      </c>
      <c r="G38" s="116" t="s">
        <v>129</v>
      </c>
      <c r="H38" s="118">
        <f>IF(H31+$K$31+$N$31+O31&gt;0,ABS(H31+$K$31+$N$31+O31),"")</f>
        <v>108949.03817999999</v>
      </c>
      <c r="I38" s="118" t="str">
        <f>IF(H31+$K$31+$N$31+O31&lt;0,ABS(H31+$K$31+$N$31+O31),"")</f>
        <v/>
      </c>
      <c r="J38" s="135" t="s">
        <v>136</v>
      </c>
      <c r="K38" s="119"/>
      <c r="L38" s="267"/>
      <c r="M38" s="262"/>
      <c r="N38" s="266"/>
      <c r="O38" s="119"/>
      <c r="P38" s="136"/>
    </row>
    <row r="39" spans="4:26" s="96" customFormat="1" ht="15">
      <c r="D39" s="119"/>
      <c r="E39" s="119"/>
      <c r="F39" s="133" t="s">
        <v>137</v>
      </c>
      <c r="G39" s="116" t="s">
        <v>134</v>
      </c>
      <c r="H39" s="118" t="str">
        <f>IF(H31+$K$31+$N$31&lt;0,ABS(H31+$K$31+$N$31),"")</f>
        <v/>
      </c>
      <c r="I39" s="118">
        <f>IF(H31+$K$31+$N$31&gt;0,ABS(H31+$K$31+$N$31),"")</f>
        <v>104107.11817999999</v>
      </c>
      <c r="J39" s="135" t="s">
        <v>121</v>
      </c>
      <c r="K39" s="119"/>
      <c r="L39" s="267"/>
      <c r="M39" s="262"/>
      <c r="N39" s="266"/>
      <c r="O39" s="119"/>
      <c r="P39" s="136"/>
    </row>
    <row r="40" spans="4:26" s="96" customFormat="1" ht="15">
      <c r="D40" s="119"/>
      <c r="E40" s="119"/>
      <c r="F40" s="120"/>
      <c r="G40" s="119"/>
      <c r="H40" s="119"/>
      <c r="I40" s="119"/>
      <c r="J40" s="135"/>
      <c r="K40" s="119"/>
      <c r="L40" s="267"/>
      <c r="M40" s="262"/>
      <c r="N40" s="265"/>
      <c r="O40" s="119"/>
      <c r="P40" s="136"/>
    </row>
    <row r="41" spans="4:26" s="96" customFormat="1" ht="15">
      <c r="D41" s="119"/>
      <c r="E41" s="119"/>
      <c r="F41" s="120"/>
      <c r="G41" s="119"/>
      <c r="H41" s="119"/>
      <c r="I41" s="134">
        <f>SUM(H36:H39)-SUM(I36:I39)</f>
        <v>0</v>
      </c>
      <c r="J41" s="135" t="s">
        <v>126</v>
      </c>
      <c r="K41" s="119"/>
      <c r="L41" s="119"/>
      <c r="M41" s="120"/>
      <c r="N41" s="119"/>
      <c r="O41" s="119"/>
      <c r="P41" s="136"/>
    </row>
    <row r="42" spans="4:26" s="96" customFormat="1" ht="15">
      <c r="F42" s="97"/>
      <c r="J42" s="185"/>
      <c r="M42" s="97"/>
      <c r="P42" s="138"/>
    </row>
    <row r="43" spans="4:26" s="96" customFormat="1" ht="15.75">
      <c r="F43" s="97"/>
      <c r="G43" s="115" t="s">
        <v>135</v>
      </c>
      <c r="H43" s="150"/>
      <c r="I43" s="151"/>
      <c r="J43" s="187"/>
      <c r="M43" s="97"/>
      <c r="P43" s="138"/>
    </row>
    <row r="44" spans="4:26" s="96" customFormat="1" ht="15">
      <c r="F44" s="97"/>
      <c r="G44" s="152" t="s">
        <v>129</v>
      </c>
      <c r="H44" s="118" t="str">
        <f>IF($D$31&gt;0,ABS($D$31),"")</f>
        <v/>
      </c>
      <c r="I44" s="153"/>
      <c r="J44" s="135" t="s">
        <v>123</v>
      </c>
      <c r="M44" s="97"/>
      <c r="P44" s="138"/>
    </row>
    <row r="45" spans="4:26" s="96" customFormat="1" ht="15">
      <c r="F45" s="97"/>
      <c r="G45" s="152" t="s">
        <v>134</v>
      </c>
      <c r="H45" s="153"/>
      <c r="I45" s="118" t="str">
        <f>H44</f>
        <v/>
      </c>
      <c r="J45" s="154"/>
      <c r="M45" s="97"/>
      <c r="P45" s="138"/>
    </row>
    <row r="46" spans="4:26">
      <c r="Q46" s="119"/>
      <c r="S46" s="175"/>
      <c r="U46" s="120"/>
    </row>
    <row r="47" spans="4:26">
      <c r="P47" s="175"/>
      <c r="Q47" s="119"/>
      <c r="R47" s="120"/>
      <c r="S47" s="119"/>
    </row>
  </sheetData>
  <printOptions horizontalCentered="1"/>
  <pageMargins left="0.2" right="0.2" top="0.75" bottom="0.75" header="0.3" footer="0.3"/>
  <pageSetup scale="72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E03BCE51D8FF4EBA5486821B766315" ma:contentTypeVersion="52" ma:contentTypeDescription="" ma:contentTypeScope="" ma:versionID="9bc2ace04e25791ae1b119c9b1189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2020-07-31T07:00:00+00:00</OpenedDate>
    <SignificantOrder xmlns="dc463f71-b30c-4ab2-9473-d307f9d35888">false</SignificantOrder>
    <Date1 xmlns="dc463f71-b30c-4ab2-9473-d307f9d35888">2021-04-29T07:00:00+00:00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200717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A3292D-2B91-4004-8476-C81E3245DAD1}"/>
</file>

<file path=customXml/itemProps2.xml><?xml version="1.0" encoding="utf-8"?>
<ds:datastoreItem xmlns:ds="http://schemas.openxmlformats.org/officeDocument/2006/customXml" ds:itemID="{7E8F8B20-53A1-43A6-8E8B-0EDDA6E5EA5B}"/>
</file>

<file path=customXml/itemProps3.xml><?xml version="1.0" encoding="utf-8"?>
<ds:datastoreItem xmlns:ds="http://schemas.openxmlformats.org/officeDocument/2006/customXml" ds:itemID="{6CB7C0A5-47D8-4542-8601-8ED1D88AFCC1}"/>
</file>

<file path=customXml/itemProps4.xml><?xml version="1.0" encoding="utf-8"?>
<ds:datastoreItem xmlns:ds="http://schemas.openxmlformats.org/officeDocument/2006/customXml" ds:itemID="{5F72DA0C-FAD3-4E2A-86CD-9FF38DC2E7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Jan</vt:lpstr>
      <vt:lpstr>Feb</vt:lpstr>
      <vt:lpstr>Mar</vt:lpstr>
      <vt:lpstr>191010 WA DEF</vt:lpstr>
      <vt:lpstr>191000 WA Amort</vt:lpstr>
      <vt:lpstr>'191000 WA Amort'!Print_Area</vt:lpstr>
      <vt:lpstr>'191010 WA DEF'!Print_Area</vt:lpstr>
      <vt:lpstr>Feb!Print_Area</vt:lpstr>
      <vt:lpstr>Jan!Print_Area</vt:lpstr>
      <vt:lpstr>Mar!Print_Area</vt:lpstr>
      <vt:lpstr>Feb!Print_Titles</vt:lpstr>
      <vt:lpstr>Jan!Print_Titles</vt:lpstr>
      <vt:lpstr>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2021-02-03T18:57:29Z</cp:lastPrinted>
  <dcterms:created xsi:type="dcterms:W3CDTF">2003-05-01T14:02:57Z</dcterms:created>
  <dcterms:modified xsi:type="dcterms:W3CDTF">2021-04-19T17:18:44Z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0x0101006E56B4D1795A2E4DB2F0B01679ED314A0010E03BCE51D8FF4EBA5486821B766315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