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2019 Data for 2020\PT Ratio\"/>
    </mc:Choice>
  </mc:AlternateContent>
  <bookViews>
    <workbookView xWindow="120" yWindow="36" windowWidth="15180" windowHeight="9096"/>
  </bookViews>
  <sheets>
    <sheet name="PT Ratio with 2019 Data" sheetId="2" r:id="rId1"/>
    <sheet name="WA Adjustments" sheetId="1" r:id="rId2"/>
    <sheet name="ID Adjustment" sheetId="9" r:id="rId3"/>
    <sheet name="MWh" sheetId="13" r:id="rId4"/>
    <sheet name="MW Peak" sheetId="14" r:id="rId5"/>
    <sheet name="Sheet1" sheetId="12" r:id="rId6"/>
    <sheet name="PrevYr" sheetId="10" state="hidden" r:id="rId7"/>
    <sheet name="Difference" sheetId="11" state="hidden" r:id="rId8"/>
  </sheets>
  <definedNames>
    <definedName name="_xlnm.Print_Area" localSheetId="0">'PT Ratio with 2019 Data'!$A$1:$F$48</definedName>
    <definedName name="_xlnm.Print_Titles" localSheetId="0">'PT Ratio with 2019 Data'!$A:$C</definedName>
    <definedName name="PTRATIO">'PT Ratio with 2019 Data'!$A$1:$F$44</definedName>
  </definedNames>
  <calcPr calcId="152511"/>
</workbook>
</file>

<file path=xl/calcChain.xml><?xml version="1.0" encoding="utf-8"?>
<calcChain xmlns="http://schemas.openxmlformats.org/spreadsheetml/2006/main">
  <c r="D35" i="2" l="1"/>
  <c r="D17" i="2"/>
  <c r="J27" i="1" l="1"/>
  <c r="I27" i="1"/>
  <c r="H27" i="1"/>
  <c r="G27" i="1"/>
  <c r="F27" i="1"/>
  <c r="E27" i="1"/>
  <c r="D27" i="1"/>
  <c r="C27" i="1"/>
  <c r="K20" i="1" l="1"/>
  <c r="K19" i="1"/>
  <c r="K18" i="1"/>
  <c r="K17" i="1"/>
  <c r="K16" i="1"/>
  <c r="K15" i="1"/>
  <c r="K14" i="1"/>
  <c r="K13" i="1"/>
  <c r="F13" i="14"/>
  <c r="E12" i="2" s="1"/>
  <c r="E13" i="14"/>
  <c r="D12" i="2" s="1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F5" i="14"/>
  <c r="E5" i="14"/>
  <c r="F4" i="14"/>
  <c r="E4" i="14"/>
  <c r="F3" i="14"/>
  <c r="E3" i="14"/>
  <c r="F2" i="14"/>
  <c r="E2" i="14"/>
  <c r="J13" i="13"/>
  <c r="E22" i="2" s="1"/>
  <c r="F13" i="13"/>
  <c r="E8" i="2" s="1"/>
  <c r="E13" i="13"/>
  <c r="D8" i="2" s="1"/>
  <c r="J12" i="13"/>
  <c r="F12" i="13"/>
  <c r="E12" i="13"/>
  <c r="J11" i="13"/>
  <c r="F11" i="13"/>
  <c r="E11" i="13"/>
  <c r="J10" i="13"/>
  <c r="F10" i="13"/>
  <c r="E10" i="13"/>
  <c r="J9" i="13"/>
  <c r="F9" i="13"/>
  <c r="E9" i="13"/>
  <c r="J8" i="13"/>
  <c r="F8" i="13"/>
  <c r="E8" i="13"/>
  <c r="J7" i="13"/>
  <c r="F7" i="13"/>
  <c r="E7" i="13"/>
  <c r="J6" i="13"/>
  <c r="F6" i="13"/>
  <c r="E6" i="13"/>
  <c r="J5" i="13"/>
  <c r="F5" i="13"/>
  <c r="E5" i="13"/>
  <c r="F4" i="13"/>
  <c r="E4" i="13"/>
  <c r="F3" i="13"/>
  <c r="E3" i="13"/>
  <c r="F2" i="13"/>
  <c r="E2" i="13"/>
  <c r="K23" i="1" l="1"/>
  <c r="K22" i="1"/>
  <c r="K21" i="1"/>
  <c r="D29" i="11" l="1"/>
  <c r="E28" i="11"/>
  <c r="E22" i="11"/>
  <c r="E12" i="11"/>
  <c r="D12" i="11"/>
  <c r="E8" i="11"/>
  <c r="E21" i="11" s="1"/>
  <c r="D8" i="11"/>
  <c r="D21" i="11" s="1"/>
  <c r="B32" i="11"/>
  <c r="B30" i="11"/>
  <c r="B27" i="11"/>
  <c r="B25" i="11"/>
  <c r="B23" i="11"/>
  <c r="A4" i="11"/>
  <c r="F1" i="11"/>
  <c r="B32" i="10"/>
  <c r="B30" i="10"/>
  <c r="F29" i="10"/>
  <c r="F28" i="10"/>
  <c r="E27" i="10"/>
  <c r="D27" i="10"/>
  <c r="B27" i="10"/>
  <c r="B25" i="10"/>
  <c r="B23" i="10"/>
  <c r="F22" i="10"/>
  <c r="E21" i="10"/>
  <c r="E23" i="10" s="1"/>
  <c r="D21" i="10"/>
  <c r="F12" i="10"/>
  <c r="E14" i="10" s="1"/>
  <c r="F8" i="10"/>
  <c r="E10" i="10" s="1"/>
  <c r="A4" i="10"/>
  <c r="F1" i="10"/>
  <c r="F8" i="2"/>
  <c r="D10" i="2" s="1"/>
  <c r="F12" i="2"/>
  <c r="E14" i="2" s="1"/>
  <c r="E14" i="11" s="1"/>
  <c r="C26" i="9"/>
  <c r="J26" i="1"/>
  <c r="H26" i="1"/>
  <c r="G26" i="1"/>
  <c r="F26" i="1"/>
  <c r="E26" i="1"/>
  <c r="D26" i="1"/>
  <c r="C26" i="1"/>
  <c r="B27" i="2"/>
  <c r="K24" i="1"/>
  <c r="D27" i="2"/>
  <c r="D27" i="11" s="1"/>
  <c r="E27" i="2"/>
  <c r="E27" i="11" s="1"/>
  <c r="D21" i="2"/>
  <c r="D23" i="2" s="1"/>
  <c r="E21" i="2"/>
  <c r="E23" i="2" s="1"/>
  <c r="F22" i="2"/>
  <c r="A3" i="2"/>
  <c r="B23" i="2"/>
  <c r="B25" i="2"/>
  <c r="B30" i="2"/>
  <c r="B32" i="2"/>
  <c r="A4" i="9"/>
  <c r="A5" i="9"/>
  <c r="A5" i="1"/>
  <c r="I26" i="1"/>
  <c r="E17" i="10" l="1"/>
  <c r="F21" i="10"/>
  <c r="F23" i="10" s="1"/>
  <c r="E30" i="10"/>
  <c r="D30" i="10"/>
  <c r="E10" i="2"/>
  <c r="E10" i="11" s="1"/>
  <c r="E23" i="11"/>
  <c r="E29" i="2"/>
  <c r="F29" i="2" s="1"/>
  <c r="F27" i="2"/>
  <c r="D14" i="2"/>
  <c r="F12" i="11"/>
  <c r="F21" i="11"/>
  <c r="F22" i="11"/>
  <c r="F8" i="11"/>
  <c r="D23" i="11"/>
  <c r="F27" i="11"/>
  <c r="D10" i="10"/>
  <c r="D10" i="11" s="1"/>
  <c r="D23" i="10"/>
  <c r="E25" i="10"/>
  <c r="D25" i="10"/>
  <c r="D14" i="10"/>
  <c r="F14" i="10" s="1"/>
  <c r="F15" i="10" s="1"/>
  <c r="F27" i="10"/>
  <c r="F30" i="10" s="1"/>
  <c r="K26" i="1"/>
  <c r="D28" i="2" s="1"/>
  <c r="F21" i="2"/>
  <c r="F23" i="2" s="1"/>
  <c r="E25" i="2" s="1"/>
  <c r="E25" i="11" s="1"/>
  <c r="E32" i="10" l="1"/>
  <c r="E35" i="10" s="1"/>
  <c r="F10" i="10"/>
  <c r="F11" i="10" s="1"/>
  <c r="E17" i="2"/>
  <c r="E17" i="11" s="1"/>
  <c r="F10" i="2"/>
  <c r="F11" i="2" s="1"/>
  <c r="D14" i="11"/>
  <c r="D17" i="11"/>
  <c r="F23" i="11"/>
  <c r="E30" i="2"/>
  <c r="E29" i="11"/>
  <c r="F29" i="11" s="1"/>
  <c r="F14" i="2"/>
  <c r="F14" i="11" s="1"/>
  <c r="F28" i="2"/>
  <c r="F30" i="2" s="1"/>
  <c r="D28" i="11"/>
  <c r="D17" i="10"/>
  <c r="F17" i="10" s="1"/>
  <c r="F18" i="10" s="1"/>
  <c r="D32" i="10"/>
  <c r="F32" i="10" s="1"/>
  <c r="F33" i="10" s="1"/>
  <c r="F25" i="10"/>
  <c r="F26" i="10" s="1"/>
  <c r="D30" i="2"/>
  <c r="D25" i="2"/>
  <c r="F10" i="11" l="1"/>
  <c r="F17" i="11"/>
  <c r="D35" i="10"/>
  <c r="F35" i="10" s="1"/>
  <c r="F15" i="2"/>
  <c r="E32" i="2"/>
  <c r="E32" i="11" s="1"/>
  <c r="E30" i="11"/>
  <c r="F17" i="2"/>
  <c r="F18" i="2" s="1"/>
  <c r="D25" i="11"/>
  <c r="F25" i="11" s="1"/>
  <c r="D32" i="2"/>
  <c r="F28" i="11"/>
  <c r="F30" i="11" s="1"/>
  <c r="D30" i="11"/>
  <c r="F25" i="2"/>
  <c r="F26" i="2" s="1"/>
  <c r="E35" i="2" l="1"/>
  <c r="E35" i="11" s="1"/>
  <c r="D32" i="11"/>
  <c r="F32" i="11" s="1"/>
  <c r="D35" i="11"/>
  <c r="F32" i="2"/>
  <c r="F33" i="2" s="1"/>
  <c r="F35" i="11" l="1"/>
  <c r="F35" i="2"/>
</calcChain>
</file>

<file path=xl/comments1.xml><?xml version="1.0" encoding="utf-8"?>
<comments xmlns="http://schemas.openxmlformats.org/spreadsheetml/2006/main">
  <authors>
    <author>rzs589</author>
  </authors>
  <commentList>
    <comment ref="D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from "Calculation of Area load By States", Idaho Generation, Clearwater - Total Generation</t>
        </r>
      </text>
    </comment>
  </commentList>
</comments>
</file>

<file path=xl/comments3.xml><?xml version="1.0" encoding="utf-8"?>
<comments xmlns="http://schemas.openxmlformats.org/spreadsheetml/2006/main">
  <authors>
    <author>rzs589</author>
  </authors>
  <commentList>
    <comment ref="E22" authorId="0" shapeId="0">
      <text>
        <r>
          <rPr>
            <sz val="8"/>
            <color indexed="81"/>
            <rFont val="Tahoma"/>
            <family val="2"/>
          </rPr>
          <t>This comes from a worksheet Tara prepares that shows the purchases from Potlatch</t>
        </r>
      </text>
    </comment>
  </commentList>
</comments>
</file>

<file path=xl/sharedStrings.xml><?xml version="1.0" encoding="utf-8"?>
<sst xmlns="http://schemas.openxmlformats.org/spreadsheetml/2006/main" count="183" uniqueCount="89">
  <si>
    <t>Kaiser</t>
  </si>
  <si>
    <t>Total</t>
  </si>
  <si>
    <t>Trentwood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</si>
  <si>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</si>
  <si>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</si>
  <si>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</si>
  <si>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</si>
  <si>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</si>
  <si>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</si>
  <si>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</si>
  <si>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</si>
  <si>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</si>
  <si>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</si>
  <si>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</si>
  <si>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</si>
  <si>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Washington</t>
  </si>
  <si>
    <t>Idaho</t>
  </si>
  <si>
    <t>Energy Retail Sales Percentage</t>
  </si>
  <si>
    <t>MW's Peak Percentage</t>
  </si>
  <si>
    <t>Final Grand Summary - Allocation of Load by</t>
  </si>
  <si>
    <t>Jurisdiction (Based on 50/50 Weighing)</t>
  </si>
  <si>
    <t>Energy Retail Sales (MWH)</t>
  </si>
  <si>
    <t>Adjusted Production Transmission Jurisdiction</t>
  </si>
  <si>
    <t>(Based on 50/50 Weighing)</t>
  </si>
  <si>
    <t>CC/</t>
  </si>
  <si>
    <t>Production/Transmission Percentage</t>
  </si>
  <si>
    <t>(Usk-BPA)</t>
  </si>
  <si>
    <t>(Newport-BPA)</t>
  </si>
  <si>
    <t>(Box Canyon</t>
  </si>
  <si>
    <t xml:space="preserve"> - BPA)</t>
  </si>
  <si>
    <t>(Metaline</t>
  </si>
  <si>
    <t>Falls - BPA)</t>
  </si>
  <si>
    <t>(Diamond</t>
  </si>
  <si>
    <t>Lake - BPA)</t>
  </si>
  <si>
    <t>Box</t>
  </si>
  <si>
    <t>Canyon</t>
  </si>
  <si>
    <t>PPUD</t>
  </si>
  <si>
    <t>Avista Utilities</t>
  </si>
  <si>
    <t>Pend Oreille</t>
  </si>
  <si>
    <t>PUD</t>
  </si>
  <si>
    <t>(A)</t>
  </si>
  <si>
    <t>Note A - The Power Supply worksheet shows this as a debit but since it is generation it should be a credit (per Rick Lloyd)</t>
  </si>
  <si>
    <t>Note B - This adjustment is needed since Kaiser/Pend Oreille PUD are not retail customers</t>
  </si>
  <si>
    <t>Note C - Information comes from Power Supply's Calculation of Area Load By States (MW)</t>
  </si>
  <si>
    <t>(Addback)</t>
  </si>
  <si>
    <t>(D)</t>
  </si>
  <si>
    <t>Note D - This relates to Pend Oreille PUD, added back in to match credit going out</t>
  </si>
  <si>
    <t>Pend Oreille PUD/Kaiser Adjustment</t>
  </si>
  <si>
    <t>Less: Adjustments to Washington Load (Note 1)</t>
  </si>
  <si>
    <t>Adjustments to Washington Peak</t>
  </si>
  <si>
    <t>Adjustments to Idaho Peak</t>
  </si>
  <si>
    <t>Generation</t>
  </si>
  <si>
    <t>Less: Adjustments to Idaho Load (Note 2)</t>
  </si>
  <si>
    <t>Note 1</t>
  </si>
  <si>
    <t>Note 2</t>
  </si>
  <si>
    <t>Less: Adjustments to Idaho Load  (Note 2)</t>
  </si>
  <si>
    <t>Tara Knox (attachments)</t>
  </si>
  <si>
    <t>that is directly assigned to Idaho</t>
  </si>
  <si>
    <t>Adjusted Jurisdictional Allocation</t>
  </si>
  <si>
    <t>Adjusted Production/Transmission Percentage</t>
  </si>
  <si>
    <t>MW's Peak (Retail + Adjustments)</t>
  </si>
  <si>
    <t>Actual Jurisdictional Allocation (12/31/08)</t>
  </si>
  <si>
    <t>Clearwater Paper (Potlatch) Adjustment for purchased generation</t>
  </si>
  <si>
    <t>Pine PUD</t>
  </si>
  <si>
    <t>Rathdrum</t>
  </si>
  <si>
    <t>(BPA)</t>
  </si>
  <si>
    <t>Actual Jurisdictional Allocation</t>
  </si>
  <si>
    <t>Difference Between Current and Prior Years</t>
  </si>
  <si>
    <t>Karen Schuh</t>
  </si>
  <si>
    <t>Liz Andrews</t>
  </si>
  <si>
    <t>Tim Murphy</t>
  </si>
  <si>
    <t>Clearwater</t>
  </si>
  <si>
    <t xml:space="preserve">Less: Adjustments to Idaho Load </t>
  </si>
  <si>
    <t xml:space="preserve">Clearwater Paper Adjustment </t>
  </si>
  <si>
    <t>Keri Meister</t>
  </si>
  <si>
    <t>Jenny McCauley</t>
  </si>
  <si>
    <t>Ryan Finesilver</t>
  </si>
  <si>
    <t>12 Months Ended 12/31/09</t>
  </si>
  <si>
    <t>WA</t>
  </si>
  <si>
    <t>ID</t>
  </si>
  <si>
    <t>WA-12 month Cumulative</t>
  </si>
  <si>
    <t>ID-12 month Cumulative</t>
  </si>
  <si>
    <t>12 Months Ended 12/31/19</t>
  </si>
  <si>
    <t>Bradley Eastham</t>
  </si>
  <si>
    <t>Kaylene Schultz</t>
  </si>
  <si>
    <t xml:space="preserve">Cheryl Kettner </t>
  </si>
  <si>
    <t>Rubal Gill</t>
  </si>
  <si>
    <t>Actual Jurisdictional Allocation (12/31/19)</t>
  </si>
  <si>
    <t>Justin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</si>
</sst>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dd\/yy_)"/>
    <numFmt numFmtId="165" formatCode="0.000%"/>
    <numFmt numFmtId="166" formatCode="0_);\(0\)"/>
  </numFmts>
  <fonts count="7" x14ac:knownFonts="1">
    <font>
      <sz val="12"/>
      <name val="Helv"/>
    </font>
    <font>
      <sz val="12"/>
      <color indexed="12"/>
      <name val="Helv"/>
    </font>
    <font>
      <sz val="12"/>
      <color indexed="8"/>
      <name val="Helv"/>
    </font>
    <font>
      <b/>
      <sz val="12"/>
      <name val="Helv"/>
    </font>
    <font>
      <sz val="12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7" fontId="0" fillId="0" borderId="0"/>
    <xf numFmtId="9" fontId="4" fillId="0" borderId="0" applyFont="0" applyFill="0" applyBorder="0" applyAlignment="0" applyProtection="0"/>
  </cellStyleXfs>
  <cellXfs count="25">
    <xf numFmtId="37" fontId="0" fillId="0" borderId="0" xfId="0"/>
    <xf numFmtId="37" fontId="1" fillId="0" borderId="0" xfId="0" applyFont="1" applyProtection="1">
      <protection locked="0"/>
    </xf>
    <xf numFmtId="164" fontId="0" fillId="0" borderId="0" xfId="0" applyNumberFormat="1" applyProtection="1"/>
    <xf numFmtId="37" fontId="0" fillId="0" borderId="0" xfId="0" applyAlignment="1">
      <alignment horizontal="center"/>
    </xf>
    <xf numFmtId="37" fontId="1" fillId="0" borderId="0" xfId="0" applyFont="1"/>
    <xf numFmtId="37" fontId="0" fillId="0" borderId="1" xfId="0" applyBorder="1" applyAlignment="1">
      <alignment horizontal="center"/>
    </xf>
    <xf numFmtId="37" fontId="1" fillId="0" borderId="1" xfId="0" applyFont="1" applyBorder="1" applyProtection="1">
      <protection locked="0"/>
    </xf>
    <xf numFmtId="37" fontId="0" fillId="0" borderId="1" xfId="0" applyBorder="1"/>
    <xf numFmtId="10" fontId="0" fillId="0" borderId="2" xfId="0" applyNumberFormat="1" applyBorder="1" applyProtection="1"/>
    <xf numFmtId="37" fontId="0" fillId="0" borderId="2" xfId="0" applyBorder="1"/>
    <xf numFmtId="10" fontId="1" fillId="0" borderId="3" xfId="0" applyNumberFormat="1" applyFont="1" applyBorder="1" applyProtection="1">
      <protection locked="0"/>
    </xf>
    <xf numFmtId="10" fontId="0" fillId="0" borderId="4" xfId="0" applyNumberFormat="1" applyBorder="1" applyProtection="1"/>
    <xf numFmtId="10" fontId="0" fillId="0" borderId="5" xfId="0" applyNumberFormat="1" applyBorder="1" applyProtection="1"/>
    <xf numFmtId="37" fontId="2" fillId="0" borderId="0" xfId="0" applyFont="1" applyProtection="1">
      <protection locked="0"/>
    </xf>
    <xf numFmtId="37" fontId="0" fillId="0" borderId="6" xfId="0" applyBorder="1"/>
    <xf numFmtId="37" fontId="1" fillId="0" borderId="0" xfId="0" quotePrefix="1" applyFont="1"/>
    <xf numFmtId="37" fontId="3" fillId="0" borderId="0" xfId="0" applyFont="1"/>
    <xf numFmtId="37" fontId="1" fillId="0" borderId="0" xfId="0" quotePrefix="1" applyFont="1" applyAlignment="1">
      <alignment horizontal="center"/>
    </xf>
    <xf numFmtId="37" fontId="4" fillId="0" borderId="0" xfId="0" applyFont="1" applyProtection="1">
      <protection locked="0"/>
    </xf>
    <xf numFmtId="10" fontId="1" fillId="0" borderId="2" xfId="0" applyNumberFormat="1" applyFont="1" applyBorder="1" applyProtection="1"/>
    <xf numFmtId="37" fontId="0" fillId="0" borderId="0" xfId="0" applyFont="1" applyAlignment="1">
      <alignment horizontal="center"/>
    </xf>
    <xf numFmtId="165" fontId="1" fillId="0" borderId="0" xfId="1" applyNumberFormat="1" applyFont="1" applyProtection="1">
      <protection locked="0"/>
    </xf>
    <xf numFmtId="37" fontId="0" fillId="0" borderId="0" xfId="0" applyFill="1"/>
    <xf numFmtId="37" fontId="3" fillId="0" borderId="0" xfId="0" applyFont="1" applyAlignment="1">
      <alignment horizontal="center" wrapText="1"/>
    </xf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/>
  <dimension ref="A1:F47"/>
  <sheetViews>
    <sheetView showZeros="0" tabSelected="1" zoomScaleNormal="100" zoomScaleSheetLayoutView="10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C48" sqref="C48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/>
    </row>
    <row r="2" spans="1:6" x14ac:dyDescent="0.3">
      <c r="A2" t="s">
        <v>25</v>
      </c>
    </row>
    <row r="3" spans="1:6" x14ac:dyDescent="0.3">
      <c r="A3" s="13" t="str">
        <f>+'WA Adjustments'!A4</f>
        <v>12 Months Ended 12/31/19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87</v>
      </c>
      <c r="B7" s="7"/>
      <c r="C7" s="7"/>
    </row>
    <row r="8" spans="1:6" x14ac:dyDescent="0.3">
      <c r="B8" t="s">
        <v>21</v>
      </c>
      <c r="D8" s="1">
        <f>MWh!E13</f>
        <v>5684114</v>
      </c>
      <c r="E8" s="1">
        <f>MWh!F13</f>
        <v>3308481</v>
      </c>
      <c r="F8">
        <f>D8+E8</f>
        <v>8992595</v>
      </c>
    </row>
    <row r="10" spans="1:6" x14ac:dyDescent="0.3">
      <c r="B10" t="s">
        <v>17</v>
      </c>
      <c r="D10" s="8">
        <f>ROUND(D8/$F8,4)</f>
        <v>0.6321</v>
      </c>
      <c r="E10" s="8">
        <f>ROUND(E8/$F8,4)</f>
        <v>0.3679</v>
      </c>
      <c r="F10" s="8">
        <f>D10+E10</f>
        <v>1</v>
      </c>
    </row>
    <row r="11" spans="1:6" x14ac:dyDescent="0.3">
      <c r="F11" t="str">
        <f>IF(F10=1," ","Rounding Error")</f>
        <v xml:space="preserve"> </v>
      </c>
    </row>
    <row r="12" spans="1:6" x14ac:dyDescent="0.3">
      <c r="B12" t="s">
        <v>60</v>
      </c>
      <c r="D12" s="1">
        <f>'MW Peak'!E13</f>
        <v>13149</v>
      </c>
      <c r="E12" s="1">
        <f>'MW Peak'!F13</f>
        <v>6419</v>
      </c>
      <c r="F12">
        <f>D12+E12</f>
        <v>19568</v>
      </c>
    </row>
    <row r="14" spans="1:6" x14ac:dyDescent="0.3">
      <c r="B14" t="s">
        <v>18</v>
      </c>
      <c r="D14" s="8">
        <f>ROUND(D12/$F12,4)</f>
        <v>0.67200000000000004</v>
      </c>
      <c r="E14" s="8">
        <f>ROUND(E12/$F12,4)</f>
        <v>0.32800000000000001</v>
      </c>
      <c r="F14" s="8">
        <f>D14+E14</f>
        <v>1</v>
      </c>
    </row>
    <row r="15" spans="1:6" x14ac:dyDescent="0.3">
      <c r="F15" t="str">
        <f>IF(F14=1," ","Rounding Error")</f>
        <v xml:space="preserve"> </v>
      </c>
    </row>
    <row r="16" spans="1:6" x14ac:dyDescent="0.3">
      <c r="A16" t="s">
        <v>19</v>
      </c>
    </row>
    <row r="17" spans="1:6" x14ac:dyDescent="0.3">
      <c r="B17" t="s">
        <v>20</v>
      </c>
      <c r="D17" s="19">
        <f>ROUND((D10+D14)/2,4)-0.0001</f>
        <v>0.65200000000000002</v>
      </c>
      <c r="E17" s="8">
        <f>ROUND((E10+E14)/2,4)</f>
        <v>0.34799999999999998</v>
      </c>
      <c r="F17" s="8">
        <f>D17+E17</f>
        <v>1</v>
      </c>
    </row>
    <row r="18" spans="1:6" x14ac:dyDescent="0.3">
      <c r="F18" t="str">
        <f>IF(F17=1," ","Rounding Error")</f>
        <v xml:space="preserve"> 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5684114</v>
      </c>
      <c r="E21">
        <f>E8</f>
        <v>3308481</v>
      </c>
      <c r="F21">
        <f>D21+E21</f>
        <v>8992595</v>
      </c>
    </row>
    <row r="22" spans="1:6" x14ac:dyDescent="0.3">
      <c r="B22" t="s">
        <v>72</v>
      </c>
      <c r="E22" s="4">
        <f>MWh!J13</f>
        <v>-318111</v>
      </c>
      <c r="F22">
        <f>D22+E22</f>
        <v>-318111</v>
      </c>
    </row>
    <row r="23" spans="1:6" x14ac:dyDescent="0.3">
      <c r="B23" t="str">
        <f>B8</f>
        <v>Energy Retail Sales (MWH)</v>
      </c>
      <c r="D23" s="9">
        <f>D21+D22</f>
        <v>5684114</v>
      </c>
      <c r="E23" s="9">
        <f>E21+E22</f>
        <v>2990370</v>
      </c>
      <c r="F23" s="9">
        <f>F21+F22</f>
        <v>8674484</v>
      </c>
    </row>
    <row r="25" spans="1:6" x14ac:dyDescent="0.3">
      <c r="B25" t="str">
        <f>B10</f>
        <v>Energy Retail Sales Percentage</v>
      </c>
      <c r="D25" s="8">
        <f>ROUND(D23/$F23,4)</f>
        <v>0.65529999999999999</v>
      </c>
      <c r="E25" s="8">
        <f>ROUND(E23/$F23,4)</f>
        <v>0.34470000000000001</v>
      </c>
      <c r="F25" s="8">
        <f>D25+E25</f>
        <v>1</v>
      </c>
    </row>
    <row r="26" spans="1:6" x14ac:dyDescent="0.3">
      <c r="F26" t="str">
        <f>IF(F25=1," ","Rounding Error")</f>
        <v xml:space="preserve"> </v>
      </c>
    </row>
    <row r="27" spans="1:6" x14ac:dyDescent="0.3">
      <c r="B27" t="str">
        <f>+B12</f>
        <v>MW's Peak (Retail + Adjustments)</v>
      </c>
      <c r="D27">
        <f>D12</f>
        <v>13149</v>
      </c>
      <c r="E27">
        <f>E12</f>
        <v>6419</v>
      </c>
      <c r="F27">
        <f>D27+E27</f>
        <v>19568</v>
      </c>
    </row>
    <row r="28" spans="1:6" x14ac:dyDescent="0.3">
      <c r="B28" t="s">
        <v>48</v>
      </c>
      <c r="D28">
        <f>'WA Adjustments'!K26</f>
        <v>-1910</v>
      </c>
      <c r="F28">
        <f>D28+E28</f>
        <v>-1910</v>
      </c>
    </row>
    <row r="29" spans="1:6" x14ac:dyDescent="0.3">
      <c r="B29" t="s">
        <v>52</v>
      </c>
      <c r="E29">
        <f>-'ID Adjustment'!C26</f>
        <v>-567</v>
      </c>
      <c r="F29">
        <f>D29+E29</f>
        <v>-567</v>
      </c>
    </row>
    <row r="30" spans="1:6" x14ac:dyDescent="0.3">
      <c r="B30" t="str">
        <f>B12</f>
        <v>MW's Peak (Retail + Adjustments)</v>
      </c>
      <c r="D30" s="9">
        <f>SUM(D27:D29)</f>
        <v>11239</v>
      </c>
      <c r="E30" s="9">
        <f>SUM(E27:E29)</f>
        <v>5852</v>
      </c>
      <c r="F30" s="9">
        <f>SUM(F27:F29)</f>
        <v>17091</v>
      </c>
    </row>
    <row r="32" spans="1:6" x14ac:dyDescent="0.3">
      <c r="B32" t="str">
        <f>B14</f>
        <v>MW's Peak Percentage</v>
      </c>
      <c r="D32" s="8">
        <f>ROUND(D30/$F30,4)</f>
        <v>0.65759999999999996</v>
      </c>
      <c r="E32" s="8">
        <f>ROUND(E30/$F30,4)</f>
        <v>0.34239999999999998</v>
      </c>
      <c r="F32" s="8">
        <f>D32+E32</f>
        <v>1</v>
      </c>
    </row>
    <row r="33" spans="1:6" x14ac:dyDescent="0.3">
      <c r="F33" t="str">
        <f>IF(F32=1," ","Rounding Error")</f>
        <v xml:space="preserve"> </v>
      </c>
    </row>
    <row r="34" spans="1:6" x14ac:dyDescent="0.3">
      <c r="A34" t="s">
        <v>22</v>
      </c>
    </row>
    <row r="35" spans="1:6" x14ac:dyDescent="0.3">
      <c r="B35" t="s">
        <v>23</v>
      </c>
      <c r="D35" s="10">
        <f>ROUND((D25+D32)/2,4)-0.0001</f>
        <v>0.65639999999999998</v>
      </c>
      <c r="E35" s="11">
        <f>ROUND((E25+E32)/2,4)</f>
        <v>0.34360000000000002</v>
      </c>
      <c r="F35" s="12">
        <f>D35+E35</f>
        <v>1</v>
      </c>
    </row>
    <row r="37" spans="1:6" x14ac:dyDescent="0.3">
      <c r="E37" s="16">
        <v>0</v>
      </c>
    </row>
    <row r="38" spans="1:6" x14ac:dyDescent="0.3">
      <c r="A38" t="s">
        <v>53</v>
      </c>
      <c r="C38" t="s">
        <v>47</v>
      </c>
    </row>
    <row r="39" spans="1:6" x14ac:dyDescent="0.3">
      <c r="A39" t="s">
        <v>54</v>
      </c>
      <c r="C39" t="s">
        <v>73</v>
      </c>
    </row>
    <row r="42" spans="1:6" x14ac:dyDescent="0.3">
      <c r="B42" t="s">
        <v>24</v>
      </c>
      <c r="C42" s="22" t="s">
        <v>76</v>
      </c>
      <c r="D42" s="22" t="s">
        <v>83</v>
      </c>
    </row>
    <row r="43" spans="1:6" x14ac:dyDescent="0.3">
      <c r="C43" t="s">
        <v>85</v>
      </c>
      <c r="D43" t="s">
        <v>56</v>
      </c>
    </row>
    <row r="44" spans="1:6" x14ac:dyDescent="0.3">
      <c r="C44" t="s">
        <v>84</v>
      </c>
      <c r="D44" t="s">
        <v>70</v>
      </c>
    </row>
    <row r="45" spans="1:6" x14ac:dyDescent="0.3">
      <c r="C45" t="s">
        <v>69</v>
      </c>
      <c r="D45" t="s">
        <v>68</v>
      </c>
    </row>
    <row r="46" spans="1:6" x14ac:dyDescent="0.3">
      <c r="C46" t="s">
        <v>86</v>
      </c>
      <c r="D46" t="s">
        <v>74</v>
      </c>
    </row>
    <row r="47" spans="1:6" x14ac:dyDescent="0.3">
      <c r="C47" t="s">
        <v>88</v>
      </c>
      <c r="D47" t="s">
        <v>75</v>
      </c>
    </row>
  </sheetData>
  <phoneticPr fontId="0" type="noConversion"/>
  <pageMargins left="0.5" right="0.5" top="0.75" bottom="0.55000000000000004" header="0.5" footer="0.5"/>
  <pageSetup scale="95" fitToWidth="3" orientation="portrait" r:id="rId1"/>
  <headerFooter alignWithMargins="0">
    <oddFooter>&amp;L&amp;F
&amp;A&amp;R
Prepared by: Jeanne Pluth
Completed: 1/22/2019</oddFooter>
  </headerFooter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K34"/>
  <sheetViews>
    <sheetView showZeros="0" workbookViewId="0">
      <pane xSplit="2" ySplit="11" topLeftCell="C12" activePane="bottomRight" state="frozen"/>
      <selection activeCell="C39" sqref="C39"/>
      <selection pane="topRight" activeCell="C39" sqref="C39"/>
      <selection pane="bottomLeft" activeCell="C39" sqref="C39"/>
      <selection pane="bottomRight" activeCell="C11" sqref="C11"/>
    </sheetView>
  </sheetViews>
  <sheetFormatPr defaultColWidth="9.81640625" defaultRowHeight="15.6" x14ac:dyDescent="0.3"/>
  <cols>
    <col min="1" max="1" width="4.81640625" customWidth="1"/>
    <col min="2" max="2" width="4.90625" customWidth="1"/>
    <col min="3" max="3" width="7" bestFit="1" customWidth="1"/>
    <col min="4" max="4" width="10.26953125" bestFit="1" customWidth="1"/>
    <col min="6" max="6" width="10.36328125" bestFit="1" customWidth="1"/>
    <col min="7" max="7" width="12.81640625" bestFit="1" customWidth="1"/>
    <col min="8" max="8" width="11" bestFit="1" customWidth="1"/>
    <col min="9" max="9" width="10.1796875" bestFit="1" customWidth="1"/>
    <col min="10" max="10" width="10.36328125" bestFit="1" customWidth="1"/>
  </cols>
  <sheetData>
    <row r="1" spans="1:11" x14ac:dyDescent="0.3">
      <c r="A1" t="s">
        <v>37</v>
      </c>
      <c r="F1" s="16"/>
    </row>
    <row r="2" spans="1:11" x14ac:dyDescent="0.3">
      <c r="A2" t="s">
        <v>59</v>
      </c>
    </row>
    <row r="3" spans="1:11" x14ac:dyDescent="0.3">
      <c r="A3" t="s">
        <v>49</v>
      </c>
    </row>
    <row r="4" spans="1:11" x14ac:dyDescent="0.3">
      <c r="A4" s="1" t="s">
        <v>82</v>
      </c>
      <c r="B4" s="1"/>
      <c r="C4" s="1"/>
      <c r="D4" s="1"/>
    </row>
    <row r="5" spans="1:11" x14ac:dyDescent="0.3">
      <c r="A5" t="str">
        <f ca="1">CELL("Filename",A1)</f>
        <v>M:\JEANNE\Allocation Factors\2019 Data for 2020\PT Ratio\[2019&amp;2020 PTRatio-2019 Data.xlsx]WA Adjustments</v>
      </c>
    </row>
    <row r="8" spans="1:11" x14ac:dyDescent="0.3">
      <c r="C8" s="3" t="s">
        <v>34</v>
      </c>
      <c r="D8" s="3" t="s">
        <v>63</v>
      </c>
      <c r="E8" s="3" t="s">
        <v>0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38</v>
      </c>
      <c r="K8" s="3" t="s">
        <v>1</v>
      </c>
    </row>
    <row r="9" spans="1:11" x14ac:dyDescent="0.3">
      <c r="C9" s="3" t="s">
        <v>35</v>
      </c>
      <c r="D9" s="3" t="s">
        <v>64</v>
      </c>
      <c r="E9" s="3" t="s">
        <v>2</v>
      </c>
      <c r="F9" s="3" t="s">
        <v>39</v>
      </c>
      <c r="G9" s="3" t="s">
        <v>39</v>
      </c>
      <c r="H9" s="3" t="s">
        <v>39</v>
      </c>
      <c r="I9" s="3" t="s">
        <v>39</v>
      </c>
      <c r="J9" s="3" t="s">
        <v>39</v>
      </c>
      <c r="K9" s="3"/>
    </row>
    <row r="10" spans="1:11" x14ac:dyDescent="0.3">
      <c r="C10" s="3" t="s">
        <v>36</v>
      </c>
      <c r="D10" s="20" t="s">
        <v>44</v>
      </c>
      <c r="E10" s="3" t="s">
        <v>65</v>
      </c>
      <c r="F10" t="s">
        <v>26</v>
      </c>
      <c r="G10" t="s">
        <v>27</v>
      </c>
      <c r="H10" s="3" t="s">
        <v>28</v>
      </c>
      <c r="I10" s="3" t="s">
        <v>30</v>
      </c>
      <c r="J10" t="s">
        <v>32</v>
      </c>
    </row>
    <row r="11" spans="1:11" x14ac:dyDescent="0.3">
      <c r="C11" s="17" t="s">
        <v>40</v>
      </c>
      <c r="D11" s="17" t="s">
        <v>45</v>
      </c>
      <c r="H11" s="3" t="s">
        <v>29</v>
      </c>
      <c r="I11" t="s">
        <v>31</v>
      </c>
      <c r="J11" t="s">
        <v>33</v>
      </c>
    </row>
    <row r="12" spans="1:11" x14ac:dyDescent="0.3">
      <c r="C12" s="17"/>
      <c r="D12" s="17"/>
    </row>
    <row r="13" spans="1:11" x14ac:dyDescent="0.3">
      <c r="A13" t="s">
        <v>3</v>
      </c>
      <c r="C13" s="4">
        <v>-53</v>
      </c>
      <c r="D13" s="15">
        <v>41</v>
      </c>
      <c r="E13" s="15">
        <v>-36</v>
      </c>
      <c r="F13" s="15">
        <v>-82</v>
      </c>
      <c r="G13" s="15">
        <v>-4</v>
      </c>
      <c r="H13" s="15">
        <v>-7</v>
      </c>
      <c r="I13" s="15">
        <v>-10</v>
      </c>
      <c r="J13" s="15">
        <v>-12</v>
      </c>
      <c r="K13" s="4">
        <f t="shared" ref="K13:K20" si="0">SUM(C13:J13)</f>
        <v>-163</v>
      </c>
    </row>
    <row r="14" spans="1:11" x14ac:dyDescent="0.3">
      <c r="A14" t="s">
        <v>4</v>
      </c>
      <c r="C14" s="4">
        <v>-51</v>
      </c>
      <c r="D14" s="15">
        <v>34</v>
      </c>
      <c r="E14" s="15">
        <v>-40</v>
      </c>
      <c r="F14" s="15">
        <v>-85</v>
      </c>
      <c r="G14" s="15">
        <v>-1</v>
      </c>
      <c r="H14" s="15">
        <v>-9</v>
      </c>
      <c r="I14" s="15">
        <v>-10</v>
      </c>
      <c r="J14" s="15">
        <v>-14</v>
      </c>
      <c r="K14" s="4">
        <f t="shared" si="0"/>
        <v>-176</v>
      </c>
    </row>
    <row r="15" spans="1:11" x14ac:dyDescent="0.3">
      <c r="A15" t="s">
        <v>5</v>
      </c>
      <c r="C15" s="4">
        <v>-44</v>
      </c>
      <c r="D15" s="15">
        <v>3</v>
      </c>
      <c r="E15" s="15">
        <v>-41</v>
      </c>
      <c r="F15" s="15">
        <v>-90</v>
      </c>
      <c r="G15" s="15">
        <v>-5</v>
      </c>
      <c r="H15" s="15">
        <v>10</v>
      </c>
      <c r="I15" s="15">
        <v>-10</v>
      </c>
      <c r="J15" s="15">
        <v>-13</v>
      </c>
      <c r="K15" s="4">
        <f t="shared" si="0"/>
        <v>-190</v>
      </c>
    </row>
    <row r="16" spans="1:11" x14ac:dyDescent="0.3">
      <c r="A16" t="s">
        <v>6</v>
      </c>
      <c r="C16" s="4">
        <v>-82</v>
      </c>
      <c r="D16" s="15">
        <v>34</v>
      </c>
      <c r="E16" s="15">
        <v>-37</v>
      </c>
      <c r="F16" s="15">
        <v>-82</v>
      </c>
      <c r="G16" s="15">
        <v>-14</v>
      </c>
      <c r="H16" s="15">
        <v>25</v>
      </c>
      <c r="I16" s="15">
        <v>-7</v>
      </c>
      <c r="J16" s="15">
        <v>-8</v>
      </c>
      <c r="K16" s="4">
        <f t="shared" si="0"/>
        <v>-171</v>
      </c>
    </row>
    <row r="17" spans="1:11" x14ac:dyDescent="0.3">
      <c r="A17" t="s">
        <v>7</v>
      </c>
      <c r="C17" s="4">
        <v>-71</v>
      </c>
      <c r="D17" s="15">
        <v>69</v>
      </c>
      <c r="E17" s="15">
        <v>-18</v>
      </c>
      <c r="F17" s="15">
        <v>-59</v>
      </c>
      <c r="G17" s="15">
        <v>-45</v>
      </c>
      <c r="H17" s="15">
        <v>15</v>
      </c>
      <c r="I17" s="15">
        <v>-7</v>
      </c>
      <c r="J17" s="15">
        <v>-4</v>
      </c>
      <c r="K17" s="4">
        <f t="shared" si="0"/>
        <v>-120</v>
      </c>
    </row>
    <row r="18" spans="1:11" x14ac:dyDescent="0.3">
      <c r="A18" t="s">
        <v>8</v>
      </c>
      <c r="C18" s="4">
        <v>-79</v>
      </c>
      <c r="D18" s="15">
        <v>52</v>
      </c>
      <c r="E18" s="15">
        <v>-37</v>
      </c>
      <c r="F18" s="15">
        <v>-50</v>
      </c>
      <c r="G18" s="15">
        <v>-48</v>
      </c>
      <c r="H18" s="15">
        <v>32</v>
      </c>
      <c r="I18" s="15">
        <v>-6</v>
      </c>
      <c r="J18" s="15">
        <v>-4</v>
      </c>
      <c r="K18" s="4">
        <f t="shared" si="0"/>
        <v>-140</v>
      </c>
    </row>
    <row r="19" spans="1:11" x14ac:dyDescent="0.3">
      <c r="A19" t="s">
        <v>9</v>
      </c>
      <c r="C19" s="4">
        <v>-45</v>
      </c>
      <c r="D19" s="15">
        <v>34</v>
      </c>
      <c r="E19" s="15">
        <v>-37</v>
      </c>
      <c r="F19" s="15">
        <v>-77</v>
      </c>
      <c r="G19" s="15">
        <v>-1</v>
      </c>
      <c r="H19" s="15">
        <v>-16</v>
      </c>
      <c r="I19" s="15">
        <v>-5</v>
      </c>
      <c r="J19" s="15">
        <v>-5</v>
      </c>
      <c r="K19" s="4">
        <f t="shared" si="0"/>
        <v>-152</v>
      </c>
    </row>
    <row r="20" spans="1:11" x14ac:dyDescent="0.3">
      <c r="A20" t="s">
        <v>10</v>
      </c>
      <c r="C20" s="4">
        <v>-37</v>
      </c>
      <c r="D20" s="15">
        <v>35</v>
      </c>
      <c r="E20" s="15">
        <v>-35</v>
      </c>
      <c r="F20" s="15">
        <v>-90</v>
      </c>
      <c r="G20" s="15">
        <v>-2</v>
      </c>
      <c r="H20" s="15">
        <v>-8</v>
      </c>
      <c r="I20" s="15">
        <v>-5</v>
      </c>
      <c r="J20" s="15">
        <v>-5</v>
      </c>
      <c r="K20" s="4">
        <f t="shared" si="0"/>
        <v>-147</v>
      </c>
    </row>
    <row r="21" spans="1:11" x14ac:dyDescent="0.3">
      <c r="A21" t="s">
        <v>11</v>
      </c>
      <c r="C21" s="4">
        <v>-38</v>
      </c>
      <c r="D21" s="15">
        <v>34</v>
      </c>
      <c r="E21" s="15">
        <v>-38</v>
      </c>
      <c r="F21" s="15">
        <v>-102</v>
      </c>
      <c r="G21" s="15">
        <v>25</v>
      </c>
      <c r="H21" s="15">
        <v>-24</v>
      </c>
      <c r="I21" s="15">
        <v>-4</v>
      </c>
      <c r="J21" s="15">
        <v>-5</v>
      </c>
      <c r="K21" s="4">
        <f t="shared" ref="K21:K23" si="1">SUM(C21:J21)</f>
        <v>-152</v>
      </c>
    </row>
    <row r="22" spans="1:11" x14ac:dyDescent="0.3">
      <c r="A22" t="s">
        <v>12</v>
      </c>
      <c r="C22" s="4">
        <v>-64</v>
      </c>
      <c r="D22" s="15">
        <v>35</v>
      </c>
      <c r="E22" s="15">
        <v>-35</v>
      </c>
      <c r="F22" s="15">
        <v>-88</v>
      </c>
      <c r="G22" s="15">
        <v>-10</v>
      </c>
      <c r="H22" s="15">
        <v>3</v>
      </c>
      <c r="I22" s="15">
        <v>-6</v>
      </c>
      <c r="J22" s="15">
        <v>-12</v>
      </c>
      <c r="K22" s="4">
        <f t="shared" si="1"/>
        <v>-177</v>
      </c>
    </row>
    <row r="23" spans="1:11" x14ac:dyDescent="0.3">
      <c r="A23" t="s">
        <v>13</v>
      </c>
      <c r="C23" s="4">
        <v>-64</v>
      </c>
      <c r="D23" s="15">
        <v>51</v>
      </c>
      <c r="E23" s="15">
        <v>-34</v>
      </c>
      <c r="F23" s="15">
        <v>-92</v>
      </c>
      <c r="G23" s="15">
        <v>-4</v>
      </c>
      <c r="H23" s="15">
        <v>-11</v>
      </c>
      <c r="I23" s="15">
        <v>-5</v>
      </c>
      <c r="J23" s="15">
        <v>-12</v>
      </c>
      <c r="K23" s="4">
        <f t="shared" si="1"/>
        <v>-171</v>
      </c>
    </row>
    <row r="24" spans="1:11" x14ac:dyDescent="0.3">
      <c r="A24" t="s">
        <v>14</v>
      </c>
      <c r="C24" s="4">
        <v>-34</v>
      </c>
      <c r="D24" s="15">
        <v>47</v>
      </c>
      <c r="E24" s="15">
        <v>-39</v>
      </c>
      <c r="F24" s="15">
        <v>-81</v>
      </c>
      <c r="G24" s="15">
        <v>-16</v>
      </c>
      <c r="H24" s="15">
        <v>-13</v>
      </c>
      <c r="I24" s="15">
        <v>-5</v>
      </c>
      <c r="J24" s="15">
        <v>-10</v>
      </c>
      <c r="K24" s="4">
        <f>SUM(C24:J24)</f>
        <v>-151</v>
      </c>
    </row>
    <row r="26" spans="1:11" ht="16.2" thickBot="1" x14ac:dyDescent="0.35">
      <c r="C26" s="14">
        <f t="shared" ref="C26:J26" si="2">SUM(C13:C24)</f>
        <v>-662</v>
      </c>
      <c r="D26" s="14">
        <f t="shared" si="2"/>
        <v>469</v>
      </c>
      <c r="E26" s="14">
        <f t="shared" si="2"/>
        <v>-427</v>
      </c>
      <c r="F26" s="14">
        <f t="shared" si="2"/>
        <v>-978</v>
      </c>
      <c r="G26" s="14">
        <f t="shared" si="2"/>
        <v>-125</v>
      </c>
      <c r="H26" s="14">
        <f t="shared" si="2"/>
        <v>-3</v>
      </c>
      <c r="I26" s="14">
        <f t="shared" si="2"/>
        <v>-80</v>
      </c>
      <c r="J26" s="14">
        <f t="shared" si="2"/>
        <v>-104</v>
      </c>
      <c r="K26" s="14">
        <f>SUM(K13:K24)</f>
        <v>-1910</v>
      </c>
    </row>
    <row r="27" spans="1:11" ht="16.2" thickTop="1" x14ac:dyDescent="0.3">
      <c r="C27">
        <f>-C26-662</f>
        <v>0</v>
      </c>
      <c r="D27">
        <f>-D26+469</f>
        <v>0</v>
      </c>
      <c r="E27">
        <f>-E26-427</f>
        <v>0</v>
      </c>
      <c r="F27">
        <f>-F26-978</f>
        <v>0</v>
      </c>
      <c r="G27">
        <f>-G26-125</f>
        <v>0</v>
      </c>
      <c r="H27">
        <f>-H26-3</f>
        <v>0</v>
      </c>
      <c r="I27">
        <f>-I26-80</f>
        <v>0</v>
      </c>
      <c r="J27">
        <f>-J26-104</f>
        <v>0</v>
      </c>
    </row>
    <row r="28" spans="1:11" x14ac:dyDescent="0.3">
      <c r="C28" t="s">
        <v>41</v>
      </c>
    </row>
    <row r="30" spans="1:11" x14ac:dyDescent="0.3">
      <c r="C30" t="s">
        <v>42</v>
      </c>
    </row>
    <row r="32" spans="1:11" x14ac:dyDescent="0.3">
      <c r="C32" t="s">
        <v>43</v>
      </c>
    </row>
    <row r="34" spans="3:3" x14ac:dyDescent="0.3">
      <c r="C34" t="s">
        <v>46</v>
      </c>
    </row>
  </sheetData>
  <phoneticPr fontId="0" type="noConversion"/>
  <pageMargins left="0.5" right="0.5" top="0.5" bottom="0.55000000000000004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27"/>
  <sheetViews>
    <sheetView showZeros="0" workbookViewId="0">
      <pane xSplit="2" ySplit="12" topLeftCell="C13" activePane="bottomRight" state="frozen"/>
      <selection activeCell="C39" sqref="C39"/>
      <selection pane="topRight" activeCell="C39" sqref="C39"/>
      <selection pane="bottomLeft" activeCell="C39" sqref="C39"/>
      <selection pane="bottomRight" activeCell="C25" sqref="C25"/>
    </sheetView>
  </sheetViews>
  <sheetFormatPr defaultRowHeight="15.6" x14ac:dyDescent="0.3"/>
  <cols>
    <col min="3" max="3" width="9.90625" bestFit="1" customWidth="1"/>
  </cols>
  <sheetData>
    <row r="1" spans="1:3" x14ac:dyDescent="0.3">
      <c r="A1" t="s">
        <v>37</v>
      </c>
    </row>
    <row r="2" spans="1:3" x14ac:dyDescent="0.3">
      <c r="A2" t="s">
        <v>59</v>
      </c>
    </row>
    <row r="3" spans="1:3" x14ac:dyDescent="0.3">
      <c r="A3" t="s">
        <v>50</v>
      </c>
    </row>
    <row r="4" spans="1:3" x14ac:dyDescent="0.3">
      <c r="A4" s="18" t="str">
        <f>+'WA Adjustments'!A4</f>
        <v>12 Months Ended 12/31/19</v>
      </c>
    </row>
    <row r="5" spans="1:3" x14ac:dyDescent="0.3">
      <c r="A5" t="str">
        <f ca="1">CELL("Filename",A1)</f>
        <v>M:\JEANNE\Allocation Factors\2019 Data for 2020\PT Ratio\[2019&amp;2020 PTRatio-2019 Data.xlsx]ID Adjustment</v>
      </c>
    </row>
    <row r="9" spans="1:3" x14ac:dyDescent="0.3">
      <c r="C9" s="3" t="s">
        <v>71</v>
      </c>
    </row>
    <row r="10" spans="1:3" x14ac:dyDescent="0.3">
      <c r="C10" s="3" t="s">
        <v>1</v>
      </c>
    </row>
    <row r="11" spans="1:3" x14ac:dyDescent="0.3">
      <c r="C11" s="3" t="s">
        <v>51</v>
      </c>
    </row>
    <row r="12" spans="1:3" x14ac:dyDescent="0.3">
      <c r="C12" s="17"/>
    </row>
    <row r="13" spans="1:3" x14ac:dyDescent="0.3">
      <c r="A13" t="s">
        <v>3</v>
      </c>
      <c r="C13" s="4">
        <v>18</v>
      </c>
    </row>
    <row r="14" spans="1:3" x14ac:dyDescent="0.3">
      <c r="A14" t="s">
        <v>4</v>
      </c>
      <c r="C14" s="4">
        <v>25</v>
      </c>
    </row>
    <row r="15" spans="1:3" x14ac:dyDescent="0.3">
      <c r="A15" t="s">
        <v>5</v>
      </c>
      <c r="C15" s="4">
        <v>51</v>
      </c>
    </row>
    <row r="16" spans="1:3" x14ac:dyDescent="0.3">
      <c r="A16" t="s">
        <v>6</v>
      </c>
      <c r="C16" s="4">
        <v>53</v>
      </c>
    </row>
    <row r="17" spans="1:3" x14ac:dyDescent="0.3">
      <c r="A17" t="s">
        <v>7</v>
      </c>
      <c r="C17" s="4">
        <v>50</v>
      </c>
    </row>
    <row r="18" spans="1:3" x14ac:dyDescent="0.3">
      <c r="A18" t="s">
        <v>8</v>
      </c>
      <c r="C18" s="4">
        <v>51</v>
      </c>
    </row>
    <row r="19" spans="1:3" x14ac:dyDescent="0.3">
      <c r="A19" t="s">
        <v>9</v>
      </c>
      <c r="C19" s="4">
        <v>50</v>
      </c>
    </row>
    <row r="20" spans="1:3" x14ac:dyDescent="0.3">
      <c r="A20" t="s">
        <v>10</v>
      </c>
      <c r="C20" s="4">
        <v>52</v>
      </c>
    </row>
    <row r="21" spans="1:3" x14ac:dyDescent="0.3">
      <c r="A21" t="s">
        <v>11</v>
      </c>
      <c r="C21" s="4">
        <v>52</v>
      </c>
    </row>
    <row r="22" spans="1:3" x14ac:dyDescent="0.3">
      <c r="A22" t="s">
        <v>12</v>
      </c>
      <c r="C22" s="4">
        <v>57</v>
      </c>
    </row>
    <row r="23" spans="1:3" x14ac:dyDescent="0.3">
      <c r="A23" t="s">
        <v>13</v>
      </c>
      <c r="C23" s="4">
        <v>57</v>
      </c>
    </row>
    <row r="24" spans="1:3" x14ac:dyDescent="0.3">
      <c r="A24" t="s">
        <v>14</v>
      </c>
      <c r="C24" s="4">
        <v>51</v>
      </c>
    </row>
    <row r="26" spans="1:3" ht="16.2" thickBot="1" x14ac:dyDescent="0.35">
      <c r="C26" s="14">
        <f>SUM(C13:C24)</f>
        <v>567</v>
      </c>
    </row>
    <row r="27" spans="1:3" ht="16.2" thickTop="1" x14ac:dyDescent="0.3"/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pane xSplit="2" ySplit="1" topLeftCell="C2" activePane="bottomRight" state="frozen"/>
      <selection activeCell="I82" sqref="I82"/>
      <selection pane="topRight" activeCell="I82" sqref="I82"/>
      <selection pane="bottomLeft" activeCell="I82" sqref="I82"/>
      <selection pane="bottomRight" activeCell="E13" sqref="E13"/>
    </sheetView>
  </sheetViews>
  <sheetFormatPr defaultRowHeight="15.6" x14ac:dyDescent="0.3"/>
  <cols>
    <col min="5" max="5" width="11.6328125" customWidth="1"/>
    <col min="6" max="6" width="11" customWidth="1"/>
    <col min="7" max="7" width="2.08984375" customWidth="1"/>
    <col min="8" max="8" width="0.81640625" customWidth="1"/>
    <col min="9" max="9" width="10.7265625" customWidth="1"/>
    <col min="10" max="10" width="11.1796875" customWidth="1"/>
  </cols>
  <sheetData>
    <row r="1" spans="1:10" s="23" customFormat="1" ht="46.8" x14ac:dyDescent="0.3">
      <c r="C1" s="23" t="s">
        <v>78</v>
      </c>
      <c r="D1" s="23" t="s">
        <v>79</v>
      </c>
      <c r="E1" s="23" t="s">
        <v>80</v>
      </c>
      <c r="F1" s="23" t="s">
        <v>81</v>
      </c>
      <c r="I1" s="23" t="s">
        <v>71</v>
      </c>
      <c r="J1" s="23" t="s">
        <v>81</v>
      </c>
    </row>
    <row r="2" spans="1:10" x14ac:dyDescent="0.3">
      <c r="A2" t="s">
        <v>3</v>
      </c>
      <c r="B2" s="24">
        <v>2019</v>
      </c>
      <c r="C2">
        <v>547356</v>
      </c>
      <c r="D2">
        <v>290700</v>
      </c>
      <c r="E2">
        <f>SUM(C2:C2)</f>
        <v>547356</v>
      </c>
      <c r="F2">
        <f>SUM(D2:D2)</f>
        <v>290700</v>
      </c>
    </row>
    <row r="3" spans="1:10" x14ac:dyDescent="0.3">
      <c r="A3" t="s">
        <v>4</v>
      </c>
      <c r="B3" s="24">
        <v>2019</v>
      </c>
      <c r="C3">
        <v>516536</v>
      </c>
      <c r="D3">
        <v>285986</v>
      </c>
      <c r="E3">
        <f>SUM(C2:C3)</f>
        <v>1063892</v>
      </c>
      <c r="F3">
        <f>SUM(D2:D3)</f>
        <v>576686</v>
      </c>
    </row>
    <row r="4" spans="1:10" x14ac:dyDescent="0.3">
      <c r="A4" t="s">
        <v>5</v>
      </c>
      <c r="B4" s="24">
        <v>2019</v>
      </c>
      <c r="C4">
        <v>544642</v>
      </c>
      <c r="D4">
        <v>283301</v>
      </c>
      <c r="E4">
        <f>SUM(C2:C4)</f>
        <v>1608534</v>
      </c>
      <c r="F4">
        <f>SUM(D2:D4)</f>
        <v>859987</v>
      </c>
    </row>
    <row r="5" spans="1:10" x14ac:dyDescent="0.3">
      <c r="A5" t="s">
        <v>6</v>
      </c>
      <c r="B5" s="24">
        <v>2019</v>
      </c>
      <c r="C5">
        <v>444134</v>
      </c>
      <c r="D5">
        <v>281179</v>
      </c>
      <c r="E5">
        <f>SUM(C2:C5)</f>
        <v>2052668</v>
      </c>
      <c r="F5">
        <f>SUM(D2:D5)</f>
        <v>1141166</v>
      </c>
      <c r="I5">
        <v>-35226</v>
      </c>
      <c r="J5">
        <f>SUM(I2:I5)</f>
        <v>-35226</v>
      </c>
    </row>
    <row r="6" spans="1:10" x14ac:dyDescent="0.3">
      <c r="A6" t="s">
        <v>7</v>
      </c>
      <c r="B6" s="24">
        <v>2019</v>
      </c>
      <c r="C6">
        <v>407171</v>
      </c>
      <c r="D6">
        <v>250421</v>
      </c>
      <c r="E6">
        <f>SUM(C2:C6)</f>
        <v>2459839</v>
      </c>
      <c r="F6">
        <f>SUM(D2:D6)</f>
        <v>1391587</v>
      </c>
      <c r="I6">
        <v>-34560</v>
      </c>
      <c r="J6">
        <f>SUM(I2:I6)</f>
        <v>-69786</v>
      </c>
    </row>
    <row r="7" spans="1:10" x14ac:dyDescent="0.3">
      <c r="A7" t="s">
        <v>8</v>
      </c>
      <c r="B7" s="24">
        <v>2019</v>
      </c>
      <c r="C7">
        <v>418743</v>
      </c>
      <c r="D7">
        <v>256350</v>
      </c>
      <c r="E7">
        <f>SUM(C2:C7)</f>
        <v>2878582</v>
      </c>
      <c r="F7">
        <f>SUM(D2:D7)</f>
        <v>1647937</v>
      </c>
      <c r="I7">
        <v>-38765</v>
      </c>
      <c r="J7">
        <f>SUM(I2:I7)</f>
        <v>-108551</v>
      </c>
    </row>
    <row r="8" spans="1:10" x14ac:dyDescent="0.3">
      <c r="A8" t="s">
        <v>9</v>
      </c>
      <c r="B8" s="24">
        <v>2019</v>
      </c>
      <c r="C8">
        <v>447380</v>
      </c>
      <c r="D8">
        <v>258109</v>
      </c>
      <c r="E8">
        <f>SUM(C2:C8)</f>
        <v>3325962</v>
      </c>
      <c r="F8">
        <f>SUM(D2:D8)</f>
        <v>1906046</v>
      </c>
      <c r="I8">
        <v>-34845</v>
      </c>
      <c r="J8">
        <f>SUM(I2:I8)</f>
        <v>-143396</v>
      </c>
    </row>
    <row r="9" spans="1:10" x14ac:dyDescent="0.3">
      <c r="A9" t="s">
        <v>10</v>
      </c>
      <c r="B9" s="24">
        <v>2019</v>
      </c>
      <c r="C9">
        <v>475020</v>
      </c>
      <c r="D9">
        <v>280130</v>
      </c>
      <c r="E9">
        <f>SUM(C2:C9)</f>
        <v>3800982</v>
      </c>
      <c r="F9">
        <f>SUM(D2:D9)</f>
        <v>2186176</v>
      </c>
      <c r="I9">
        <v>-37966</v>
      </c>
      <c r="J9">
        <f>SUM(I2:I9)</f>
        <v>-181362</v>
      </c>
    </row>
    <row r="10" spans="1:10" x14ac:dyDescent="0.3">
      <c r="A10" t="s">
        <v>11</v>
      </c>
      <c r="B10" s="24">
        <v>2019</v>
      </c>
      <c r="C10">
        <v>468097</v>
      </c>
      <c r="D10">
        <v>273075</v>
      </c>
      <c r="E10">
        <f>SUM(C2:C10)</f>
        <v>4269079</v>
      </c>
      <c r="F10">
        <f>SUM(D2:D10)</f>
        <v>2459251</v>
      </c>
      <c r="I10">
        <v>-32628</v>
      </c>
      <c r="J10">
        <f>SUM(I2:I10)</f>
        <v>-213990</v>
      </c>
    </row>
    <row r="11" spans="1:10" x14ac:dyDescent="0.3">
      <c r="A11" t="s">
        <v>12</v>
      </c>
      <c r="B11" s="24">
        <v>2019</v>
      </c>
      <c r="C11">
        <v>430408</v>
      </c>
      <c r="D11">
        <v>241903</v>
      </c>
      <c r="E11">
        <f>SUM(C2:C11)</f>
        <v>4699487</v>
      </c>
      <c r="F11">
        <f>SUM(D2:D11)</f>
        <v>2701154</v>
      </c>
      <c r="I11">
        <v>-25108</v>
      </c>
      <c r="J11">
        <f>SUM(I2:I11)</f>
        <v>-239098</v>
      </c>
    </row>
    <row r="12" spans="1:10" x14ac:dyDescent="0.3">
      <c r="A12" t="s">
        <v>13</v>
      </c>
      <c r="B12" s="24">
        <v>2019</v>
      </c>
      <c r="C12">
        <v>454247</v>
      </c>
      <c r="D12">
        <v>284753</v>
      </c>
      <c r="E12">
        <f>SUM(C2:C12)</f>
        <v>5153734</v>
      </c>
      <c r="F12">
        <f>SUM(D2:D12)</f>
        <v>2985907</v>
      </c>
      <c r="I12">
        <v>-40272</v>
      </c>
      <c r="J12">
        <f>SUM(I2:I12)</f>
        <v>-279370</v>
      </c>
    </row>
    <row r="13" spans="1:10" x14ac:dyDescent="0.3">
      <c r="A13" t="s">
        <v>14</v>
      </c>
      <c r="B13" s="24">
        <v>2019</v>
      </c>
      <c r="C13">
        <v>530380</v>
      </c>
      <c r="D13">
        <v>322574</v>
      </c>
      <c r="E13">
        <f t="shared" ref="E13:F13" si="0">SUM(C2:C13)</f>
        <v>5684114</v>
      </c>
      <c r="F13">
        <f t="shared" si="0"/>
        <v>3308481</v>
      </c>
      <c r="I13">
        <v>-38741</v>
      </c>
      <c r="J13">
        <f t="shared" ref="J13" si="1">SUM(I2:I13)</f>
        <v>-318111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pane xSplit="2" ySplit="1" topLeftCell="C2" activePane="bottomRight" state="frozen"/>
      <selection activeCell="I82" sqref="I82"/>
      <selection pane="topRight" activeCell="I82" sqref="I82"/>
      <selection pane="bottomLeft" activeCell="I82" sqref="I82"/>
      <selection pane="bottomRight" activeCell="E13" sqref="E13"/>
    </sheetView>
  </sheetViews>
  <sheetFormatPr defaultRowHeight="15.6" x14ac:dyDescent="0.3"/>
  <cols>
    <col min="5" max="5" width="12.26953125" customWidth="1"/>
    <col min="6" max="6" width="11.26953125" customWidth="1"/>
  </cols>
  <sheetData>
    <row r="1" spans="1:6" s="23" customFormat="1" ht="46.8" x14ac:dyDescent="0.3">
      <c r="C1" s="23" t="s">
        <v>78</v>
      </c>
      <c r="D1" s="23" t="s">
        <v>79</v>
      </c>
      <c r="E1" s="23" t="s">
        <v>80</v>
      </c>
      <c r="F1" s="23" t="s">
        <v>81</v>
      </c>
    </row>
    <row r="2" spans="1:6" x14ac:dyDescent="0.3">
      <c r="A2" t="s">
        <v>3</v>
      </c>
      <c r="B2" s="24">
        <v>2019</v>
      </c>
      <c r="C2">
        <v>1103</v>
      </c>
      <c r="D2">
        <v>534</v>
      </c>
      <c r="E2">
        <f>SUM(C2:C2)</f>
        <v>1103</v>
      </c>
      <c r="F2">
        <f>SUM(D2:D2)</f>
        <v>534</v>
      </c>
    </row>
    <row r="3" spans="1:6" x14ac:dyDescent="0.3">
      <c r="A3" t="s">
        <v>4</v>
      </c>
      <c r="B3" s="24">
        <v>2019</v>
      </c>
      <c r="C3">
        <v>1194</v>
      </c>
      <c r="D3">
        <v>585</v>
      </c>
      <c r="E3">
        <f>SUM(C2:C3)</f>
        <v>2297</v>
      </c>
      <c r="F3">
        <f>SUM(D2:D3)</f>
        <v>1119</v>
      </c>
    </row>
    <row r="4" spans="1:6" x14ac:dyDescent="0.3">
      <c r="A4" t="s">
        <v>5</v>
      </c>
      <c r="B4" s="24">
        <v>2019</v>
      </c>
      <c r="C4">
        <v>1158</v>
      </c>
      <c r="D4">
        <v>565</v>
      </c>
      <c r="E4">
        <f>SUM(C2:C4)</f>
        <v>3455</v>
      </c>
      <c r="F4">
        <f>SUM(D2:D4)</f>
        <v>1684</v>
      </c>
    </row>
    <row r="5" spans="1:6" x14ac:dyDescent="0.3">
      <c r="A5" t="s">
        <v>6</v>
      </c>
      <c r="B5" s="24">
        <v>2019</v>
      </c>
      <c r="C5">
        <v>911</v>
      </c>
      <c r="D5">
        <v>455</v>
      </c>
      <c r="E5">
        <f>SUM(C2:C5)</f>
        <v>4366</v>
      </c>
      <c r="F5">
        <f>SUM(D2:D5)</f>
        <v>2139</v>
      </c>
    </row>
    <row r="6" spans="1:6" x14ac:dyDescent="0.3">
      <c r="A6" t="s">
        <v>7</v>
      </c>
      <c r="B6" s="24">
        <v>2019</v>
      </c>
      <c r="C6">
        <v>954</v>
      </c>
      <c r="D6">
        <v>473</v>
      </c>
      <c r="E6">
        <f>SUM(C2:C6)</f>
        <v>5320</v>
      </c>
      <c r="F6">
        <f>SUM(D2:D6)</f>
        <v>2612</v>
      </c>
    </row>
    <row r="7" spans="1:6" x14ac:dyDescent="0.3">
      <c r="A7" t="s">
        <v>8</v>
      </c>
      <c r="B7" s="24">
        <v>2019</v>
      </c>
      <c r="C7">
        <v>1094</v>
      </c>
      <c r="D7">
        <v>506</v>
      </c>
      <c r="E7">
        <f>SUM(C2:C7)</f>
        <v>6414</v>
      </c>
      <c r="F7">
        <f>SUM(D2:D7)</f>
        <v>3118</v>
      </c>
    </row>
    <row r="8" spans="1:6" x14ac:dyDescent="0.3">
      <c r="A8" t="s">
        <v>9</v>
      </c>
      <c r="B8" s="24">
        <v>2019</v>
      </c>
      <c r="C8">
        <v>1178</v>
      </c>
      <c r="D8">
        <v>561</v>
      </c>
      <c r="E8">
        <f>SUM(C2:C8)</f>
        <v>7592</v>
      </c>
      <c r="F8">
        <f>SUM(D2:D8)</f>
        <v>3679</v>
      </c>
    </row>
    <row r="9" spans="1:6" x14ac:dyDescent="0.3">
      <c r="A9" t="s">
        <v>10</v>
      </c>
      <c r="B9" s="24">
        <v>2019</v>
      </c>
      <c r="C9">
        <v>1220</v>
      </c>
      <c r="D9">
        <v>586</v>
      </c>
      <c r="E9">
        <f>SUM(C2:C9)</f>
        <v>8812</v>
      </c>
      <c r="F9">
        <f>SUM(D2:D9)</f>
        <v>4265</v>
      </c>
    </row>
    <row r="10" spans="1:6" x14ac:dyDescent="0.3">
      <c r="A10" t="s">
        <v>11</v>
      </c>
      <c r="B10" s="24">
        <v>2019</v>
      </c>
      <c r="C10">
        <v>1031</v>
      </c>
      <c r="D10">
        <v>495</v>
      </c>
      <c r="E10">
        <f>SUM(C2:C10)</f>
        <v>9843</v>
      </c>
      <c r="F10">
        <f>SUM(D2:D10)</f>
        <v>4760</v>
      </c>
    </row>
    <row r="11" spans="1:6" x14ac:dyDescent="0.3">
      <c r="A11" t="s">
        <v>12</v>
      </c>
      <c r="B11" s="24">
        <v>2019</v>
      </c>
      <c r="C11">
        <v>1154</v>
      </c>
      <c r="D11">
        <v>566</v>
      </c>
      <c r="E11">
        <f>SUM(C2:C11)</f>
        <v>10997</v>
      </c>
      <c r="F11">
        <f>SUM(D2:D11)</f>
        <v>5326</v>
      </c>
    </row>
    <row r="12" spans="1:6" x14ac:dyDescent="0.3">
      <c r="A12" t="s">
        <v>13</v>
      </c>
      <c r="B12" s="24">
        <v>2019</v>
      </c>
      <c r="C12">
        <v>1078</v>
      </c>
      <c r="D12">
        <v>526</v>
      </c>
      <c r="E12">
        <f>SUM(C2:C12)</f>
        <v>12075</v>
      </c>
      <c r="F12">
        <f>SUM(D2:D12)</f>
        <v>5852</v>
      </c>
    </row>
    <row r="13" spans="1:6" x14ac:dyDescent="0.3">
      <c r="A13" t="s">
        <v>14</v>
      </c>
      <c r="B13" s="24">
        <v>2019</v>
      </c>
      <c r="C13">
        <v>1074</v>
      </c>
      <c r="D13">
        <v>567</v>
      </c>
      <c r="E13">
        <f t="shared" ref="E13:F13" si="0">SUM(C2:C13)</f>
        <v>13149</v>
      </c>
      <c r="F13">
        <f t="shared" si="0"/>
        <v>6419</v>
      </c>
    </row>
    <row r="14" spans="1:6" x14ac:dyDescent="0.3">
      <c r="B14" s="24"/>
    </row>
    <row r="15" spans="1:6" x14ac:dyDescent="0.3">
      <c r="B15" s="24"/>
    </row>
    <row r="16" spans="1:6" x14ac:dyDescent="0.3">
      <c r="B16" s="24"/>
    </row>
    <row r="17" spans="2:2" x14ac:dyDescent="0.3">
      <c r="B17" s="24"/>
    </row>
    <row r="18" spans="2:2" x14ac:dyDescent="0.3">
      <c r="B18" s="24"/>
    </row>
    <row r="19" spans="2:2" x14ac:dyDescent="0.3">
      <c r="B19" s="24"/>
    </row>
    <row r="20" spans="2:2" x14ac:dyDescent="0.3">
      <c r="B20" s="24"/>
    </row>
    <row r="21" spans="2:2" x14ac:dyDescent="0.3">
      <c r="B21" s="24"/>
    </row>
    <row r="22" spans="2:2" x14ac:dyDescent="0.3">
      <c r="B22" s="24"/>
    </row>
    <row r="23" spans="2:2" x14ac:dyDescent="0.3">
      <c r="B23" s="24"/>
    </row>
    <row r="24" spans="2:2" x14ac:dyDescent="0.3">
      <c r="B24" s="24"/>
    </row>
    <row r="25" spans="2:2" x14ac:dyDescent="0.3">
      <c r="B25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>
        <f ca="1">NOW()</f>
        <v>43860.541647685182</v>
      </c>
    </row>
    <row r="2" spans="1:6" x14ac:dyDescent="0.3">
      <c r="A2" t="s">
        <v>25</v>
      </c>
    </row>
    <row r="3" spans="1:6" x14ac:dyDescent="0.3">
      <c r="A3" s="13" t="s">
        <v>77</v>
      </c>
    </row>
    <row r="4" spans="1:6" x14ac:dyDescent="0.3">
      <c r="A4" t="str">
        <f ca="1">CELL("Filename",A1)</f>
        <v>M:\JEANNE\Allocation Factors\2019 Data for 2020\PT Ratio\[2019&amp;2020 PTRatio-2019 Data.xlsx]PrevYr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61</v>
      </c>
      <c r="B7" s="7"/>
      <c r="C7" s="7"/>
    </row>
    <row r="8" spans="1:6" x14ac:dyDescent="0.3">
      <c r="B8" t="s">
        <v>21</v>
      </c>
      <c r="D8" s="1">
        <v>5466378</v>
      </c>
      <c r="E8" s="1">
        <v>3435926</v>
      </c>
      <c r="F8">
        <f>D8+E8</f>
        <v>8902304</v>
      </c>
    </row>
    <row r="10" spans="1:6" x14ac:dyDescent="0.3">
      <c r="B10" t="s">
        <v>17</v>
      </c>
      <c r="D10" s="8">
        <f>ROUND(D8/$F8,4)</f>
        <v>0.61399999999999999</v>
      </c>
      <c r="E10" s="8">
        <f>ROUND(E8/$F8,4)</f>
        <v>0.38600000000000001</v>
      </c>
      <c r="F10" s="8">
        <f>D10+E10</f>
        <v>1</v>
      </c>
    </row>
    <row r="11" spans="1:6" x14ac:dyDescent="0.3">
      <c r="F11" t="str">
        <f>IF(F10=1," ","Rounding Error")</f>
        <v xml:space="preserve"> </v>
      </c>
    </row>
    <row r="12" spans="1:6" x14ac:dyDescent="0.3">
      <c r="B12" t="s">
        <v>60</v>
      </c>
      <c r="D12" s="1">
        <v>12703</v>
      </c>
      <c r="E12" s="1">
        <v>6494</v>
      </c>
      <c r="F12">
        <f>D12+E12</f>
        <v>19197</v>
      </c>
    </row>
    <row r="14" spans="1:6" x14ac:dyDescent="0.3">
      <c r="B14" t="s">
        <v>18</v>
      </c>
      <c r="D14" s="8">
        <f>ROUND(D12/$F12,4)</f>
        <v>0.66169999999999995</v>
      </c>
      <c r="E14" s="8">
        <f>ROUND(E12/$F12,4)</f>
        <v>0.33829999999999999</v>
      </c>
      <c r="F14" s="8">
        <f>D14+E14</f>
        <v>1</v>
      </c>
    </row>
    <row r="15" spans="1:6" x14ac:dyDescent="0.3">
      <c r="F15" t="str">
        <f>IF(F14=1," ","Rounding Error")</f>
        <v xml:space="preserve"> </v>
      </c>
    </row>
    <row r="16" spans="1:6" x14ac:dyDescent="0.3">
      <c r="A16" t="s">
        <v>19</v>
      </c>
    </row>
    <row r="17" spans="1:6" x14ac:dyDescent="0.3">
      <c r="B17" t="s">
        <v>20</v>
      </c>
      <c r="D17" s="19">
        <f>ROUND((D10+D14)/2,4)-0.0001</f>
        <v>0.63780000000000003</v>
      </c>
      <c r="E17" s="8">
        <f>ROUND((E10+E14)/2,4)</f>
        <v>0.36220000000000002</v>
      </c>
      <c r="F17" s="8">
        <f>D17+E17</f>
        <v>1</v>
      </c>
    </row>
    <row r="18" spans="1:6" x14ac:dyDescent="0.3">
      <c r="F18" t="str">
        <f>IF(F17=1," ","Rounding Error")</f>
        <v xml:space="preserve"> 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5466378</v>
      </c>
      <c r="E21">
        <f>E8</f>
        <v>3435926</v>
      </c>
      <c r="F21">
        <f>D21+E21</f>
        <v>8902304</v>
      </c>
    </row>
    <row r="22" spans="1:6" x14ac:dyDescent="0.3">
      <c r="B22" t="s">
        <v>55</v>
      </c>
      <c r="E22" s="4">
        <v>-452317</v>
      </c>
      <c r="F22">
        <f>D22+E22</f>
        <v>-452317</v>
      </c>
    </row>
    <row r="23" spans="1:6" x14ac:dyDescent="0.3">
      <c r="B23" t="str">
        <f>B8</f>
        <v>Energy Retail Sales (MWH)</v>
      </c>
      <c r="D23" s="9">
        <f>D21+D22</f>
        <v>5466378</v>
      </c>
      <c r="E23" s="9">
        <f>E21+E22</f>
        <v>2983609</v>
      </c>
      <c r="F23" s="9">
        <f>F21+F22</f>
        <v>8449987</v>
      </c>
    </row>
    <row r="25" spans="1:6" x14ac:dyDescent="0.3">
      <c r="B25" t="str">
        <f>B10</f>
        <v>Energy Retail Sales Percentage</v>
      </c>
      <c r="D25" s="8">
        <f>ROUND(D23/$F23,4)</f>
        <v>0.64690000000000003</v>
      </c>
      <c r="E25" s="8">
        <f>ROUND(E23/$F23,4)</f>
        <v>0.35310000000000002</v>
      </c>
      <c r="F25" s="8">
        <f>D25+E25</f>
        <v>1</v>
      </c>
    </row>
    <row r="26" spans="1:6" x14ac:dyDescent="0.3">
      <c r="F26" t="str">
        <f>IF(F25=1," ","Rounding Error")</f>
        <v xml:space="preserve"> </v>
      </c>
    </row>
    <row r="27" spans="1:6" x14ac:dyDescent="0.3">
      <c r="B27" t="str">
        <f>+B12</f>
        <v>MW's Peak (Retail + Adjustments)</v>
      </c>
      <c r="D27">
        <f>D12</f>
        <v>12703</v>
      </c>
      <c r="E27">
        <f>E12</f>
        <v>6494</v>
      </c>
      <c r="F27">
        <f>D27+E27</f>
        <v>19197</v>
      </c>
    </row>
    <row r="28" spans="1:6" x14ac:dyDescent="0.3">
      <c r="B28" t="s">
        <v>48</v>
      </c>
      <c r="D28">
        <v>-1800</v>
      </c>
      <c r="F28">
        <f>D28+E28</f>
        <v>-1800</v>
      </c>
    </row>
    <row r="29" spans="1:6" x14ac:dyDescent="0.3">
      <c r="B29" t="s">
        <v>52</v>
      </c>
      <c r="E29">
        <v>-639</v>
      </c>
      <c r="F29">
        <f>D29+E29</f>
        <v>-639</v>
      </c>
    </row>
    <row r="30" spans="1:6" x14ac:dyDescent="0.3">
      <c r="B30" t="str">
        <f>B12</f>
        <v>MW's Peak (Retail + Adjustments)</v>
      </c>
      <c r="D30" s="9">
        <f>SUM(D27:D29)</f>
        <v>10903</v>
      </c>
      <c r="E30" s="9">
        <f>SUM(E27:E29)</f>
        <v>5855</v>
      </c>
      <c r="F30" s="9">
        <f>SUM(F27:F29)</f>
        <v>16758</v>
      </c>
    </row>
    <row r="32" spans="1:6" x14ac:dyDescent="0.3">
      <c r="B32" t="str">
        <f>B14</f>
        <v>MW's Peak Percentage</v>
      </c>
      <c r="D32" s="8">
        <f>ROUND(D30/$F30,4)</f>
        <v>0.65059999999999996</v>
      </c>
      <c r="E32" s="8">
        <f>ROUND(E30/$F30,4)</f>
        <v>0.34939999999999999</v>
      </c>
      <c r="F32" s="8">
        <f>D32+E32</f>
        <v>1</v>
      </c>
    </row>
    <row r="33" spans="1:6" x14ac:dyDescent="0.3">
      <c r="F33" t="str">
        <f>IF(F32=1," ","Rounding Error")</f>
        <v xml:space="preserve"> </v>
      </c>
    </row>
    <row r="34" spans="1:6" x14ac:dyDescent="0.3">
      <c r="A34" t="s">
        <v>22</v>
      </c>
    </row>
    <row r="35" spans="1:6" x14ac:dyDescent="0.3">
      <c r="B35" t="s">
        <v>23</v>
      </c>
      <c r="D35" s="10">
        <f>ROUND((D25+D32)/2,4)-0.0001</f>
        <v>0.64870000000000005</v>
      </c>
      <c r="E35" s="11">
        <f>ROUND((E25+E32)/2,4)</f>
        <v>0.3513</v>
      </c>
      <c r="F35" s="12">
        <f>D35+E35</f>
        <v>1</v>
      </c>
    </row>
    <row r="37" spans="1:6" x14ac:dyDescent="0.3">
      <c r="E37" s="1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39" sqref="E39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>
        <f ca="1">NOW()</f>
        <v>43860.541647685182</v>
      </c>
    </row>
    <row r="2" spans="1:6" x14ac:dyDescent="0.3">
      <c r="A2" t="s">
        <v>25</v>
      </c>
    </row>
    <row r="3" spans="1:6" x14ac:dyDescent="0.3">
      <c r="A3" s="13" t="s">
        <v>67</v>
      </c>
    </row>
    <row r="4" spans="1:6" x14ac:dyDescent="0.3">
      <c r="A4" t="str">
        <f ca="1">CELL("Filename",A1)</f>
        <v>M:\JEANNE\Allocation Factors\2019 Data for 2020\PT Ratio\[2019&amp;2020 PTRatio-2019 Data.xlsx]Difference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66</v>
      </c>
      <c r="B7" s="7"/>
      <c r="C7" s="7"/>
    </row>
    <row r="8" spans="1:6" x14ac:dyDescent="0.3">
      <c r="B8" t="s">
        <v>21</v>
      </c>
      <c r="D8">
        <f>+'PT Ratio with 2019 Data'!D8-PrevYr!D8</f>
        <v>217736</v>
      </c>
      <c r="E8">
        <f>+'PT Ratio with 2019 Data'!E8-PrevYr!E8</f>
        <v>-127445</v>
      </c>
      <c r="F8">
        <f>D8+E8</f>
        <v>90291</v>
      </c>
    </row>
    <row r="10" spans="1:6" x14ac:dyDescent="0.3">
      <c r="B10" t="s">
        <v>17</v>
      </c>
      <c r="D10" s="21">
        <f>+'PT Ratio with 2019 Data'!D10-PrevYr!D10</f>
        <v>1.8100000000000005E-2</v>
      </c>
      <c r="E10" s="21">
        <f>+'PT Ratio with 2019 Data'!E10-PrevYr!E10</f>
        <v>-1.8100000000000005E-2</v>
      </c>
      <c r="F10" s="21">
        <f>+'PT Ratio with 2019 Data'!F10-PrevYr!F10</f>
        <v>0</v>
      </c>
    </row>
    <row r="12" spans="1:6" x14ac:dyDescent="0.3">
      <c r="B12" t="s">
        <v>60</v>
      </c>
      <c r="D12">
        <f>+'PT Ratio with 2019 Data'!D12-PrevYr!D12</f>
        <v>446</v>
      </c>
      <c r="E12">
        <f>+'PT Ratio with 2019 Data'!E12-PrevYr!E12</f>
        <v>-75</v>
      </c>
      <c r="F12">
        <f>D12+E12</f>
        <v>371</v>
      </c>
    </row>
    <row r="14" spans="1:6" x14ac:dyDescent="0.3">
      <c r="B14" t="s">
        <v>18</v>
      </c>
      <c r="D14" s="21">
        <f>+'PT Ratio with 2019 Data'!D14-PrevYr!D14</f>
        <v>1.0300000000000087E-2</v>
      </c>
      <c r="E14" s="21">
        <f>+'PT Ratio with 2019 Data'!E14-PrevYr!E14</f>
        <v>-1.0299999999999976E-2</v>
      </c>
      <c r="F14" s="21">
        <f>+'PT Ratio with 2019 Data'!F14-PrevYr!F14</f>
        <v>0</v>
      </c>
    </row>
    <row r="16" spans="1:6" x14ac:dyDescent="0.3">
      <c r="A16" t="s">
        <v>19</v>
      </c>
    </row>
    <row r="17" spans="1:6" x14ac:dyDescent="0.3">
      <c r="B17" t="s">
        <v>20</v>
      </c>
      <c r="D17" s="8">
        <f>+'PT Ratio with 2019 Data'!D17-PrevYr!D17</f>
        <v>1.419999999999999E-2</v>
      </c>
      <c r="E17" s="8">
        <f>+'PT Ratio with 2019 Data'!E17-PrevYr!E17</f>
        <v>-1.4200000000000046E-2</v>
      </c>
      <c r="F17" s="8">
        <f>D17+E17</f>
        <v>-5.5511151231257827E-17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217736</v>
      </c>
      <c r="E21">
        <f>E8</f>
        <v>-127445</v>
      </c>
      <c r="F21">
        <f>D21+E21</f>
        <v>90291</v>
      </c>
    </row>
    <row r="22" spans="1:6" x14ac:dyDescent="0.3">
      <c r="B22" t="s">
        <v>55</v>
      </c>
      <c r="E22" s="1">
        <f>+'PT Ratio with 2019 Data'!E22-PrevYr!E22</f>
        <v>134206</v>
      </c>
      <c r="F22">
        <f>D22+E22</f>
        <v>134206</v>
      </c>
    </row>
    <row r="23" spans="1:6" x14ac:dyDescent="0.3">
      <c r="B23" t="str">
        <f>B8</f>
        <v>Energy Retail Sales (MWH)</v>
      </c>
      <c r="D23" s="9">
        <f>D21+D22</f>
        <v>217736</v>
      </c>
      <c r="E23" s="9">
        <f>E21+E22</f>
        <v>6761</v>
      </c>
      <c r="F23" s="9">
        <f>F21+F22</f>
        <v>224497</v>
      </c>
    </row>
    <row r="25" spans="1:6" x14ac:dyDescent="0.3">
      <c r="B25" t="str">
        <f>B10</f>
        <v>Energy Retail Sales Percentage</v>
      </c>
      <c r="D25" s="8">
        <f>+'PT Ratio with 2019 Data'!D25-PrevYr!D25</f>
        <v>8.3999999999999631E-3</v>
      </c>
      <c r="E25" s="8">
        <f>+'PT Ratio with 2019 Data'!E25-PrevYr!E25</f>
        <v>-8.4000000000000186E-3</v>
      </c>
      <c r="F25" s="8">
        <f>D25+E25</f>
        <v>-5.5511151231257827E-17</v>
      </c>
    </row>
    <row r="27" spans="1:6" x14ac:dyDescent="0.3">
      <c r="B27" t="str">
        <f>+B12</f>
        <v>MW's Peak (Retail + Adjustments)</v>
      </c>
      <c r="D27">
        <f>+'PT Ratio with 2019 Data'!D27-PrevYr!D27</f>
        <v>446</v>
      </c>
      <c r="E27">
        <f>+'PT Ratio with 2019 Data'!E27-PrevYr!E27</f>
        <v>-75</v>
      </c>
      <c r="F27">
        <f>D27+E27</f>
        <v>371</v>
      </c>
    </row>
    <row r="28" spans="1:6" x14ac:dyDescent="0.3">
      <c r="B28" t="s">
        <v>48</v>
      </c>
      <c r="D28">
        <f>+'PT Ratio with 2019 Data'!D28-PrevYr!D28</f>
        <v>-110</v>
      </c>
      <c r="E28">
        <f>+'PT Ratio with 2019 Data'!E28-PrevYr!E28</f>
        <v>0</v>
      </c>
      <c r="F28">
        <f>D28+E28</f>
        <v>-110</v>
      </c>
    </row>
    <row r="29" spans="1:6" x14ac:dyDescent="0.3">
      <c r="B29" t="s">
        <v>52</v>
      </c>
      <c r="D29">
        <f>+'PT Ratio with 2019 Data'!D29-PrevYr!D29</f>
        <v>0</v>
      </c>
      <c r="E29">
        <f>+'PT Ratio with 2019 Data'!E29-PrevYr!E29</f>
        <v>72</v>
      </c>
      <c r="F29">
        <f>D29+E29</f>
        <v>72</v>
      </c>
    </row>
    <row r="30" spans="1:6" x14ac:dyDescent="0.3">
      <c r="B30" t="str">
        <f>B12</f>
        <v>MW's Peak (Retail + Adjustments)</v>
      </c>
      <c r="D30" s="9">
        <f>SUM(D27:D29)</f>
        <v>336</v>
      </c>
      <c r="E30" s="9">
        <f>SUM(E27:E29)</f>
        <v>-3</v>
      </c>
      <c r="F30" s="9">
        <f>SUM(F27:F29)</f>
        <v>333</v>
      </c>
    </row>
    <row r="32" spans="1:6" x14ac:dyDescent="0.3">
      <c r="B32" t="str">
        <f>B14</f>
        <v>MW's Peak Percentage</v>
      </c>
      <c r="D32" s="8">
        <f>+'PT Ratio with 2019 Data'!D32-PrevYr!D32</f>
        <v>7.0000000000000062E-3</v>
      </c>
      <c r="E32" s="8">
        <f>+'PT Ratio with 2019 Data'!E32-PrevYr!E32</f>
        <v>-7.0000000000000062E-3</v>
      </c>
      <c r="F32" s="8">
        <f>D32+E32</f>
        <v>0</v>
      </c>
    </row>
    <row r="34" spans="1:6" x14ac:dyDescent="0.3">
      <c r="A34" t="s">
        <v>22</v>
      </c>
    </row>
    <row r="35" spans="1:6" x14ac:dyDescent="0.3">
      <c r="B35" t="s">
        <v>23</v>
      </c>
      <c r="D35" s="12">
        <f>+'PT Ratio with 2019 Data'!D35-PrevYr!D35</f>
        <v>7.6999999999999291E-3</v>
      </c>
      <c r="E35" s="12">
        <f>+'PT Ratio with 2019 Data'!E35-PrevYr!E35</f>
        <v>-7.6999999999999846E-3</v>
      </c>
      <c r="F35" s="12">
        <f>D35+E35</f>
        <v>-5.5511151231257827E-17</v>
      </c>
    </row>
    <row r="37" spans="1:6" x14ac:dyDescent="0.3">
      <c r="E37" s="16"/>
    </row>
    <row r="38" spans="1:6" x14ac:dyDescent="0.3">
      <c r="A38" t="s">
        <v>53</v>
      </c>
      <c r="C38" t="s">
        <v>47</v>
      </c>
    </row>
    <row r="39" spans="1:6" x14ac:dyDescent="0.3">
      <c r="A39" t="s">
        <v>54</v>
      </c>
      <c r="C39" t="s">
        <v>62</v>
      </c>
    </row>
    <row r="40" spans="1:6" x14ac:dyDescent="0.3">
      <c r="C40" t="s">
        <v>57</v>
      </c>
    </row>
  </sheetData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AD7B38-6AF8-45E2-B0E8-298AF930612A}"/>
</file>

<file path=customXml/itemProps2.xml><?xml version="1.0" encoding="utf-8"?>
<ds:datastoreItem xmlns:ds="http://schemas.openxmlformats.org/officeDocument/2006/customXml" ds:itemID="{6BC4B740-7638-487F-B18D-8025518E70A9}"/>
</file>

<file path=customXml/itemProps3.xml><?xml version="1.0" encoding="utf-8"?>
<ds:datastoreItem xmlns:ds="http://schemas.openxmlformats.org/officeDocument/2006/customXml" ds:itemID="{D91EA979-B82A-4C72-B06E-7C8831FD6C1B}"/>
</file>

<file path=customXml/itemProps4.xml><?xml version="1.0" encoding="utf-8"?>
<ds:datastoreItem xmlns:ds="http://schemas.openxmlformats.org/officeDocument/2006/customXml" ds:itemID="{6ED8CFCE-173B-48AD-AFA0-914F3D847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PT Ratio with 2019 Data</vt:lpstr>
      <vt:lpstr>WA Adjustments</vt:lpstr>
      <vt:lpstr>ID Adjustment</vt:lpstr>
      <vt:lpstr>MWh</vt:lpstr>
      <vt:lpstr>MW Peak</vt:lpstr>
      <vt:lpstr>Sheet1</vt:lpstr>
      <vt:lpstr>PrevYr</vt:lpstr>
      <vt:lpstr>Difference</vt:lpstr>
      <vt:lpstr>'PT Ratio with 2019 Data'!Print_Area</vt:lpstr>
      <vt:lpstr>'PT Ratio with 2019 Data'!Print_Titles</vt:lpstr>
      <vt:lpstr>PTRATIO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2020-01-30T19:14:22Z</cp:lastPrinted>
  <dcterms:created xsi:type="dcterms:W3CDTF">2000-02-18T21:17:24Z</dcterms:created>
  <dcterms:modified xsi:type="dcterms:W3CDTF">2020-01-30T21:00:02Z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