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firstSheet="4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 calcMode="autoNoTable"/>
</workbook>
</file>

<file path=xl/calcChain.xml><?xml version="1.0" encoding="utf-8"?>
<calcChain xmlns="http://schemas.openxmlformats.org/spreadsheetml/2006/main">
  <c r="C23" i="16" l="1"/>
  <c r="C14" i="16" l="1"/>
  <c r="F14" i="18" l="1"/>
  <c r="C24" i="16" l="1"/>
  <c r="E19" i="3" l="1"/>
  <c r="D19" i="3"/>
  <c r="C21" i="16" l="1"/>
  <c r="C25" i="16" s="1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C25" i="13"/>
  <c r="C31" i="13" s="1"/>
  <c r="C41" i="13" s="1"/>
  <c r="E24" i="13"/>
  <c r="E36" i="13"/>
  <c r="D16" i="10"/>
  <c r="D25" i="13"/>
  <c r="D32" i="10"/>
  <c r="E15" i="13"/>
  <c r="D9" i="10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I32" i="12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H46" i="2" s="1"/>
  <c r="H48" i="2" s="1"/>
  <c r="C49" i="1"/>
  <c r="C58" i="1"/>
  <c r="C57" i="1"/>
  <c r="D34" i="2"/>
  <c r="D41" i="10"/>
  <c r="D49" i="10" s="1"/>
  <c r="G48" i="2"/>
  <c r="B48" i="2"/>
  <c r="B46" i="5"/>
  <c r="G48" i="5"/>
  <c r="B25" i="5"/>
  <c r="C48" i="5"/>
  <c r="I45" i="2" l="1"/>
  <c r="F45" i="5" s="1"/>
  <c r="F46" i="5" s="1"/>
  <c r="F48" i="5" s="1"/>
  <c r="F15" i="18"/>
  <c r="D56" i="1"/>
  <c r="D55" i="1"/>
  <c r="D31" i="1"/>
  <c r="D40" i="1" s="1"/>
  <c r="C28" i="10"/>
  <c r="C30" i="10" s="1"/>
  <c r="E30" i="1"/>
  <c r="D57" i="10"/>
  <c r="C48" i="2"/>
  <c r="D58" i="10"/>
  <c r="I46" i="2" l="1"/>
  <c r="I48" i="2" s="1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<sst xmlns="http://schemas.openxmlformats.org/spreadsheetml/2006/main" count="643" uniqueCount="269">
  <si>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</si>
  <si>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</si>
  <si>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</si>
  <si>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</si>
  <si>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</si>
  <si>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</si>
  <si>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</si>
  <si>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</si>
  <si>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</si>
  <si>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</si>
  <si>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</si>
  <si>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</si>
  <si>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</si>
  <si>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</si>
  <si>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</si>
  <si>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</si>
  <si>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</si>
  <si>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</si>
  <si>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</si>
  <si>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</si>
  <si>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</si>
  <si>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</si>
  <si>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</si>
  <si>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</si>
  <si>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</si>
  <si>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</si>
  <si>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</si>
  <si>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</si>
  <si>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</si>
  <si>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</si>
  <si>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</si>
  <si>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</si>
  <si>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</si>
  <si>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</si>
  <si>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</si>
  <si>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</si>
  <si>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</si>
  <si>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</si>
  <si>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</si>
  <si>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</si>
  <si>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</si>
  <si>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</si>
  <si>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</si>
  <si>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</si>
  <si>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</si>
  <si>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</si>
  <si>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</si>
  <si>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</si>
  <si>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</si>
  <si>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</si>
  <si>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</si>
  <si>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</si>
  <si>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</si>
  <si>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</si>
  <si>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</si>
  <si>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</si>
  <si>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</si>
  <si>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</si>
  <si>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</si>
  <si>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</si>
  <si>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</si>
  <si>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</si>
  <si>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</si>
  <si>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</si>
  <si>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</si>
  <si>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</si>
  <si>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</si>
  <si>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</si>
  <si>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</si>
  <si>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</si>
  <si>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</si>
  <si>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</si>
  <si>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</si>
  <si>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</si>
  <si>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</si>
  <si>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</si>
  <si>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</si>
  <si>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</si>
  <si>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</si>
  <si>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</si>
  <si>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</si>
  <si>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</si>
  <si>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</si>
  <si>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</si>
  <si>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</si>
  <si>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</si>
  <si>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</si>
  <si>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</si>
  <si>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</si>
  <si>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</si>
  <si>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</si>
  <si>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</si>
  <si>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</si>
  <si>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</si>
  <si>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</si>
  <si>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</si>
  <si>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</si>
  <si>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</si>
  <si>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</si>
  <si>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</si>
  <si>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</si>
  <si>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</si>
  <si>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</si>
  <si>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</si>
  <si>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</si>
  <si>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</si>
  <si>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</si>
  <si>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</si>
  <si>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</si>
  <si>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</si>
  <si>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</si>
  <si>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</si>
  <si>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</si>
  <si>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</si>
  <si>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</si>
  <si>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</si>
  <si>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</si>
  <si>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</si>
  <si>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</si>
  <si>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</si>
  <si>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</si>
  <si>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</si>
  <si>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</si>
  <si>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</si>
  <si>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</si>
  <si>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</si>
  <si>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</si>
  <si>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</si>
  <si>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</si>
  <si>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</si>
  <si>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</si>
  <si>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</si>
  <si>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</si>
  <si>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</si>
  <si>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</si>
  <si>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</si>
  <si>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</si>
  <si>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</si>
  <si>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</si>
  <si>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</si>
  <si>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</si>
  <si>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</si>
  <si>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</si>
  <si>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</si>
  <si>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</si>
  <si>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</si>
  <si>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</si>
  <si>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</si>
  <si>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</si>
  <si>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</si>
  <si>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</si>
  <si>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</si>
  <si>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</si>
  <si>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</si>
  <si>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</si>
  <si>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</si>
  <si>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</si>
  <si>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</si>
  <si>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</si>
  <si>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</si>
  <si>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</si>
  <si>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</si>
  <si>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</si>
  <si>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</si>
  <si>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</si>
  <si>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</si>
  <si>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</si>
  <si>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</si>
  <si>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</si>
  <si>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</si>
  <si>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</si>
  <si>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</si>
  <si>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</si>
  <si>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</si>
  <si>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</si>
  <si>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</si>
  <si>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</si>
  <si>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</si>
  <si>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</si>
  <si>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</si>
  <si>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</si>
  <si>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</si>
  <si>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</si>
  <si>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</si>
  <si>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</si>
  <si>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</si>
  <si>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</si>
  <si>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</si>
  <si>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</si>
  <si>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</si>
  <si>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</si>
  <si>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</si>
  <si>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</si>
  <si>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</si>
  <si>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</si>
  <si>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</si>
  <si>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</si>
  <si>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</si>
  <si>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</si>
  <si>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</si>
  <si>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</si>
  <si>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</si>
  <si>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</si>
  <si>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</si>
  <si>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</si>
  <si>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</si>
  <si>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</si>
  <si>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</si>
  <si>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</si>
  <si>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</si>
  <si>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</si>
  <si>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</si>
  <si>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</si>
  <si>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</si>
  <si>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</si>
  <si>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</si>
  <si>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</si>
  <si>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</si>
  <si>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</si>
  <si>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</si>
  <si>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</si>
  <si>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</si>
  <si>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</si>
  <si>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</si>
  <si>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</si>
  <si>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</si>
  <si>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</si>
  <si>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</si>
  <si>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</si>
  <si>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</si>
  <si>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</si>
  <si>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</si>
  <si>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</si>
  <si>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</si>
  <si>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</si>
  <si>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</si>
  <si>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</si>
  <si>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</si>
  <si>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</si>
  <si>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</si>
  <si>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</si>
  <si>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</si>
  <si>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</si>
  <si>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</si>
  <si>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</si>
  <si>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</si>
  <si>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</si>
  <si>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</si>
  <si>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</si>
  <si>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</si>
  <si>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</si>
  <si>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</si>
  <si>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</si>
  <si>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</si>
  <si>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</si>
  <si>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</si>
  <si>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</si>
  <si>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</si>
  <si>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</si>
  <si>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</si>
  <si>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</si>
  <si>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</si>
  <si>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</si>
  <si>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</si>
  <si>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</si>
  <si>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</si>
  <si>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</si>
  <si>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Ellensburg Telephone Company d/b/a FairPoint Communications</t>
  </si>
  <si>
    <t>Adjustment #1:  NECA Prior Period Settlements (needs to reduce 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</si>
</sst>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opLeftCell="A2" workbookViewId="0">
      <selection activeCell="A25" sqref="A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262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263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264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  <headerFooter>
    <oddHeader>&amp;REXHIBIT 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7" sqref="E17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267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1658769</v>
      </c>
      <c r="E9" s="56">
        <v>1737136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928234</v>
      </c>
      <c r="E11" s="53">
        <v>672460</v>
      </c>
    </row>
    <row r="12" spans="1:5" x14ac:dyDescent="0.25">
      <c r="A12" s="11" t="s">
        <v>217</v>
      </c>
      <c r="B12" s="18" t="s">
        <v>259</v>
      </c>
      <c r="C12" s="11"/>
      <c r="D12" s="53">
        <v>404815</v>
      </c>
      <c r="E12" s="53">
        <v>455683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450062</v>
      </c>
      <c r="E14" s="53">
        <v>557902</v>
      </c>
    </row>
    <row r="15" spans="1:5" x14ac:dyDescent="0.25">
      <c r="A15" s="11" t="s">
        <v>219</v>
      </c>
      <c r="B15" s="18" t="s">
        <v>169</v>
      </c>
      <c r="C15" s="11"/>
      <c r="D15" s="53">
        <v>2036932</v>
      </c>
      <c r="E15" s="53">
        <v>1822393</v>
      </c>
    </row>
    <row r="16" spans="1:5" x14ac:dyDescent="0.25">
      <c r="A16" s="11">
        <v>4</v>
      </c>
      <c r="B16" s="18" t="s">
        <v>258</v>
      </c>
      <c r="C16" s="11" t="s">
        <v>171</v>
      </c>
      <c r="D16" s="53">
        <v>2177118</v>
      </c>
      <c r="E16" s="53">
        <v>2215825</v>
      </c>
    </row>
    <row r="17" spans="1:5" x14ac:dyDescent="0.25">
      <c r="A17" s="11">
        <v>5</v>
      </c>
      <c r="B17" s="18" t="s">
        <v>240</v>
      </c>
      <c r="C17" s="11"/>
      <c r="D17" s="53"/>
      <c r="E17" s="53"/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7655930</v>
      </c>
      <c r="E19" s="36">
        <f>E9+E11+E12+E14+E15+E16+E17+E18</f>
        <v>7461399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7655930</v>
      </c>
      <c r="E20" s="38">
        <f>IncomeStmtSummary!D10</f>
        <v>7461399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Detail&amp;REXHIBIT 4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14" sqref="A14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244</v>
      </c>
      <c r="B4" s="120" t="s">
        <v>233</v>
      </c>
      <c r="C4" s="120"/>
    </row>
    <row r="5" spans="1:3" x14ac:dyDescent="0.25">
      <c r="B5" s="48" t="s">
        <v>242</v>
      </c>
      <c r="C5" s="48" t="s">
        <v>243</v>
      </c>
    </row>
    <row r="6" spans="1:3" x14ac:dyDescent="0.25">
      <c r="A6" t="s">
        <v>268</v>
      </c>
      <c r="B6">
        <v>96144</v>
      </c>
    </row>
    <row r="11" spans="1:3" x14ac:dyDescent="0.25">
      <c r="A11" t="s">
        <v>234</v>
      </c>
    </row>
    <row r="16" spans="1:3" x14ac:dyDescent="0.25">
      <c r="A16" t="s">
        <v>235</v>
      </c>
    </row>
    <row r="21" spans="1:1" x14ac:dyDescent="0.25">
      <c r="A21" t="s">
        <v>245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Adjustments&amp;REXHIBIT 4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topLeftCell="A4" zoomScaleNormal="100" workbookViewId="0">
      <selection activeCell="E21" sqref="E21"/>
    </sheetView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267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265</v>
      </c>
      <c r="C10" s="87">
        <f>'RateBase '!D15</f>
        <v>6327354</v>
      </c>
    </row>
    <row r="11" spans="1:3" x14ac:dyDescent="0.25">
      <c r="A11" s="78">
        <v>2</v>
      </c>
      <c r="B11" s="83" t="s">
        <v>206</v>
      </c>
      <c r="C11" s="105">
        <f>'RateBase '!E15</f>
        <v>6514019</v>
      </c>
    </row>
    <row r="12" spans="1:3" x14ac:dyDescent="0.25">
      <c r="A12" s="78">
        <v>3</v>
      </c>
      <c r="B12" s="98" t="s">
        <v>207</v>
      </c>
      <c r="C12" s="85">
        <f>(C10+C11)/2</f>
        <v>6420686.5</v>
      </c>
    </row>
    <row r="13" spans="1:3" x14ac:dyDescent="0.25">
      <c r="A13" s="78">
        <v>4</v>
      </c>
      <c r="B13" s="83" t="s">
        <v>208</v>
      </c>
      <c r="C13" s="60">
        <f>IncomeStmtSummary!D31</f>
        <v>1556252</v>
      </c>
    </row>
    <row r="14" spans="1:3" x14ac:dyDescent="0.25">
      <c r="A14" s="78">
        <v>5</v>
      </c>
      <c r="B14" s="83" t="s">
        <v>266</v>
      </c>
      <c r="C14" s="54">
        <f>-96144*0.65</f>
        <v>-62493.599999999999</v>
      </c>
    </row>
    <row r="15" spans="1:3" x14ac:dyDescent="0.25">
      <c r="A15" s="78">
        <v>6</v>
      </c>
      <c r="B15" s="99" t="s">
        <v>212</v>
      </c>
      <c r="C15" s="85">
        <f>C13+C14</f>
        <v>1493758.4</v>
      </c>
    </row>
    <row r="16" spans="1:3" x14ac:dyDescent="0.25">
      <c r="A16" s="78">
        <v>7</v>
      </c>
      <c r="B16" s="98" t="s">
        <v>209</v>
      </c>
      <c r="C16" s="86">
        <f>C15/C12</f>
        <v>0.23264777060832981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v>9954332</v>
      </c>
    </row>
    <row r="20" spans="1:7" x14ac:dyDescent="0.25">
      <c r="A20" s="78">
        <v>9</v>
      </c>
      <c r="B20" s="83" t="s">
        <v>214</v>
      </c>
      <c r="C20" s="88">
        <v>11512909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10733620.5</v>
      </c>
    </row>
    <row r="22" spans="1:7" x14ac:dyDescent="0.25">
      <c r="A22" s="78">
        <v>11</v>
      </c>
      <c r="B22" s="83" t="s">
        <v>215</v>
      </c>
      <c r="C22" s="53">
        <v>2274588</v>
      </c>
    </row>
    <row r="23" spans="1:7" x14ac:dyDescent="0.25">
      <c r="A23" s="78">
        <v>12</v>
      </c>
      <c r="B23" s="83" t="s">
        <v>237</v>
      </c>
      <c r="C23" s="54">
        <f>-96144*0.65</f>
        <v>-62493.599999999999</v>
      </c>
    </row>
    <row r="24" spans="1:7" x14ac:dyDescent="0.25">
      <c r="A24" s="78">
        <v>13</v>
      </c>
      <c r="B24" s="99" t="s">
        <v>220</v>
      </c>
      <c r="C24" s="85">
        <f>C22+C23</f>
        <v>2212094.4</v>
      </c>
    </row>
    <row r="25" spans="1:7" x14ac:dyDescent="0.25">
      <c r="A25" s="95">
        <v>14</v>
      </c>
      <c r="B25" s="102" t="s">
        <v>211</v>
      </c>
      <c r="C25" s="89">
        <f>C24/C21</f>
        <v>0.20609023767888943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261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Equity&amp;REXHIBIT 4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8" zoomScaleNormal="100" workbookViewId="0">
      <selection activeCell="G46" sqref="G4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238</v>
      </c>
      <c r="E8" s="12"/>
      <c r="F8" s="9"/>
      <c r="G8" s="12" t="s">
        <v>122</v>
      </c>
      <c r="H8" s="12" t="s">
        <v>150</v>
      </c>
      <c r="I8" s="6" t="s">
        <v>238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91964</v>
      </c>
      <c r="C10" s="57"/>
      <c r="D10" s="60">
        <f>SUM(B10:C10)</f>
        <v>91964</v>
      </c>
      <c r="E10" s="18"/>
      <c r="F10" s="18" t="s">
        <v>78</v>
      </c>
      <c r="G10" s="53">
        <v>2345493</v>
      </c>
      <c r="H10" s="57"/>
      <c r="I10" s="60">
        <f>SUM(G10:H10)</f>
        <v>2345493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9797</v>
      </c>
      <c r="H12" s="57"/>
      <c r="I12" s="60">
        <f t="shared" si="0"/>
        <v>9797</v>
      </c>
    </row>
    <row r="13" spans="1:9" x14ac:dyDescent="0.25">
      <c r="A13" s="18" t="s">
        <v>44</v>
      </c>
      <c r="B13" s="53">
        <v>1594804</v>
      </c>
      <c r="C13" s="57"/>
      <c r="D13" s="60">
        <f>SUM(B13:C13)</f>
        <v>1594804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7"/>
      <c r="D14" s="60">
        <f t="shared" ref="D14:D15" si="1">SUM(B14:C14)</f>
        <v>0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62605</v>
      </c>
      <c r="C17" s="57"/>
      <c r="D17" s="60">
        <f>SUM(B17:C17)</f>
        <v>62605</v>
      </c>
      <c r="E17" s="19"/>
      <c r="F17" s="18" t="s">
        <v>87</v>
      </c>
      <c r="G17" s="53">
        <v>1087177</v>
      </c>
      <c r="H17" s="57"/>
      <c r="I17" s="60">
        <f t="shared" si="0"/>
        <v>1087177</v>
      </c>
    </row>
    <row r="18" spans="1:9" x14ac:dyDescent="0.25">
      <c r="A18" s="18" t="s">
        <v>47</v>
      </c>
      <c r="B18" s="53">
        <v>434659</v>
      </c>
      <c r="C18" s="57"/>
      <c r="D18" s="60">
        <f t="shared" ref="D18:D24" si="2">SUM(B18:C18)</f>
        <v>434659</v>
      </c>
      <c r="E18" s="18"/>
      <c r="F18" s="18" t="s">
        <v>88</v>
      </c>
      <c r="G18" s="53">
        <v>266059</v>
      </c>
      <c r="H18" s="57"/>
      <c r="I18" s="60">
        <f t="shared" si="0"/>
        <v>266059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0</v>
      </c>
      <c r="H19" s="67"/>
      <c r="I19" s="61">
        <f t="shared" si="0"/>
        <v>0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3708526</v>
      </c>
      <c r="H20" s="60">
        <f>SUM(H10:H19)</f>
        <v>0</v>
      </c>
      <c r="I20" s="60">
        <f t="shared" ref="I20" si="3">SUM(I10:I19)</f>
        <v>3708526</v>
      </c>
    </row>
    <row r="21" spans="1:9" x14ac:dyDescent="0.25">
      <c r="A21" s="18" t="s">
        <v>49</v>
      </c>
      <c r="B21" s="53">
        <v>411695</v>
      </c>
      <c r="C21" s="55"/>
      <c r="D21" s="60">
        <f t="shared" si="2"/>
        <v>411695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29863</v>
      </c>
      <c r="C22" s="57"/>
      <c r="D22" s="60">
        <f t="shared" si="2"/>
        <v>29863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293135</v>
      </c>
      <c r="C23" s="57"/>
      <c r="D23" s="60">
        <f t="shared" si="2"/>
        <v>293135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31773</v>
      </c>
      <c r="C24" s="67"/>
      <c r="D24" s="61">
        <f t="shared" si="2"/>
        <v>31773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2950498</v>
      </c>
      <c r="C25" s="60">
        <f>C10+C11+C13+C14+C15+C17+C18+C19+C20+C21+C22+C23+C24</f>
        <v>0</v>
      </c>
      <c r="D25" s="60">
        <f t="shared" ref="D25" si="5">D10+D11+D13+D14+D15+D17+D18+D19+D20+D21+D22+D23+D24</f>
        <v>2950498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-38363</v>
      </c>
      <c r="C29" s="57"/>
      <c r="D29" s="60">
        <f>SUM(B29:C29)</f>
        <v>-38363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6346607</v>
      </c>
      <c r="C34" s="72">
        <f>-1*(C25+C29+C30+C32+C33+C35+C36+C37+C46)</f>
        <v>291001</v>
      </c>
      <c r="D34" s="60">
        <f t="shared" si="7"/>
        <v>6637608</v>
      </c>
      <c r="E34" s="18"/>
      <c r="F34" s="18" t="s">
        <v>103</v>
      </c>
      <c r="G34" s="53">
        <v>2302037</v>
      </c>
      <c r="H34" s="57"/>
      <c r="I34" s="60">
        <f>SUM(G34:H34)</f>
        <v>2302037</v>
      </c>
    </row>
    <row r="35" spans="1:9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-1353037</v>
      </c>
      <c r="H35" s="53">
        <v>7075</v>
      </c>
      <c r="I35" s="60">
        <f t="shared" ref="I35:I36" si="8">SUM(G35:H35)</f>
        <v>-1345962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949000</v>
      </c>
      <c r="H37" s="60">
        <f t="shared" ref="H37:I37" si="9">SUM(H34:H36)</f>
        <v>7075</v>
      </c>
      <c r="I37" s="60">
        <f t="shared" si="9"/>
        <v>956075</v>
      </c>
    </row>
    <row r="38" spans="1:9" x14ac:dyDescent="0.25">
      <c r="A38" s="18" t="s">
        <v>65</v>
      </c>
      <c r="B38" s="60">
        <f>B29+B30+B32+B33+B34+B35+B36+B37</f>
        <v>6308244</v>
      </c>
      <c r="C38" s="60">
        <f>C29+C30+C32+C33+C34+C35+C36+C37</f>
        <v>291001</v>
      </c>
      <c r="D38" s="60">
        <f t="shared" ref="D38" si="10">D29+D30+D32+D33+D34+D35+D36+D37</f>
        <v>6599245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6851580</v>
      </c>
      <c r="H39" s="23"/>
      <c r="I39" s="60">
        <f>SUM(G39:H39)</f>
        <v>6851580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11476701</v>
      </c>
      <c r="H40" s="23"/>
      <c r="I40" s="60">
        <f t="shared" ref="I40:I45" si="11">SUM(G40:H40)</f>
        <v>11476701</v>
      </c>
    </row>
    <row r="41" spans="1:9" x14ac:dyDescent="0.25">
      <c r="A41" s="18" t="s">
        <v>190</v>
      </c>
      <c r="B41" s="53">
        <v>77967371</v>
      </c>
      <c r="C41" s="53">
        <v>-1653632</v>
      </c>
      <c r="D41" s="60">
        <f>SUM(B41:C41)</f>
        <v>76313739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499483</v>
      </c>
      <c r="C43" s="53"/>
      <c r="D43" s="60">
        <f t="shared" si="12"/>
        <v>499483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-73106673</v>
      </c>
      <c r="C45" s="54">
        <v>1362631</v>
      </c>
      <c r="D45" s="61">
        <f t="shared" si="12"/>
        <v>-71744042</v>
      </c>
      <c r="E45" s="18"/>
      <c r="F45" s="18" t="s">
        <v>181</v>
      </c>
      <c r="G45" s="54">
        <v>-8366884</v>
      </c>
      <c r="H45" s="106">
        <f>-1*(H20+H32+H37)</f>
        <v>-7075</v>
      </c>
      <c r="I45" s="61">
        <f t="shared" si="11"/>
        <v>-8373959</v>
      </c>
    </row>
    <row r="46" spans="1:9" x14ac:dyDescent="0.25">
      <c r="A46" s="18" t="s">
        <v>71</v>
      </c>
      <c r="B46" s="60">
        <f>B41+B42+B43+B44+B45</f>
        <v>5360181</v>
      </c>
      <c r="C46" s="60">
        <f t="shared" ref="C46:D46" si="13">C41+C42+C43+C44+C45</f>
        <v>-291001</v>
      </c>
      <c r="D46" s="60">
        <f t="shared" si="13"/>
        <v>5069180</v>
      </c>
      <c r="E46" s="18"/>
      <c r="F46" s="18" t="s">
        <v>114</v>
      </c>
      <c r="G46" s="60">
        <f>SUM(G39:G45)</f>
        <v>9961397</v>
      </c>
      <c r="H46" s="63">
        <f t="shared" ref="H46:I46" si="14">SUM(H39:H45)</f>
        <v>-7075</v>
      </c>
      <c r="I46" s="60">
        <f t="shared" si="14"/>
        <v>9954322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246</v>
      </c>
      <c r="B48" s="62">
        <f>B25+B38+B46</f>
        <v>14618923</v>
      </c>
      <c r="C48" s="62">
        <f t="shared" ref="C48:D48" si="15">C25+C38+C46</f>
        <v>0</v>
      </c>
      <c r="D48" s="62">
        <f t="shared" si="15"/>
        <v>14618923</v>
      </c>
      <c r="E48" s="18"/>
      <c r="F48" s="22" t="s">
        <v>115</v>
      </c>
      <c r="G48" s="62">
        <f>G20+G32+G37+G46</f>
        <v>14618923</v>
      </c>
      <c r="H48" s="62">
        <f t="shared" ref="H48:I48" si="16">H20+H32+H37+H46</f>
        <v>0</v>
      </c>
      <c r="I48" s="62">
        <f t="shared" si="16"/>
        <v>14618923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Sheet&amp;REXHIBIT 4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28" zoomScaleNormal="100" workbookViewId="0">
      <selection activeCell="H36" sqref="H3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267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239</v>
      </c>
      <c r="E8" s="12"/>
      <c r="F8" s="9"/>
      <c r="G8" s="12" t="s">
        <v>199</v>
      </c>
      <c r="H8" s="12" t="s">
        <v>200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61483</v>
      </c>
      <c r="C10" s="57"/>
      <c r="D10" s="60">
        <f>SUM(B10:C10)</f>
        <v>61483</v>
      </c>
      <c r="E10" s="18"/>
      <c r="F10" s="18" t="s">
        <v>78</v>
      </c>
      <c r="G10" s="53">
        <v>2396313</v>
      </c>
      <c r="H10" s="57"/>
      <c r="I10" s="60">
        <f>SUM(G10:H10)</f>
        <v>2396313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9797</v>
      </c>
      <c r="H12" s="57"/>
      <c r="I12" s="60">
        <f t="shared" si="0"/>
        <v>9797</v>
      </c>
    </row>
    <row r="13" spans="1:9" x14ac:dyDescent="0.25">
      <c r="A13" s="18" t="s">
        <v>44</v>
      </c>
      <c r="B13" s="53">
        <v>1851849</v>
      </c>
      <c r="C13" s="57"/>
      <c r="D13" s="60">
        <f>SUM(B13:C13)</f>
        <v>1851849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0</v>
      </c>
      <c r="C14" s="57"/>
      <c r="D14" s="60">
        <f t="shared" ref="D14:D15" si="1">SUM(B14:C14)</f>
        <v>0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63380</v>
      </c>
      <c r="C17" s="57"/>
      <c r="D17" s="60">
        <f>SUM(B17:C17)</f>
        <v>63380</v>
      </c>
      <c r="E17" s="19"/>
      <c r="F17" s="18" t="s">
        <v>87</v>
      </c>
      <c r="G17" s="53">
        <v>422724</v>
      </c>
      <c r="H17" s="57"/>
      <c r="I17" s="60">
        <f t="shared" si="0"/>
        <v>422724</v>
      </c>
    </row>
    <row r="18" spans="1:9" x14ac:dyDescent="0.25">
      <c r="A18" s="18" t="s">
        <v>47</v>
      </c>
      <c r="B18" s="53">
        <v>555071</v>
      </c>
      <c r="C18" s="57"/>
      <c r="D18" s="60">
        <f t="shared" ref="D18:D24" si="2">SUM(B18:C18)</f>
        <v>555071</v>
      </c>
      <c r="E18" s="18"/>
      <c r="F18" s="18" t="s">
        <v>88</v>
      </c>
      <c r="G18" s="53">
        <v>240786</v>
      </c>
      <c r="H18" s="57"/>
      <c r="I18" s="60">
        <f t="shared" si="0"/>
        <v>240786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0</v>
      </c>
      <c r="H19" s="67"/>
      <c r="I19" s="61">
        <f t="shared" si="0"/>
        <v>0</v>
      </c>
    </row>
    <row r="20" spans="1:9" x14ac:dyDescent="0.25">
      <c r="A20" s="18" t="s">
        <v>48</v>
      </c>
      <c r="B20" s="53">
        <v>0</v>
      </c>
      <c r="C20" s="57"/>
      <c r="D20" s="60">
        <f t="shared" si="2"/>
        <v>0</v>
      </c>
      <c r="E20" s="18"/>
      <c r="F20" s="18" t="s">
        <v>120</v>
      </c>
      <c r="G20" s="60">
        <f>SUM(G10:G19)</f>
        <v>3069620</v>
      </c>
      <c r="H20" s="60">
        <f>SUM(H10:H19)</f>
        <v>0</v>
      </c>
      <c r="I20" s="60">
        <f t="shared" ref="I20" si="3">SUM(I10:I19)</f>
        <v>3069620</v>
      </c>
    </row>
    <row r="21" spans="1:9" x14ac:dyDescent="0.25">
      <c r="A21" s="18" t="s">
        <v>49</v>
      </c>
      <c r="B21" s="53">
        <v>422420</v>
      </c>
      <c r="C21" s="55"/>
      <c r="D21" s="60">
        <f t="shared" si="2"/>
        <v>422420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35580</v>
      </c>
      <c r="C22" s="57"/>
      <c r="D22" s="60">
        <f t="shared" si="2"/>
        <v>35580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475697</v>
      </c>
      <c r="C23" s="57"/>
      <c r="D23" s="60">
        <f t="shared" si="2"/>
        <v>475697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26149</v>
      </c>
      <c r="C24" s="67"/>
      <c r="D24" s="61">
        <f t="shared" si="2"/>
        <v>26149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3491629</v>
      </c>
      <c r="C25" s="60">
        <f>C10+C11+C13+C14+C15+C17+C18+C19+C20+C21+C22+C23+C24</f>
        <v>0</v>
      </c>
      <c r="D25" s="60">
        <f t="shared" ref="D25" si="5">D10+D11+D13+D14+D15+D17+D18+D19+D20+D21+D22+D23+D24</f>
        <v>3491629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3129</v>
      </c>
      <c r="C29" s="57"/>
      <c r="D29" s="60">
        <f>SUM(B29:C29)</f>
        <v>3129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6581369</v>
      </c>
      <c r="C34" s="72">
        <f>-1*(C25+C29+C30+C32+C33+C35+C36+C37+C46)</f>
        <v>269258</v>
      </c>
      <c r="D34" s="60">
        <f t="shared" si="7"/>
        <v>6850627</v>
      </c>
      <c r="E34" s="18"/>
      <c r="F34" s="18" t="s">
        <v>103</v>
      </c>
      <c r="G34" s="53">
        <v>2346381</v>
      </c>
      <c r="H34" s="57"/>
      <c r="I34" s="60">
        <f>SUM(G34:H34)</f>
        <v>2346381</v>
      </c>
    </row>
    <row r="35" spans="1:11" x14ac:dyDescent="0.25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-1303230</v>
      </c>
      <c r="H35" s="53">
        <v>5786</v>
      </c>
      <c r="I35" s="60">
        <f t="shared" ref="I35:I36" si="8">SUM(G35:H35)</f>
        <v>-1297444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1043151</v>
      </c>
      <c r="H37" s="60">
        <f t="shared" ref="H37:I37" si="9">SUM(H34:H36)</f>
        <v>5786</v>
      </c>
      <c r="I37" s="60">
        <f t="shared" si="9"/>
        <v>1048937</v>
      </c>
    </row>
    <row r="38" spans="1:11" x14ac:dyDescent="0.25">
      <c r="A38" s="18" t="s">
        <v>65</v>
      </c>
      <c r="B38" s="60">
        <f>B29+B30+B32+B33+B34+B35+B36+B37</f>
        <v>6584498</v>
      </c>
      <c r="C38" s="60">
        <f>C29+C30+C32+C33+C34+C35+C36+C37</f>
        <v>269258</v>
      </c>
      <c r="D38" s="60">
        <f t="shared" ref="D38" si="10">D29+D30+D32+D33+D34+D35+D36+D37</f>
        <v>6853756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6851580</v>
      </c>
      <c r="H39" s="23"/>
      <c r="I39" s="60">
        <f>SUM(G39:H39)</f>
        <v>6851580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11476701</v>
      </c>
      <c r="H40" s="23"/>
      <c r="I40" s="60">
        <f t="shared" ref="I40:I45" si="11">SUM(G40:H40)</f>
        <v>11476701</v>
      </c>
    </row>
    <row r="41" spans="1:11" x14ac:dyDescent="0.25">
      <c r="A41" s="18" t="s">
        <v>190</v>
      </c>
      <c r="B41" s="53">
        <v>78865686</v>
      </c>
      <c r="C41" s="53">
        <v>-1797961</v>
      </c>
      <c r="D41" s="60">
        <f>SUM(B41:C41)</f>
        <v>77067725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491926</v>
      </c>
      <c r="C43" s="53"/>
      <c r="D43" s="60">
        <f t="shared" si="12"/>
        <v>491926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-73800984</v>
      </c>
      <c r="C45" s="54">
        <v>1528703</v>
      </c>
      <c r="D45" s="61">
        <f t="shared" si="12"/>
        <v>-72272281</v>
      </c>
      <c r="E45" s="18"/>
      <c r="F45" s="18" t="s">
        <v>181</v>
      </c>
      <c r="G45" s="54">
        <v>-6808297</v>
      </c>
      <c r="H45" s="106">
        <f>-1*(H20+H32+H37)</f>
        <v>-5786</v>
      </c>
      <c r="I45" s="61">
        <f t="shared" si="11"/>
        <v>-6814083</v>
      </c>
    </row>
    <row r="46" spans="1:11" x14ac:dyDescent="0.25">
      <c r="A46" s="18" t="s">
        <v>71</v>
      </c>
      <c r="B46" s="60">
        <f>B41+B42+B43+B44+B45</f>
        <v>5556628</v>
      </c>
      <c r="C46" s="60">
        <f t="shared" ref="C46:D46" si="13">C41+C42+C43+C44+C45</f>
        <v>-269258</v>
      </c>
      <c r="D46" s="60">
        <f t="shared" si="13"/>
        <v>5287370</v>
      </c>
      <c r="E46" s="18"/>
      <c r="F46" s="18" t="s">
        <v>114</v>
      </c>
      <c r="G46" s="60">
        <f>SUM(G39:G45)</f>
        <v>11519984</v>
      </c>
      <c r="H46" s="63">
        <f t="shared" ref="H46:I46" si="14">SUM(H39:H45)</f>
        <v>-5786</v>
      </c>
      <c r="I46" s="60">
        <f t="shared" si="14"/>
        <v>11514198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246</v>
      </c>
      <c r="B48" s="62">
        <f>B25+B38+B46</f>
        <v>15632755</v>
      </c>
      <c r="C48" s="62">
        <f t="shared" ref="C48:D48" si="15">C25+C38+C46</f>
        <v>0</v>
      </c>
      <c r="D48" s="62">
        <f t="shared" si="15"/>
        <v>15632755</v>
      </c>
      <c r="E48" s="18"/>
      <c r="F48" s="22" t="s">
        <v>115</v>
      </c>
      <c r="G48" s="62">
        <f>G20+G32+G37+G46</f>
        <v>15632755</v>
      </c>
      <c r="H48" s="62">
        <f t="shared" ref="H48:I48" si="16">H20+H32+H37+H46</f>
        <v>0</v>
      </c>
      <c r="I48" s="62">
        <f t="shared" si="16"/>
        <v>15632755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249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Sheet&amp;REXHIBIT 4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31" zoomScaleNormal="100" workbookViewId="0">
      <selection activeCell="A4" sqref="A4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267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91964</v>
      </c>
      <c r="C10" s="33">
        <f>'CurrentYearBalanceSheet '!D10</f>
        <v>61483</v>
      </c>
      <c r="D10" s="18"/>
      <c r="E10" s="18" t="s">
        <v>78</v>
      </c>
      <c r="F10" s="33">
        <f>PriorYearBalanceSheet!I10</f>
        <v>2345493</v>
      </c>
      <c r="G10" s="33">
        <f>'CurrentYearBalanceSheet '!I10</f>
        <v>2396313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9797</v>
      </c>
      <c r="G12" s="33">
        <f>'CurrentYearBalanceSheet '!I12</f>
        <v>9797</v>
      </c>
    </row>
    <row r="13" spans="1:7" x14ac:dyDescent="0.25">
      <c r="A13" s="18" t="s">
        <v>44</v>
      </c>
      <c r="B13" s="33">
        <f>PriorYearBalanceSheet!D13</f>
        <v>1594804</v>
      </c>
      <c r="C13" s="33">
        <f>'CurrentYearBalanceSheet '!D13</f>
        <v>1851849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62605</v>
      </c>
      <c r="C17" s="33">
        <f>'CurrentYearBalanceSheet '!D17</f>
        <v>63380</v>
      </c>
      <c r="D17" s="18"/>
      <c r="E17" s="18" t="s">
        <v>87</v>
      </c>
      <c r="F17" s="33">
        <f>PriorYearBalanceSheet!I17</f>
        <v>1087177</v>
      </c>
      <c r="G17" s="33">
        <f>'CurrentYearBalanceSheet '!I17</f>
        <v>422724</v>
      </c>
    </row>
    <row r="18" spans="1:7" x14ac:dyDescent="0.25">
      <c r="A18" s="18" t="s">
        <v>47</v>
      </c>
      <c r="B18" s="33">
        <f>PriorYearBalanceSheet!D18</f>
        <v>434659</v>
      </c>
      <c r="C18" s="33">
        <f>'CurrentYearBalanceSheet '!D18</f>
        <v>555071</v>
      </c>
      <c r="D18" s="18"/>
      <c r="E18" s="18" t="s">
        <v>88</v>
      </c>
      <c r="F18" s="33">
        <f>PriorYearBalanceSheet!I18</f>
        <v>266059</v>
      </c>
      <c r="G18" s="33">
        <f>'CurrentYearBalanceSheet '!I18</f>
        <v>240786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0</v>
      </c>
      <c r="G19" s="33">
        <f>'CurrentYearBalanceSheet '!I19</f>
        <v>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3708526</v>
      </c>
      <c r="G20" s="36">
        <f>SUM(G10:G19)</f>
        <v>3069620</v>
      </c>
    </row>
    <row r="21" spans="1:7" x14ac:dyDescent="0.25">
      <c r="A21" s="18" t="s">
        <v>49</v>
      </c>
      <c r="B21" s="33">
        <f>PriorYearBalanceSheet!D21</f>
        <v>411695</v>
      </c>
      <c r="C21" s="33">
        <f>'CurrentYearBalanceSheet '!D21</f>
        <v>422420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29863</v>
      </c>
      <c r="C22" s="33">
        <f>'CurrentYearBalanceSheet '!D22</f>
        <v>35580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293135</v>
      </c>
      <c r="C23" s="33">
        <f>'CurrentYearBalanceSheet '!D23</f>
        <v>475697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31773</v>
      </c>
      <c r="C24" s="34">
        <f>'CurrentYearBalanceSheet '!D24</f>
        <v>26149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2950498</v>
      </c>
      <c r="C25" s="33">
        <f>C10+C11+C13+C14+C15+C17+C18+C19+C20+C21+C22+C23+C24</f>
        <v>3491629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-38363</v>
      </c>
      <c r="C29" s="33">
        <f>'CurrentYearBalanceSheet '!D29</f>
        <v>3129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6637608</v>
      </c>
      <c r="C34" s="33">
        <f>'CurrentYearBalanceSheet '!D34</f>
        <v>6850627</v>
      </c>
      <c r="D34" s="18"/>
      <c r="E34" s="18" t="s">
        <v>103</v>
      </c>
      <c r="F34" s="33">
        <f>PriorYearBalanceSheet!I34</f>
        <v>2302037</v>
      </c>
      <c r="G34" s="33">
        <f>'CurrentYearBalanceSheet '!I34</f>
        <v>2346381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-1345962</v>
      </c>
      <c r="G35" s="33">
        <f>'CurrentYearBalanceSheet '!I35</f>
        <v>-1297444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956075</v>
      </c>
      <c r="G37" s="33">
        <f>SUM(G34:G36)</f>
        <v>1048937</v>
      </c>
    </row>
    <row r="38" spans="1:7" x14ac:dyDescent="0.25">
      <c r="A38" s="18" t="s">
        <v>65</v>
      </c>
      <c r="B38" s="33">
        <f>B29+B30+B32+B33+B34+B35+B36+B37</f>
        <v>6599245</v>
      </c>
      <c r="C38" s="33">
        <f>C29+C30+C32+C33+C34+C35+C36+C37</f>
        <v>6853756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6851580</v>
      </c>
      <c r="G39" s="33">
        <f>'CurrentYearBalanceSheet '!I39</f>
        <v>6851580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11476701</v>
      </c>
      <c r="G40" s="33">
        <f>'CurrentYearBalanceSheet '!I40</f>
        <v>11476701</v>
      </c>
    </row>
    <row r="41" spans="1:7" x14ac:dyDescent="0.25">
      <c r="A41" s="18" t="s">
        <v>67</v>
      </c>
      <c r="B41" s="33">
        <f>PriorYearBalanceSheet!D41</f>
        <v>76313739</v>
      </c>
      <c r="C41" s="33">
        <f>'CurrentYearBalanceSheet '!D41</f>
        <v>77067725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499483</v>
      </c>
      <c r="C43" s="33">
        <f>'CurrentYearBalanceSheet '!D43</f>
        <v>491926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-71744042</v>
      </c>
      <c r="C45" s="34">
        <f>'CurrentYearBalanceSheet '!D45</f>
        <v>-72272281</v>
      </c>
      <c r="D45" s="18"/>
      <c r="E45" s="18" t="s">
        <v>113</v>
      </c>
      <c r="F45" s="34">
        <f>PriorYearBalanceSheet!I45</f>
        <v>-8373959</v>
      </c>
      <c r="G45" s="34">
        <f>'CurrentYearBalanceSheet '!I45</f>
        <v>-6814083</v>
      </c>
    </row>
    <row r="46" spans="1:7" x14ac:dyDescent="0.25">
      <c r="A46" s="18" t="s">
        <v>71</v>
      </c>
      <c r="B46" s="33">
        <f>SUM(B41:B45)</f>
        <v>5069180</v>
      </c>
      <c r="C46" s="33">
        <f>SUM(C41:C45)</f>
        <v>5287370</v>
      </c>
      <c r="D46" s="18"/>
      <c r="E46" s="18" t="s">
        <v>114</v>
      </c>
      <c r="F46" s="33">
        <f>SUM(F39:F45)</f>
        <v>9954322</v>
      </c>
      <c r="G46" s="33">
        <f>SUM(G39:G45)</f>
        <v>11514198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246</v>
      </c>
      <c r="B48" s="35">
        <f>B25+B38+B46</f>
        <v>14618923</v>
      </c>
      <c r="C48" s="35">
        <f>C25+C38+C46</f>
        <v>15632755</v>
      </c>
      <c r="D48" s="18"/>
      <c r="E48" s="22" t="s">
        <v>115</v>
      </c>
      <c r="F48" s="35">
        <f>F20+F32+F37+F46</f>
        <v>14618923</v>
      </c>
      <c r="G48" s="35">
        <f>G20+G32+G37+G46</f>
        <v>15632755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Sheet&amp;REXHIBIT 4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B4" sqref="B4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76313739</v>
      </c>
      <c r="E10" s="60">
        <f>'BalanceSheet(Summary)'!C41</f>
        <v>77067725</v>
      </c>
      <c r="F10" s="60">
        <f>(D10+E10)/2</f>
        <v>76690732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-71744042</v>
      </c>
      <c r="E12" s="60">
        <f>'BalanceSheet(Summary)'!C45</f>
        <v>-72272281</v>
      </c>
      <c r="F12" s="60">
        <f t="shared" ref="F12:F15" si="0">(D12+E12)/2</f>
        <v>-72008161.5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411695</v>
      </c>
      <c r="E13" s="60">
        <f>'BalanceSheet(Summary)'!C21</f>
        <v>422420</v>
      </c>
      <c r="F13" s="60">
        <f t="shared" si="0"/>
        <v>417057.5</v>
      </c>
    </row>
    <row r="14" spans="1:6" x14ac:dyDescent="0.25">
      <c r="A14" s="11">
        <v>5</v>
      </c>
      <c r="B14" s="18" t="s">
        <v>132</v>
      </c>
      <c r="C14" s="20"/>
      <c r="D14" s="53">
        <v>1345962</v>
      </c>
      <c r="E14" s="53">
        <v>1296155</v>
      </c>
      <c r="F14" s="60">
        <f t="shared" si="0"/>
        <v>1321058.5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6327354</v>
      </c>
      <c r="E15" s="64">
        <f>SUM(E10:E14)</f>
        <v>6514019</v>
      </c>
      <c r="F15" s="65">
        <f t="shared" si="0"/>
        <v>6420686.5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Base&amp;REXHIBIT 4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C11" sqref="C11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8083</v>
      </c>
      <c r="D10" s="53">
        <v>6826</v>
      </c>
      <c r="E10" s="33">
        <f>D10-C10</f>
        <v>-1257</v>
      </c>
      <c r="F10" s="39">
        <f>E10/C10</f>
        <v>-0.15551156748731906</v>
      </c>
    </row>
    <row r="11" spans="1:6" x14ac:dyDescent="0.25">
      <c r="A11" s="11">
        <v>2</v>
      </c>
      <c r="B11" s="20" t="s">
        <v>140</v>
      </c>
      <c r="C11" s="53">
        <v>4833</v>
      </c>
      <c r="D11" s="53">
        <v>4669</v>
      </c>
      <c r="E11" s="33">
        <f>D11-C11</f>
        <v>-164</v>
      </c>
      <c r="F11" s="39">
        <f t="shared" ref="F11:F12" si="0">E11/C11</f>
        <v>-3.3933374715497622E-2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12916</v>
      </c>
      <c r="D12" s="35">
        <f t="shared" ref="D12:E12" si="1">SUM(D10:D11)</f>
        <v>11495</v>
      </c>
      <c r="E12" s="35">
        <f t="shared" si="1"/>
        <v>-1421</v>
      </c>
      <c r="F12" s="40">
        <f t="shared" si="0"/>
        <v>-0.11001858160421182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Lines&amp;REXHIBIT 4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opLeftCell="A28" zoomScaleNormal="100" workbookViewId="0">
      <selection activeCell="C42" sqref="C4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238</v>
      </c>
    </row>
    <row r="9" spans="1:6" x14ac:dyDescent="0.25">
      <c r="A9" s="10">
        <v>1</v>
      </c>
      <c r="B9" s="4" t="s">
        <v>1</v>
      </c>
      <c r="C9" s="56">
        <v>3551316</v>
      </c>
      <c r="D9" s="53"/>
      <c r="E9" s="60">
        <f>SUM(C9:D9)</f>
        <v>3551316</v>
      </c>
    </row>
    <row r="10" spans="1:6" x14ac:dyDescent="0.25">
      <c r="A10" s="11">
        <v>2</v>
      </c>
      <c r="B10" s="15" t="s">
        <v>2</v>
      </c>
      <c r="C10" s="53">
        <v>7655930</v>
      </c>
      <c r="D10" s="53"/>
      <c r="E10" s="60">
        <f t="shared" ref="E10:E14" si="0">SUM(C10:D10)</f>
        <v>7655930</v>
      </c>
    </row>
    <row r="11" spans="1:6" x14ac:dyDescent="0.25">
      <c r="A11" s="11">
        <v>3</v>
      </c>
      <c r="B11" s="15" t="s">
        <v>3</v>
      </c>
      <c r="C11" s="53">
        <v>0</v>
      </c>
      <c r="D11" s="53"/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147170</v>
      </c>
      <c r="D12" s="53"/>
      <c r="E12" s="60">
        <f t="shared" si="0"/>
        <v>147170</v>
      </c>
    </row>
    <row r="13" spans="1:6" x14ac:dyDescent="0.25">
      <c r="A13" s="11">
        <v>5</v>
      </c>
      <c r="B13" s="15" t="s">
        <v>5</v>
      </c>
      <c r="C13" s="53">
        <v>994360</v>
      </c>
      <c r="D13" s="53"/>
      <c r="E13" s="60">
        <f t="shared" si="0"/>
        <v>994360</v>
      </c>
    </row>
    <row r="14" spans="1:6" x14ac:dyDescent="0.25">
      <c r="A14" s="11">
        <v>6</v>
      </c>
      <c r="B14" s="15" t="s">
        <v>159</v>
      </c>
      <c r="C14" s="53">
        <v>-21756</v>
      </c>
      <c r="D14" s="53"/>
      <c r="E14" s="60">
        <f t="shared" si="0"/>
        <v>-21756</v>
      </c>
    </row>
    <row r="15" spans="1:6" x14ac:dyDescent="0.25">
      <c r="A15" s="11">
        <v>7</v>
      </c>
      <c r="B15" s="97" t="s">
        <v>158</v>
      </c>
      <c r="C15" s="109">
        <f>SUM(C9:C14)</f>
        <v>12327020</v>
      </c>
      <c r="D15" s="109">
        <f t="shared" ref="D15:E15" si="1">SUM(D9:D14)</f>
        <v>0</v>
      </c>
      <c r="E15" s="109">
        <f t="shared" si="1"/>
        <v>12327020</v>
      </c>
      <c r="F15" s="1"/>
    </row>
    <row r="16" spans="1:6" x14ac:dyDescent="0.25">
      <c r="A16" s="11">
        <v>8</v>
      </c>
      <c r="B16" s="15" t="s">
        <v>6</v>
      </c>
      <c r="C16" s="53">
        <v>4476602</v>
      </c>
      <c r="D16" s="53">
        <v>-266200</v>
      </c>
      <c r="E16" s="42">
        <f>SUM(C16:D16)</f>
        <v>4210402</v>
      </c>
    </row>
    <row r="17" spans="1:6" x14ac:dyDescent="0.25">
      <c r="A17" s="11">
        <v>9</v>
      </c>
      <c r="B17" s="15" t="s">
        <v>40</v>
      </c>
      <c r="C17" s="53">
        <v>1302813</v>
      </c>
      <c r="D17" s="53"/>
      <c r="E17" s="42">
        <f t="shared" ref="E17:E21" si="2">SUM(C17:D17)</f>
        <v>1302813</v>
      </c>
    </row>
    <row r="18" spans="1:6" x14ac:dyDescent="0.25">
      <c r="A18" s="11">
        <v>10</v>
      </c>
      <c r="B18" s="15" t="s">
        <v>7</v>
      </c>
      <c r="C18" s="53">
        <v>2207440</v>
      </c>
      <c r="D18" s="53">
        <v>-68999</v>
      </c>
      <c r="E18" s="42">
        <f t="shared" si="2"/>
        <v>2138441</v>
      </c>
    </row>
    <row r="19" spans="1:6" x14ac:dyDescent="0.25">
      <c r="A19" s="11">
        <v>11</v>
      </c>
      <c r="B19" s="15" t="s">
        <v>8</v>
      </c>
      <c r="C19" s="53">
        <v>0</v>
      </c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1030738</v>
      </c>
      <c r="D20" s="53">
        <v>-54145</v>
      </c>
      <c r="E20" s="42">
        <f t="shared" si="2"/>
        <v>976593</v>
      </c>
    </row>
    <row r="21" spans="1:6" x14ac:dyDescent="0.25">
      <c r="A21" s="11">
        <v>13</v>
      </c>
      <c r="B21" s="15" t="s">
        <v>10</v>
      </c>
      <c r="C21" s="53">
        <v>1945301</v>
      </c>
      <c r="D21" s="53">
        <v>-219652</v>
      </c>
      <c r="E21" s="42">
        <f t="shared" si="2"/>
        <v>1725649</v>
      </c>
    </row>
    <row r="22" spans="1:6" x14ac:dyDescent="0.25">
      <c r="A22" s="11" t="s">
        <v>154</v>
      </c>
      <c r="B22" s="15" t="s">
        <v>160</v>
      </c>
      <c r="C22" s="110"/>
      <c r="D22" s="110"/>
      <c r="E22" s="88"/>
      <c r="F22" s="48" t="s">
        <v>247</v>
      </c>
    </row>
    <row r="23" spans="1:6" x14ac:dyDescent="0.25">
      <c r="A23" s="11" t="s">
        <v>155</v>
      </c>
      <c r="B23" s="13" t="s">
        <v>156</v>
      </c>
      <c r="C23" s="85">
        <f>SUM(C21:C22)</f>
        <v>1945301</v>
      </c>
      <c r="D23" s="60">
        <f t="shared" ref="D23:E23" si="3">SUM(D21:D22)</f>
        <v>-219652</v>
      </c>
      <c r="E23" s="87">
        <f t="shared" si="3"/>
        <v>1725649</v>
      </c>
    </row>
    <row r="24" spans="1:6" x14ac:dyDescent="0.25">
      <c r="A24" s="11">
        <v>14</v>
      </c>
      <c r="B24" s="92" t="s">
        <v>157</v>
      </c>
      <c r="C24" s="109">
        <f>C16+C17+C18+C19+C20+C23</f>
        <v>10962894</v>
      </c>
      <c r="D24" s="109">
        <f t="shared" ref="D24:E24" si="4">D16+D17+D18+D19+D20+D23</f>
        <v>-608996</v>
      </c>
      <c r="E24" s="111">
        <f t="shared" si="4"/>
        <v>10353898</v>
      </c>
      <c r="F24" s="1"/>
    </row>
    <row r="25" spans="1:6" x14ac:dyDescent="0.25">
      <c r="A25" s="11">
        <v>15</v>
      </c>
      <c r="B25" s="15" t="s">
        <v>14</v>
      </c>
      <c r="C25" s="60">
        <f>C15-C24</f>
        <v>1364126</v>
      </c>
      <c r="D25" s="60">
        <f t="shared" ref="D25:E25" si="5">D15-D24</f>
        <v>608996</v>
      </c>
      <c r="E25" s="60">
        <f t="shared" si="5"/>
        <v>1973122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241</v>
      </c>
      <c r="C28" s="53">
        <v>544640</v>
      </c>
      <c r="D28" s="108">
        <v>-20348</v>
      </c>
      <c r="E28" s="60">
        <f t="shared" si="6"/>
        <v>524292</v>
      </c>
    </row>
    <row r="29" spans="1:6" x14ac:dyDescent="0.25">
      <c r="A29" s="11">
        <v>19</v>
      </c>
      <c r="B29" s="15" t="s">
        <v>13</v>
      </c>
      <c r="C29" s="53">
        <v>463281</v>
      </c>
      <c r="D29" s="53"/>
      <c r="E29" s="60">
        <f t="shared" si="6"/>
        <v>463281</v>
      </c>
    </row>
    <row r="30" spans="1:6" x14ac:dyDescent="0.25">
      <c r="A30" s="11">
        <v>20</v>
      </c>
      <c r="B30" s="97" t="s">
        <v>12</v>
      </c>
      <c r="C30" s="85">
        <f>SUM(C27:C29)</f>
        <v>1007921</v>
      </c>
      <c r="D30" s="85">
        <f t="shared" ref="D30:E30" si="7">SUM(D27:D29)</f>
        <v>-20348</v>
      </c>
      <c r="E30" s="112">
        <f t="shared" si="7"/>
        <v>987573</v>
      </c>
    </row>
    <row r="31" spans="1:6" x14ac:dyDescent="0.25">
      <c r="A31" s="11">
        <v>21</v>
      </c>
      <c r="B31" s="97" t="s">
        <v>23</v>
      </c>
      <c r="C31" s="85">
        <f>C25+C26-C30</f>
        <v>356205</v>
      </c>
      <c r="D31" s="85">
        <f>D25+D26-D30</f>
        <v>629344</v>
      </c>
      <c r="E31" s="112">
        <f>E25+E26-E30</f>
        <v>985549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-277612</v>
      </c>
      <c r="D37" s="57"/>
      <c r="E37" s="33">
        <f>SUM(C37:D37)</f>
        <v>-277612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1338797</v>
      </c>
      <c r="D40" s="72">
        <f>-1*(D31-D36)</f>
        <v>-629344</v>
      </c>
      <c r="E40" s="33">
        <f t="shared" si="10"/>
        <v>709453</v>
      </c>
    </row>
    <row r="41" spans="1:10" x14ac:dyDescent="0.25">
      <c r="A41" s="11">
        <v>31</v>
      </c>
      <c r="B41" s="97" t="s">
        <v>22</v>
      </c>
      <c r="C41" s="85">
        <f>C31-C36+C37+C38+C39+C40</f>
        <v>1417390</v>
      </c>
      <c r="D41" s="85">
        <f t="shared" ref="D41:E41" si="11">D31-D36+D37+D38+D39+D40</f>
        <v>0</v>
      </c>
      <c r="E41" s="85">
        <f t="shared" si="11"/>
        <v>1417390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-6345275</v>
      </c>
      <c r="D43" s="57"/>
      <c r="E43" s="60">
        <f t="shared" ref="E43:E48" si="12">SUM(C43:D43)</f>
        <v>-6345275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3439000</v>
      </c>
      <c r="D47" s="57"/>
      <c r="E47" s="60">
        <f t="shared" si="12"/>
        <v>3439000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257</v>
      </c>
      <c r="C49" s="85">
        <f>(C41+C43+C44)-(C45+C46+C47+C48)</f>
        <v>-8366885</v>
      </c>
      <c r="D49" s="113">
        <f t="shared" ref="D49:E49" si="13">(D41+D43+D44)-(D45+D46+D47+D48)</f>
        <v>0</v>
      </c>
      <c r="E49" s="112">
        <f t="shared" si="13"/>
        <v>-8366885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/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0.79203043395727435</v>
      </c>
      <c r="D55" s="116" t="e">
        <f>((D24+D30-D18-D19)/D15)</f>
        <v>#DIV/0!</v>
      </c>
      <c r="E55" s="116">
        <f>((E24+E30-E18-E19)/E15)</f>
        <v>0.74657378668972707</v>
      </c>
    </row>
    <row r="56" spans="1:7" x14ac:dyDescent="0.25">
      <c r="A56" s="11">
        <v>46</v>
      </c>
      <c r="B56" s="15" t="s">
        <v>37</v>
      </c>
      <c r="C56" s="116">
        <f>((C24+C30+C36)/C15)</f>
        <v>0.97110372174296788</v>
      </c>
      <c r="D56" s="116" t="e">
        <f>((D24+D30+D36)/D15)</f>
        <v>#DIV/0!</v>
      </c>
      <c r="E56" s="116">
        <f>((E24+E30+E36)/E15)</f>
        <v>0.92004969570910078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247</v>
      </c>
      <c r="B67" s="68" t="s">
        <v>251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252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Statement&amp;REXHIBIT 4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opLeftCell="A13" zoomScaleNormal="100" workbookViewId="0">
      <selection activeCell="C16" sqref="C16:C2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267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7" t="s">
        <v>1</v>
      </c>
      <c r="C9" s="56">
        <v>3226324</v>
      </c>
      <c r="D9" s="53"/>
      <c r="E9" s="33">
        <f>SUM(C9:D9)</f>
        <v>3226324</v>
      </c>
    </row>
    <row r="10" spans="1:6" x14ac:dyDescent="0.25">
      <c r="A10" s="11">
        <v>2</v>
      </c>
      <c r="B10" s="18" t="s">
        <v>2</v>
      </c>
      <c r="C10" s="53">
        <v>7461399</v>
      </c>
      <c r="D10" s="53"/>
      <c r="E10" s="33">
        <f t="shared" ref="E10:E14" si="0">SUM(C10:D10)</f>
        <v>7461399</v>
      </c>
    </row>
    <row r="11" spans="1:6" x14ac:dyDescent="0.25">
      <c r="A11" s="11">
        <v>3</v>
      </c>
      <c r="B11" s="18" t="s">
        <v>3</v>
      </c>
      <c r="C11" s="53">
        <v>0</v>
      </c>
      <c r="D11" s="53"/>
      <c r="E11" s="33">
        <f t="shared" si="0"/>
        <v>0</v>
      </c>
    </row>
    <row r="12" spans="1:6" x14ac:dyDescent="0.25">
      <c r="A12" s="11">
        <v>4</v>
      </c>
      <c r="B12" s="18" t="s">
        <v>4</v>
      </c>
      <c r="C12" s="53">
        <v>146038</v>
      </c>
      <c r="D12" s="53"/>
      <c r="E12" s="33">
        <f t="shared" si="0"/>
        <v>146038</v>
      </c>
    </row>
    <row r="13" spans="1:6" x14ac:dyDescent="0.25">
      <c r="A13" s="11">
        <v>5</v>
      </c>
      <c r="B13" s="18" t="s">
        <v>5</v>
      </c>
      <c r="C13" s="53">
        <v>706554</v>
      </c>
      <c r="D13" s="53"/>
      <c r="E13" s="33">
        <f t="shared" si="0"/>
        <v>706554</v>
      </c>
    </row>
    <row r="14" spans="1:6" x14ac:dyDescent="0.25">
      <c r="A14" s="11">
        <v>6</v>
      </c>
      <c r="B14" s="18" t="s">
        <v>159</v>
      </c>
      <c r="C14" s="53">
        <v>-43947</v>
      </c>
      <c r="D14" s="53"/>
      <c r="E14" s="33">
        <f t="shared" si="0"/>
        <v>-43947</v>
      </c>
    </row>
    <row r="15" spans="1:6" x14ac:dyDescent="0.25">
      <c r="A15" s="11">
        <v>7</v>
      </c>
      <c r="B15" s="92" t="s">
        <v>158</v>
      </c>
      <c r="C15" s="41">
        <f>SUM(C9:C14)</f>
        <v>11496368</v>
      </c>
      <c r="D15" s="41">
        <f t="shared" ref="D15:E15" si="1">SUM(D9:D14)</f>
        <v>0</v>
      </c>
      <c r="E15" s="41">
        <f t="shared" si="1"/>
        <v>11496368</v>
      </c>
      <c r="F15" s="1"/>
    </row>
    <row r="16" spans="1:6" x14ac:dyDescent="0.25">
      <c r="A16" s="11">
        <v>8</v>
      </c>
      <c r="B16" s="18" t="s">
        <v>6</v>
      </c>
      <c r="C16" s="53">
        <v>3796830</v>
      </c>
      <c r="D16" s="53">
        <v>-224984</v>
      </c>
      <c r="E16" s="42">
        <f>SUM(C16:D16)</f>
        <v>3571846</v>
      </c>
    </row>
    <row r="17" spans="1:6" x14ac:dyDescent="0.25">
      <c r="A17" s="11">
        <v>9</v>
      </c>
      <c r="B17" s="18" t="s">
        <v>40</v>
      </c>
      <c r="C17" s="53">
        <v>1264907</v>
      </c>
      <c r="D17" s="53">
        <v>0</v>
      </c>
      <c r="E17" s="42">
        <f t="shared" ref="E17:E21" si="2">SUM(C17:D17)</f>
        <v>1264907</v>
      </c>
    </row>
    <row r="18" spans="1:6" x14ac:dyDescent="0.25">
      <c r="A18" s="11">
        <v>10</v>
      </c>
      <c r="B18" s="18" t="s">
        <v>7</v>
      </c>
      <c r="C18" s="53">
        <v>1592477</v>
      </c>
      <c r="D18" s="53">
        <v>-67216</v>
      </c>
      <c r="E18" s="42">
        <f t="shared" si="2"/>
        <v>1525261</v>
      </c>
    </row>
    <row r="19" spans="1:6" x14ac:dyDescent="0.25">
      <c r="A19" s="11">
        <v>11</v>
      </c>
      <c r="B19" s="18" t="s">
        <v>8</v>
      </c>
      <c r="C19" s="53">
        <v>0</v>
      </c>
      <c r="D19" s="53">
        <v>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962675</v>
      </c>
      <c r="D20" s="53">
        <v>-51772</v>
      </c>
      <c r="E20" s="42">
        <f t="shared" si="2"/>
        <v>910903</v>
      </c>
    </row>
    <row r="21" spans="1:6" x14ac:dyDescent="0.25">
      <c r="A21" s="11">
        <v>13</v>
      </c>
      <c r="B21" s="18" t="s">
        <v>10</v>
      </c>
      <c r="C21" s="53">
        <v>1987360</v>
      </c>
      <c r="D21" s="53">
        <v>-244541</v>
      </c>
      <c r="E21" s="42">
        <f t="shared" si="2"/>
        <v>1742819</v>
      </c>
    </row>
    <row r="22" spans="1:6" x14ac:dyDescent="0.25">
      <c r="A22" s="11" t="s">
        <v>154</v>
      </c>
      <c r="B22" s="18" t="s">
        <v>160</v>
      </c>
      <c r="C22" s="103"/>
      <c r="D22" s="103"/>
      <c r="E22" s="88"/>
      <c r="F22" s="48" t="s">
        <v>247</v>
      </c>
    </row>
    <row r="23" spans="1:6" x14ac:dyDescent="0.25">
      <c r="A23" s="11" t="s">
        <v>155</v>
      </c>
      <c r="B23" s="18" t="s">
        <v>156</v>
      </c>
      <c r="C23" s="33">
        <f>SUM(C21:C22)</f>
        <v>1987360</v>
      </c>
      <c r="D23" s="33">
        <f t="shared" ref="D23:E23" si="3">SUM(D21:D22)</f>
        <v>-244541</v>
      </c>
      <c r="E23" s="42">
        <f t="shared" si="3"/>
        <v>1742819</v>
      </c>
    </row>
    <row r="24" spans="1:6" x14ac:dyDescent="0.25">
      <c r="A24" s="11">
        <v>14</v>
      </c>
      <c r="B24" s="92" t="s">
        <v>157</v>
      </c>
      <c r="C24" s="41">
        <f>C16+C17+C18+C19+C20+C23</f>
        <v>9604249</v>
      </c>
      <c r="D24" s="41">
        <f t="shared" ref="D24:E24" si="4">D16+D17+D18+D19+D20+D23</f>
        <v>-588513</v>
      </c>
      <c r="E24" s="43">
        <f t="shared" si="4"/>
        <v>9015736</v>
      </c>
      <c r="F24" s="1"/>
    </row>
    <row r="25" spans="1:6" x14ac:dyDescent="0.25">
      <c r="A25" s="11">
        <v>15</v>
      </c>
      <c r="B25" s="18" t="s">
        <v>14</v>
      </c>
      <c r="C25" s="33">
        <f>C15-C24</f>
        <v>1892119</v>
      </c>
      <c r="D25" s="33">
        <f t="shared" ref="D25:E25" si="5">D15-D24</f>
        <v>588513</v>
      </c>
      <c r="E25" s="33">
        <f t="shared" si="5"/>
        <v>2480632</v>
      </c>
    </row>
    <row r="26" spans="1:6" x14ac:dyDescent="0.25">
      <c r="A26" s="11">
        <v>16</v>
      </c>
      <c r="B26" s="18" t="s">
        <v>161</v>
      </c>
      <c r="C26" s="53">
        <v>0</v>
      </c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241</v>
      </c>
      <c r="C28" s="53">
        <v>408388</v>
      </c>
      <c r="D28" s="108">
        <v>187305</v>
      </c>
      <c r="E28" s="33">
        <f t="shared" si="6"/>
        <v>595693</v>
      </c>
    </row>
    <row r="29" spans="1:6" x14ac:dyDescent="0.25">
      <c r="A29" s="11">
        <v>19</v>
      </c>
      <c r="B29" s="18" t="s">
        <v>13</v>
      </c>
      <c r="C29" s="53">
        <v>339017</v>
      </c>
      <c r="D29" s="53">
        <v>-10330</v>
      </c>
      <c r="E29" s="33">
        <f t="shared" si="6"/>
        <v>328687</v>
      </c>
    </row>
    <row r="30" spans="1:6" x14ac:dyDescent="0.25">
      <c r="A30" s="11">
        <v>20</v>
      </c>
      <c r="B30" s="92" t="s">
        <v>12</v>
      </c>
      <c r="C30" s="38">
        <f>SUM(C27:C29)</f>
        <v>747405</v>
      </c>
      <c r="D30" s="38">
        <f t="shared" ref="D30:E30" si="7">SUM(D27:D29)</f>
        <v>176975</v>
      </c>
      <c r="E30" s="44">
        <f t="shared" si="7"/>
        <v>924380</v>
      </c>
    </row>
    <row r="31" spans="1:6" x14ac:dyDescent="0.25">
      <c r="A31" s="11">
        <v>21</v>
      </c>
      <c r="B31" s="92" t="s">
        <v>23</v>
      </c>
      <c r="C31" s="38">
        <f>C25+C26-C30</f>
        <v>1144714</v>
      </c>
      <c r="D31" s="38">
        <f>D25+D26-D30</f>
        <v>411538</v>
      </c>
      <c r="E31" s="44">
        <f>E25+E26-E30</f>
        <v>1556252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-259091</v>
      </c>
      <c r="D37" s="57"/>
      <c r="E37" s="33">
        <f>SUM(C37:D37)</f>
        <v>-259091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1388965</v>
      </c>
      <c r="D40" s="72">
        <f>-1*(D31-D36)</f>
        <v>-411538</v>
      </c>
      <c r="E40" s="33">
        <f t="shared" si="10"/>
        <v>977427</v>
      </c>
    </row>
    <row r="41" spans="1:5" x14ac:dyDescent="0.25">
      <c r="A41" s="11">
        <v>31</v>
      </c>
      <c r="B41" s="92" t="s">
        <v>22</v>
      </c>
      <c r="C41" s="38">
        <f>C31-C36+C37+C38+C39+C40</f>
        <v>2274588</v>
      </c>
      <c r="D41" s="38">
        <f t="shared" ref="D41:E41" si="11">D31-D36+D37+D38+D39+D40</f>
        <v>0</v>
      </c>
      <c r="E41" s="38">
        <f t="shared" si="11"/>
        <v>2274588</v>
      </c>
    </row>
    <row r="42" spans="1:5" x14ac:dyDescent="0.25">
      <c r="A42" s="11">
        <v>32</v>
      </c>
      <c r="B42" s="18" t="s">
        <v>24</v>
      </c>
      <c r="C42" s="70">
        <v>408388</v>
      </c>
      <c r="D42" s="70"/>
      <c r="E42" s="45"/>
    </row>
    <row r="43" spans="1:5" x14ac:dyDescent="0.25">
      <c r="A43" s="11">
        <v>33</v>
      </c>
      <c r="B43" s="18" t="s">
        <v>25</v>
      </c>
      <c r="C43" s="53">
        <v>-8366884</v>
      </c>
      <c r="D43" s="57"/>
      <c r="E43" s="33">
        <f t="shared" ref="E43:E48" si="12">SUM(C43:D43)</f>
        <v>-8366884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0</v>
      </c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716000</v>
      </c>
      <c r="D47" s="57"/>
      <c r="E47" s="33">
        <f t="shared" si="12"/>
        <v>716000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257</v>
      </c>
      <c r="C49" s="38">
        <f>(C41+C43+C44)-(C45+C46+C47+C48)</f>
        <v>-6808296</v>
      </c>
      <c r="D49" s="66">
        <f t="shared" ref="D49:E49" si="13">(D41+D43+D44)-(D45+D46+D47+D48)</f>
        <v>0</v>
      </c>
      <c r="E49" s="44">
        <f t="shared" si="13"/>
        <v>-6808296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/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0.76190819570145984</v>
      </c>
      <c r="D55" s="47" t="e">
        <f>((D24+D30-D18-D19)/D15)</f>
        <v>#DIV/0!</v>
      </c>
      <c r="E55" s="47">
        <f>((E24+E30-E18-E19)/E15)</f>
        <v>0.73195769307315151</v>
      </c>
    </row>
    <row r="56" spans="1:7" x14ac:dyDescent="0.25">
      <c r="A56" s="11">
        <v>46</v>
      </c>
      <c r="B56" s="18" t="s">
        <v>37</v>
      </c>
      <c r="C56" s="47">
        <f>((C24+C30+C36)/C15)</f>
        <v>0.90042820480346486</v>
      </c>
      <c r="D56" s="47" t="e">
        <f>((D24+D30+D36)/D15)</f>
        <v>#DIV/0!</v>
      </c>
      <c r="E56" s="47">
        <f>((E24+E30+E36)/E15)</f>
        <v>0.86463098606446831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250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255</v>
      </c>
      <c r="C62" s="68"/>
      <c r="D62" s="68"/>
      <c r="E62" s="68"/>
      <c r="F62" s="68"/>
      <c r="G62" s="68"/>
    </row>
    <row r="63" spans="1:7" x14ac:dyDescent="0.25">
      <c r="A63" s="48"/>
      <c r="B63" t="s">
        <v>256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247</v>
      </c>
      <c r="B67" s="68" t="s">
        <v>253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254</v>
      </c>
      <c r="C68" s="68"/>
      <c r="D68" s="68"/>
      <c r="E68" s="68"/>
      <c r="F68" s="68"/>
      <c r="G68" s="68"/>
    </row>
    <row r="69" spans="1:7" x14ac:dyDescent="0.25">
      <c r="A69" s="68"/>
      <c r="B69" s="68" t="s">
        <v>248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Statement&amp;REXHIBIT 4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opLeftCell="A13" zoomScaleNormal="100" workbookViewId="0">
      <selection activeCell="D28" sqref="D28:D29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267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3551316</v>
      </c>
      <c r="D9" s="42">
        <f>'CurrentYearIncomeStmt '!E9</f>
        <v>3226324</v>
      </c>
    </row>
    <row r="10" spans="1:5" x14ac:dyDescent="0.25">
      <c r="A10" s="11">
        <v>2</v>
      </c>
      <c r="B10" s="18" t="s">
        <v>2</v>
      </c>
      <c r="C10" s="33">
        <f>PriorYearIncomeStmt!E10</f>
        <v>7655930</v>
      </c>
      <c r="D10" s="42">
        <f>'CurrentYearIncomeStmt '!E10</f>
        <v>7461399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25">
      <c r="A12" s="11">
        <v>4</v>
      </c>
      <c r="B12" s="18" t="s">
        <v>4</v>
      </c>
      <c r="C12" s="33">
        <f>PriorYearIncomeStmt!E12</f>
        <v>147170</v>
      </c>
      <c r="D12" s="42">
        <f>'CurrentYearIncomeStmt '!E12</f>
        <v>146038</v>
      </c>
    </row>
    <row r="13" spans="1:5" x14ac:dyDescent="0.25">
      <c r="A13" s="11">
        <v>5</v>
      </c>
      <c r="B13" s="18" t="s">
        <v>5</v>
      </c>
      <c r="C13" s="33">
        <f>PriorYearIncomeStmt!E13</f>
        <v>994360</v>
      </c>
      <c r="D13" s="42">
        <f>'CurrentYearIncomeStmt '!E13</f>
        <v>706554</v>
      </c>
    </row>
    <row r="14" spans="1:5" x14ac:dyDescent="0.25">
      <c r="A14" s="11">
        <v>6</v>
      </c>
      <c r="B14" s="18" t="s">
        <v>159</v>
      </c>
      <c r="C14" s="33">
        <f>PriorYearIncomeStmt!E14</f>
        <v>-21756</v>
      </c>
      <c r="D14" s="42">
        <f>'CurrentYearIncomeStmt '!E14</f>
        <v>-43947</v>
      </c>
    </row>
    <row r="15" spans="1:5" x14ac:dyDescent="0.25">
      <c r="A15" s="11">
        <v>7</v>
      </c>
      <c r="B15" s="92" t="s">
        <v>158</v>
      </c>
      <c r="C15" s="41">
        <f>SUM(C9:C14)</f>
        <v>12327020</v>
      </c>
      <c r="D15" s="43">
        <f t="shared" ref="D15" si="0">SUM(D9:D14)</f>
        <v>11496368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4210402</v>
      </c>
      <c r="D16" s="42">
        <f>'CurrentYearIncomeStmt '!E16</f>
        <v>3571846</v>
      </c>
    </row>
    <row r="17" spans="1:5" x14ac:dyDescent="0.25">
      <c r="A17" s="11">
        <v>9</v>
      </c>
      <c r="B17" s="18" t="s">
        <v>40</v>
      </c>
      <c r="C17" s="33">
        <f>PriorYearIncomeStmt!E17</f>
        <v>1302813</v>
      </c>
      <c r="D17" s="42">
        <f>'CurrentYearIncomeStmt '!E17</f>
        <v>1264907</v>
      </c>
    </row>
    <row r="18" spans="1:5" x14ac:dyDescent="0.25">
      <c r="A18" s="11">
        <v>10</v>
      </c>
      <c r="B18" s="18" t="s">
        <v>7</v>
      </c>
      <c r="C18" s="33">
        <f>PriorYearIncomeStmt!E18</f>
        <v>2138441</v>
      </c>
      <c r="D18" s="42">
        <f>'CurrentYearIncomeStmt '!E18</f>
        <v>1525261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976593</v>
      </c>
      <c r="D20" s="42">
        <f>'CurrentYearIncomeStmt '!E20</f>
        <v>910903</v>
      </c>
    </row>
    <row r="21" spans="1:5" x14ac:dyDescent="0.25">
      <c r="A21" s="11">
        <v>13</v>
      </c>
      <c r="B21" s="18" t="s">
        <v>10</v>
      </c>
      <c r="C21" s="33">
        <f>PriorYearIncomeStmt!E21</f>
        <v>1725649</v>
      </c>
      <c r="D21" s="42">
        <f>'CurrentYearIncomeStmt '!E21</f>
        <v>1742819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1725649</v>
      </c>
      <c r="D23" s="42">
        <f t="shared" ref="D23" si="1">SUM(D21:D22)</f>
        <v>1742819</v>
      </c>
    </row>
    <row r="24" spans="1:5" x14ac:dyDescent="0.25">
      <c r="A24" s="11">
        <v>14</v>
      </c>
      <c r="B24" s="92" t="s">
        <v>157</v>
      </c>
      <c r="C24" s="41">
        <f>C16+C17+C18+C19+C20+C23</f>
        <v>10353898</v>
      </c>
      <c r="D24" s="43">
        <f t="shared" ref="D24" si="2">D16+D17+D18+D19+D20+D23</f>
        <v>9015736</v>
      </c>
      <c r="E24" s="1"/>
    </row>
    <row r="25" spans="1:5" x14ac:dyDescent="0.25">
      <c r="A25" s="11">
        <v>15</v>
      </c>
      <c r="B25" s="18" t="s">
        <v>14</v>
      </c>
      <c r="C25" s="33">
        <f>C15-C24</f>
        <v>1973122</v>
      </c>
      <c r="D25" s="42">
        <f t="shared" ref="D25" si="3">D15-D24</f>
        <v>2480632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524292</v>
      </c>
      <c r="D28" s="42">
        <f>'CurrentYearIncomeStmt '!E28</f>
        <v>595693</v>
      </c>
    </row>
    <row r="29" spans="1:5" x14ac:dyDescent="0.25">
      <c r="A29" s="11">
        <v>19</v>
      </c>
      <c r="B29" s="18" t="s">
        <v>13</v>
      </c>
      <c r="C29" s="33">
        <f>PriorYearIncomeStmt!E29</f>
        <v>463281</v>
      </c>
      <c r="D29" s="42">
        <f>'CurrentYearIncomeStmt '!E29</f>
        <v>328687</v>
      </c>
    </row>
    <row r="30" spans="1:5" x14ac:dyDescent="0.25">
      <c r="A30" s="11">
        <v>20</v>
      </c>
      <c r="B30" s="92" t="s">
        <v>12</v>
      </c>
      <c r="C30" s="38">
        <f>SUM(C27:C29)</f>
        <v>987573</v>
      </c>
      <c r="D30" s="44">
        <f t="shared" ref="D30" si="4">SUM(D27:D29)</f>
        <v>924380</v>
      </c>
    </row>
    <row r="31" spans="1:5" x14ac:dyDescent="0.25">
      <c r="A31" s="11">
        <v>21</v>
      </c>
      <c r="B31" s="92" t="s">
        <v>23</v>
      </c>
      <c r="C31" s="38">
        <f>C25+C26-C30</f>
        <v>985549</v>
      </c>
      <c r="D31" s="44">
        <f>D25+D26-D30</f>
        <v>1556252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-277612</v>
      </c>
      <c r="D37" s="42">
        <f>'CurrentYearIncomeStmt '!E37</f>
        <v>-259091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709453</v>
      </c>
      <c r="D40" s="42">
        <f>'CurrentYearIncomeStmt '!E40</f>
        <v>977427</v>
      </c>
    </row>
    <row r="41" spans="1:4" x14ac:dyDescent="0.25">
      <c r="A41" s="11">
        <v>31</v>
      </c>
      <c r="B41" s="92" t="s">
        <v>22</v>
      </c>
      <c r="C41" s="38">
        <f>C31-C36+C37+C38+C39+C40</f>
        <v>1417390</v>
      </c>
      <c r="D41" s="44">
        <f t="shared" ref="D41" si="6">D31-D36+D37+D38+D39+D40</f>
        <v>2274588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-6345275</v>
      </c>
      <c r="D43" s="42">
        <f>'CurrentYearIncomeStmt '!E43</f>
        <v>-8366884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3439000</v>
      </c>
      <c r="D47" s="42">
        <f>'CurrentYearIncomeStmt '!E47</f>
        <v>716000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-8366885</v>
      </c>
      <c r="D49" s="44">
        <f t="shared" ref="D49" si="7">(D41+D43+D44)-(D45+D46+D47+D48)</f>
        <v>-6808296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0.74657378668972707</v>
      </c>
      <c r="D55" s="50">
        <f>((D24+D30-D18-D19)/D15)</f>
        <v>0.73195769307315151</v>
      </c>
    </row>
    <row r="56" spans="1:8" x14ac:dyDescent="0.25">
      <c r="A56" s="11">
        <v>46</v>
      </c>
      <c r="B56" s="18" t="s">
        <v>37</v>
      </c>
      <c r="C56" s="50">
        <f>((C24+C30+C36)/C15)</f>
        <v>0.92004969570910078</v>
      </c>
      <c r="D56" s="50">
        <f>((D24+D30+D36)/D15)</f>
        <v>0.86463098606446831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260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Statement&amp;REXHIBIT 4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Petition</CaseType>
    <OpenedDate xmlns="dc463f71-b30c-4ab2-9473-d307f9d35888">2015-07-31T07:00:00+00:00</OpenedDate>
    <CaseCompanyNames xmlns="dc463f71-b30c-4ab2-9473-d307f9d35888">Ellensburg Telephone Company</CaseCompanyNames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2015-07-31T07:00:00+00:00</Date1>
    <AgendaOrder xmlns="dc463f71-b30c-4ab2-9473-d307f9d35888">false</AgendaOrder>
    <CaseStatus xmlns="dc463f71-b30c-4ab2-9473-d307f9d35888">Closed</CaseStatus>
    <DocumentSetType xmlns="dc463f71-b30c-4ab2-9473-d307f9d35888">Initial Filing</DocumentSetType>
    <Prefix xmlns="dc463f71-b30c-4ab2-9473-d307f9d35888">UT</Prefix>
    <DocketNumber xmlns="dc463f71-b30c-4ab2-9473-d307f9d35888">151600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0ADDCB2E230D4DB637B5A873C8B8E4" ma:contentTypeVersion="119" ma:contentTypeDescription="" ma:contentTypeScope="" ma:versionID="c83227aaa69c5135e0e6bdfd703882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3864F1-646C-4B50-A82A-1B8468BCE8E7}"/>
</file>

<file path=customXml/itemProps2.xml><?xml version="1.0" encoding="utf-8"?>
<ds:datastoreItem xmlns:ds="http://schemas.openxmlformats.org/officeDocument/2006/customXml" ds:itemID="{B1CBA8D1-B9C6-4102-82A8-C295E622C7D6}"/>
</file>

<file path=customXml/itemProps3.xml><?xml version="1.0" encoding="utf-8"?>
<ds:datastoreItem xmlns:ds="http://schemas.openxmlformats.org/officeDocument/2006/customXml" ds:itemID="{7783E3A1-E614-4D57-8499-966F3AEC785E}"/>
</file>

<file path=customXml/itemProps4.xml><?xml version="1.0" encoding="utf-8"?>
<ds:datastoreItem xmlns:ds="http://schemas.openxmlformats.org/officeDocument/2006/customXml" ds:itemID="{8536408F-6375-489F-AAC9-026E4FAA51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Candace Shofstall</cp:lastModifiedBy>
  <cp:lastPrinted>2015-07-30T18:42:21Z</cp:lastPrinted>
  <dcterms:created xsi:type="dcterms:W3CDTF">2014-05-21T17:51:51Z</dcterms:created>
  <dcterms:modified xsi:type="dcterms:W3CDTF">2015-07-30T18:42:26Z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0x0101006E56B4D1795A2E4DB2F0B01679ED314A009D0ADDCB2E230D4DB637B5A873C8B8E4</vt:lpwstr>
  </property>
  <property fmtid="{D5CDD505-2E9C-101B-9397-08002B2CF9AE}" pid="3" name="_docset_NoMedatataSyncRequired">
    <vt:lpwstr>False</vt:lpwstr>
  </property>
</Properties>
</file>