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Prof-Monthly Reporting" sheetId="1" r:id="rId1"/>
    <sheet name="Calc-Monthly Reporting" sheetId="2" r:id="rId2"/>
    <sheet name="Payroll" sheetId="3" r:id="rId3"/>
    <sheet name="Fuel" sheetId="4" r:id="rId4"/>
    <sheet name="LG-Rev" sheetId="5" r:id="rId5"/>
    <sheet name="Depr-Revised" sheetId="6" r:id="rId6"/>
    <sheet name="Proforma" sheetId="7" r:id="rId7"/>
    <sheet name="LG" sheetId="8" r:id="rId8"/>
    <sheet name="COS" sheetId="9" r:id="rId9"/>
    <sheet name="Calculations" sheetId="10" r:id="rId10"/>
    <sheet name="Depr" sheetId="11" r:id="rId11"/>
  </sheets>
  <definedNames>
    <definedName name="_xlnm.Print_Area" localSheetId="9">'Calculations'!$A$1:$F$201</definedName>
    <definedName name="_xlnm.Print_Area" localSheetId="10">'Depr'!$A$1:$AB$39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<sst xmlns="http://schemas.openxmlformats.org/spreadsheetml/2006/main" count="1087" uniqueCount="534">
  <si>
    <t xml:space="preserve"> </t>
  </si>
  <si>
    <t>Salvage</t>
  </si>
  <si>
    <t>Property Tax</t>
  </si>
  <si>
    <t>Total</t>
  </si>
  <si>
    <t>Depreciation</t>
  </si>
  <si>
    <t>Total Revenue</t>
  </si>
  <si>
    <t>New Single-Stream Recycling Program</t>
  </si>
  <si>
    <t>Beginning</t>
  </si>
  <si>
    <t>Date in</t>
  </si>
  <si>
    <t>Year</t>
  </si>
  <si>
    <t>Test</t>
  </si>
  <si>
    <t>Average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</si>
  <si>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</si>
  <si>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</si>
  <si>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</si>
  <si>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</si>
  <si>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</si>
  <si>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</si>
  <si>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>Asset</t>
  </si>
  <si>
    <t>Depr</t>
  </si>
  <si>
    <t xml:space="preserve">Monthly </t>
  </si>
  <si>
    <t>Investment</t>
  </si>
  <si>
    <t>Codes</t>
  </si>
  <si>
    <t>No</t>
  </si>
  <si>
    <t>Asset Classification</t>
  </si>
  <si>
    <t>Mo</t>
  </si>
  <si>
    <t>%</t>
  </si>
  <si>
    <t>M</t>
  </si>
  <si>
    <t>Years</t>
  </si>
  <si>
    <t>Cost</t>
  </si>
  <si>
    <t>S/L</t>
  </si>
  <si>
    <t>FICA</t>
  </si>
  <si>
    <t>Pension</t>
  </si>
  <si>
    <t>General Ledger Accounts:</t>
  </si>
  <si>
    <t>Wages-Recycling Driver</t>
  </si>
  <si>
    <t>Tariffs &amp; Schedules</t>
  </si>
  <si>
    <t>Public Liability</t>
  </si>
  <si>
    <t>Workmen's Comp</t>
  </si>
  <si>
    <t>Salaries - Office</t>
  </si>
  <si>
    <t>Office &amp; Other Expense</t>
  </si>
  <si>
    <t>Employee Welfare</t>
  </si>
  <si>
    <t>Bad Debts</t>
  </si>
  <si>
    <t>Depr-Collection Equipment</t>
  </si>
  <si>
    <t>Depr-Office Equipment</t>
  </si>
  <si>
    <t>State Excise Tax</t>
  </si>
  <si>
    <t>Vehicle License</t>
  </si>
  <si>
    <t>Total Expenses</t>
  </si>
  <si>
    <t>Net Operating Income</t>
  </si>
  <si>
    <t>Acct</t>
  </si>
  <si>
    <t>No.</t>
  </si>
  <si>
    <t xml:space="preserve">Recycling  </t>
  </si>
  <si>
    <t>Rate</t>
  </si>
  <si>
    <t>!??!</t>
  </si>
  <si>
    <t>OP/RATIO</t>
  </si>
  <si>
    <t xml:space="preserve">      curve</t>
  </si>
  <si>
    <t>FORMULAS</t>
  </si>
  <si>
    <t>1st Revenue</t>
  </si>
  <si>
    <t>1st Turnover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</si>
  <si>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</si>
  <si>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</si>
  <si>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</si>
  <si>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</si>
  <si>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</si>
  <si>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</si>
  <si>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</si>
  <si>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</si>
  <si>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</si>
  <si>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</si>
  <si>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</si>
  <si>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</si>
  <si>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</si>
  <si>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</si>
  <si>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</si>
  <si>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</si>
  <si>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</si>
  <si>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</si>
  <si>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</si>
  <si>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</si>
  <si>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</si>
  <si>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</si>
  <si>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</si>
  <si>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</si>
  <si>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</si>
  <si>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</si>
  <si>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</si>
  <si>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</si>
  <si>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</si>
  <si>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</si>
  <si>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</si>
  <si>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</si>
  <si>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</si>
  <si>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</si>
  <si>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-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</si>
  <si>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</si>
  <si>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</si>
  <si>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</si>
  <si>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</si>
  <si>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</si>
  <si>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</si>
  <si>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</si>
  <si>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</si>
  <si>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</si>
  <si>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</si>
  <si>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</si>
  <si>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</si>
  <si>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</si>
  <si>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</si>
  <si>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</si>
  <si>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</si>
  <si>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</si>
  <si>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</si>
  <si>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Mason County Recycling Program</t>
  </si>
  <si>
    <t>Labor:</t>
  </si>
  <si>
    <t>Number of drivers to cover the routes:</t>
  </si>
  <si>
    <t>Total OT wage expense per week:</t>
  </si>
  <si>
    <t>Total regular wage expense per week:</t>
  </si>
  <si>
    <t>Regular rate per hour:</t>
  </si>
  <si>
    <t>Total monthly regular wages</t>
  </si>
  <si>
    <t>Total monthly OT wage expense:</t>
  </si>
  <si>
    <t>Total Annual Labor Expense:</t>
  </si>
  <si>
    <t>OT rate per hour:</t>
  </si>
  <si>
    <t>Regular hours per driver, per week:</t>
  </si>
  <si>
    <t>OT hours per driver, per week:</t>
  </si>
  <si>
    <t>Fuel:</t>
  </si>
  <si>
    <t>Price per gallon:</t>
  </si>
  <si>
    <t>Hours per week, per driver:</t>
  </si>
  <si>
    <t>Hours per month, per driver:</t>
  </si>
  <si>
    <t>Gallons per month, per driver</t>
  </si>
  <si>
    <t>Total number of trucks:</t>
  </si>
  <si>
    <t>Total number of gallons per month;</t>
  </si>
  <si>
    <t>Fuel expense per month:</t>
  </si>
  <si>
    <t>Annual Fuel Expense:</t>
  </si>
  <si>
    <t>TV:</t>
  </si>
  <si>
    <t>Gallons per month, per truck:</t>
  </si>
  <si>
    <t>Total miles per month, all truck:</t>
  </si>
  <si>
    <t>Annual TV</t>
  </si>
  <si>
    <t>miles</t>
  </si>
  <si>
    <t>per mile</t>
  </si>
  <si>
    <t>Expense</t>
  </si>
  <si>
    <t>Real Estate Rental:</t>
  </si>
  <si>
    <t>Increase per month over existing lease</t>
  </si>
  <si>
    <t>Property tax per month:</t>
  </si>
  <si>
    <t>Annual Lease Expense:</t>
  </si>
  <si>
    <t>Monthly lease expense:</t>
  </si>
  <si>
    <t>Truck Licensing:</t>
  </si>
  <si>
    <t>Delivery truck:</t>
  </si>
  <si>
    <t>Licensing per truck</t>
  </si>
  <si>
    <t>Annual Licensing:</t>
  </si>
  <si>
    <t xml:space="preserve">Fuel </t>
  </si>
  <si>
    <t>Corporate Overhead</t>
  </si>
  <si>
    <t>Employment Taxes</t>
  </si>
  <si>
    <t>Property Lease</t>
  </si>
  <si>
    <t>Office Improvement</t>
  </si>
  <si>
    <t>Mason County Garbage Company</t>
  </si>
  <si>
    <t>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</si>
  <si>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</si>
  <si>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</si>
  <si>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</si>
  <si>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</si>
  <si>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</si>
  <si>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</si>
  <si>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</si>
  <si>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</si>
  <si>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</si>
  <si>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</si>
  <si>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</si>
  <si>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</si>
  <si>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E.</t>
  </si>
  <si>
    <t>Disposition Date</t>
  </si>
  <si>
    <t>Disposal</t>
  </si>
  <si>
    <t>Allocated</t>
  </si>
  <si>
    <t>GARBAGE</t>
  </si>
  <si>
    <t>Accumulated</t>
  </si>
  <si>
    <t>Branch</t>
  </si>
  <si>
    <t>Accum.</t>
  </si>
  <si>
    <t xml:space="preserve"> Mo.</t>
  </si>
  <si>
    <t>Depn</t>
  </si>
  <si>
    <t>Test yr.</t>
  </si>
  <si>
    <t>Allo.</t>
  </si>
  <si>
    <t>Test year</t>
  </si>
  <si>
    <t>Depr.</t>
  </si>
  <si>
    <t>B</t>
  </si>
  <si>
    <t>C.</t>
  </si>
  <si>
    <t>Depn.</t>
  </si>
  <si>
    <t>2009 ASL Single Axle (N)</t>
  </si>
  <si>
    <t>Delivery Trk (N)</t>
  </si>
  <si>
    <t>WF Trl (N)</t>
  </si>
  <si>
    <t>Total Trks</t>
  </si>
  <si>
    <t>96 Gallon Carts</t>
  </si>
  <si>
    <t>65 Gallon Carts</t>
  </si>
  <si>
    <t>Total Carts</t>
  </si>
  <si>
    <t>Tipping Wall</t>
  </si>
  <si>
    <t>Office Furniture</t>
  </si>
  <si>
    <t>Computer</t>
  </si>
  <si>
    <t>Total Office</t>
  </si>
  <si>
    <t>Leasehold Improvement</t>
  </si>
  <si>
    <t>Start Up Cost</t>
  </si>
  <si>
    <t xml:space="preserve">Mason </t>
  </si>
  <si>
    <t>County Garbage</t>
  </si>
  <si>
    <t>Basis Pts</t>
  </si>
  <si>
    <t>Corp OH</t>
  </si>
  <si>
    <t>NEW IMPROVED LURITO - GALLAGHER FORMULA - Recycling</t>
  </si>
  <si>
    <t>Mason County  Garbage Service</t>
  </si>
  <si>
    <t>Office:</t>
  </si>
  <si>
    <t>Hours per week:</t>
  </si>
  <si>
    <t>Regular wage rate per hour:</t>
  </si>
  <si>
    <t>Number of employees:</t>
  </si>
  <si>
    <t>Hours per month:</t>
  </si>
  <si>
    <t>Total wages per month:</t>
  </si>
  <si>
    <t>Total office labor:</t>
  </si>
  <si>
    <t>Other Office:</t>
  </si>
  <si>
    <t>Total monthly:</t>
  </si>
  <si>
    <t>Annual other office expenses:</t>
  </si>
  <si>
    <t>Office telephone:</t>
  </si>
  <si>
    <t>Misc office supplies:</t>
  </si>
  <si>
    <t>Start-Up Costs:</t>
  </si>
  <si>
    <t>Labor, delivery, and placement per cart:</t>
  </si>
  <si>
    <t>Pamphlets, brochures, notifications, per cust:</t>
  </si>
  <si>
    <t>Postage per customer:</t>
  </si>
  <si>
    <t>Projected notifications</t>
  </si>
  <si>
    <t>Number of deliveries:</t>
  </si>
  <si>
    <t>Projected costs:</t>
  </si>
  <si>
    <t>Total notification cost:</t>
  </si>
  <si>
    <t>One time start-up cost:</t>
  </si>
  <si>
    <t>Payroll Tax &amp; Benefits:</t>
  </si>
  <si>
    <t>Total payroll:</t>
  </si>
  <si>
    <t>SUI</t>
  </si>
  <si>
    <t>FUTA</t>
  </si>
  <si>
    <t>Total payroll taxes:</t>
  </si>
  <si>
    <t>Benefits:</t>
  </si>
  <si>
    <t>Medical per month per employee</t>
  </si>
  <si>
    <t>Medical expense per month:</t>
  </si>
  <si>
    <t>Pension rate per payroll dollar:</t>
  </si>
  <si>
    <t>Pension expense per month:</t>
  </si>
  <si>
    <t>Total benefit expense per month:</t>
  </si>
  <si>
    <t>Processing Costs:</t>
  </si>
  <si>
    <t>Number of customers:</t>
  </si>
  <si>
    <t>Material Tons:</t>
  </si>
  <si>
    <t>Estimated participants:</t>
  </si>
  <si>
    <t>Adjusted number of customers:</t>
  </si>
  <si>
    <t>Tons per month:</t>
  </si>
  <si>
    <t>Estimated setout, percent:</t>
  </si>
  <si>
    <t>Setout per pickup:</t>
  </si>
  <si>
    <t>Number of pickup:</t>
  </si>
  <si>
    <t>Number of pickups per month:</t>
  </si>
  <si>
    <t>Annual Tons:</t>
  </si>
  <si>
    <t>Number of tons:</t>
  </si>
  <si>
    <t>Processing cost per ton:</t>
  </si>
  <si>
    <t>Annual processing cost:</t>
  </si>
  <si>
    <t>Hauling Materials to Recycling Center:</t>
  </si>
  <si>
    <t>Number of tons per haul:</t>
  </si>
  <si>
    <t>Number of trips:</t>
  </si>
  <si>
    <t>Time per trip, hours:</t>
  </si>
  <si>
    <t>Number of hours:</t>
  </si>
  <si>
    <t>Annual transport expenses:</t>
  </si>
  <si>
    <t>Recycling Material Revenue:</t>
  </si>
  <si>
    <t>Number of ton:</t>
  </si>
  <si>
    <t>Annual Revenue:</t>
  </si>
  <si>
    <t>Annual revenue:</t>
  </si>
  <si>
    <t>Estimated average rate per ton:</t>
  </si>
  <si>
    <t>Transport cost per hour:</t>
  </si>
  <si>
    <t>Commodity credit:</t>
  </si>
  <si>
    <t>Credit per customer per month:</t>
  </si>
  <si>
    <t>Company retention:</t>
  </si>
  <si>
    <t>Insurance:</t>
  </si>
  <si>
    <t>Per truck:</t>
  </si>
  <si>
    <t>Annual insurance expense:</t>
  </si>
  <si>
    <t>Workmen's Comp:</t>
  </si>
  <si>
    <t>Expense per employee:</t>
  </si>
  <si>
    <t>Annual expense:</t>
  </si>
  <si>
    <t>Lurito Gallagher</t>
  </si>
  <si>
    <t>Current Portion of LT Debt</t>
  </si>
  <si>
    <t>Long Term Debt</t>
  </si>
  <si>
    <t>Stockholder Equity</t>
  </si>
  <si>
    <t>Interest Expense;</t>
  </si>
  <si>
    <t>Mason County Garbage</t>
  </si>
  <si>
    <t>Stop</t>
  </si>
  <si>
    <t>Run</t>
  </si>
  <si>
    <t>TIME:</t>
  </si>
  <si>
    <t>Res &amp; Com</t>
  </si>
  <si>
    <t>Traditional</t>
  </si>
  <si>
    <t>(Hrs)</t>
  </si>
  <si>
    <t>D Box</t>
  </si>
  <si>
    <t>COS1</t>
  </si>
  <si>
    <t xml:space="preserve">     mileage</t>
  </si>
  <si>
    <t xml:space="preserve">     del'y</t>
  </si>
  <si>
    <t>Yard Waste</t>
  </si>
  <si>
    <t>tarping</t>
  </si>
  <si>
    <t xml:space="preserve">Reg Rt Trk </t>
  </si>
  <si>
    <t>DBx Trk</t>
  </si>
  <si>
    <t>Actual</t>
  </si>
  <si>
    <t>Adjusted</t>
  </si>
  <si>
    <t>&amp;</t>
  </si>
  <si>
    <t>WUTC &amp;</t>
  </si>
  <si>
    <t>OH Adjust</t>
  </si>
  <si>
    <t>OH Dist.</t>
  </si>
  <si>
    <t>Container</t>
  </si>
  <si>
    <t>Unit Wt</t>
  </si>
  <si>
    <t>Ext. Wt</t>
  </si>
  <si>
    <t>Stop Time</t>
  </si>
  <si>
    <t xml:space="preserve">Ext Stop </t>
  </si>
  <si>
    <t>Run Time</t>
  </si>
  <si>
    <t>Total Time</t>
  </si>
  <si>
    <t>Pass Thru</t>
  </si>
  <si>
    <t>Office Exp</t>
  </si>
  <si>
    <t>Reg Rte Dr</t>
  </si>
  <si>
    <t>DBxDvr</t>
  </si>
  <si>
    <t>R&amp;M</t>
  </si>
  <si>
    <t>Containers</t>
  </si>
  <si>
    <t>SubTotal</t>
  </si>
  <si>
    <t>Rev Taxes</t>
  </si>
  <si>
    <t>Grand Ttl</t>
  </si>
  <si>
    <t>RevReqmt</t>
  </si>
  <si>
    <t>Calculated</t>
  </si>
  <si>
    <t>% Diff</t>
  </si>
  <si>
    <t>Service Category</t>
  </si>
  <si>
    <t>Cust/PickUps</t>
  </si>
  <si>
    <t>Factor</t>
  </si>
  <si>
    <t>Customers</t>
  </si>
  <si>
    <t>Size Adj.</t>
  </si>
  <si>
    <t>Extension</t>
  </si>
  <si>
    <t>(tons)</t>
  </si>
  <si>
    <t>(secs)</t>
  </si>
  <si>
    <t>Time</t>
  </si>
  <si>
    <t>Rev</t>
  </si>
  <si>
    <t>B/4</t>
  </si>
  <si>
    <t>(hours)</t>
  </si>
  <si>
    <t>Resl</t>
  </si>
  <si>
    <t>actual</t>
  </si>
  <si>
    <t>wt</t>
  </si>
  <si>
    <t>stop + run</t>
  </si>
  <si>
    <t>OH Cust</t>
  </si>
  <si>
    <t>Reg Time</t>
  </si>
  <si>
    <t>DBxTime</t>
  </si>
  <si>
    <t>Wtd Avg</t>
  </si>
  <si>
    <t xml:space="preserve">Wtd Avg </t>
  </si>
  <si>
    <t>Tot Rev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</si>
  <si>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</si>
  <si>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</si>
  <si>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</si>
  <si>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</si>
  <si>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</si>
  <si>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</si>
  <si>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</si>
  <si>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</si>
  <si>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</si>
  <si>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</si>
  <si>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</si>
  <si>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</si>
  <si>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</si>
  <si>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</si>
  <si>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</si>
  <si>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</si>
  <si>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</si>
  <si>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</si>
  <si>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</si>
  <si>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</si>
  <si>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(V)</t>
  </si>
  <si>
    <t>(W)</t>
  </si>
  <si>
    <t>(X)</t>
  </si>
  <si>
    <t>(AA)</t>
  </si>
  <si>
    <t>(BB)</t>
  </si>
  <si>
    <t>(CC)</t>
  </si>
  <si>
    <t>(DD)</t>
  </si>
  <si>
    <t>Chargeable Deliveries</t>
  </si>
  <si>
    <t>Commingled Recycling</t>
  </si>
  <si>
    <t>Gallons per hour, per truck:</t>
  </si>
  <si>
    <t>Miles per day:</t>
  </si>
  <si>
    <t>Miles per gallon;</t>
  </si>
  <si>
    <t>Average price per gallon:</t>
  </si>
  <si>
    <t>Annual fuel expense:</t>
  </si>
  <si>
    <t>Working days:</t>
  </si>
  <si>
    <t xml:space="preserve">Annual miles:  </t>
  </si>
  <si>
    <t>miles per month</t>
  </si>
  <si>
    <t>per month per trk</t>
  </si>
  <si>
    <t>per payroll $</t>
  </si>
  <si>
    <t>3 acreas &amp; 2 bay shop &amp; cont storage</t>
  </si>
  <si>
    <t>Tractor:</t>
  </si>
  <si>
    <t>Number of trips;</t>
  </si>
  <si>
    <t>Gallons per round trip:  122 miles at 3.6 mpg</t>
  </si>
  <si>
    <t>Materials picked up, per setout, lbs:</t>
  </si>
  <si>
    <t>Number of transport/delivery driver</t>
  </si>
  <si>
    <t>days</t>
  </si>
  <si>
    <t>Adj delivery days</t>
  </si>
  <si>
    <t>miles per gallon</t>
  </si>
  <si>
    <t>Tractor</t>
  </si>
  <si>
    <t>Miles per month delivery truck:</t>
  </si>
  <si>
    <t>Miles per month tractor:</t>
  </si>
  <si>
    <t>Number of route trucks:</t>
  </si>
  <si>
    <t>Total miles per month, route trucks:</t>
  </si>
  <si>
    <t xml:space="preserve">Monthly variable operating cost </t>
  </si>
  <si>
    <t>Variable operating cost per mile:</t>
  </si>
  <si>
    <t>TV 2008</t>
  </si>
  <si>
    <t>Miles per month, per truck: 4 miles per gallon</t>
  </si>
  <si>
    <t>Amortization-Start Up Costs</t>
  </si>
  <si>
    <t>Truck Variable</t>
  </si>
  <si>
    <t>Material Processing</t>
  </si>
  <si>
    <t>Fuel 2008</t>
  </si>
  <si>
    <t>Automated Side Load trucks:</t>
  </si>
  <si>
    <t xml:space="preserve">Licensing </t>
  </si>
  <si>
    <t>Estimated at $.76 per mile, less fuel</t>
  </si>
  <si>
    <t>Driver Uniforms:</t>
  </si>
  <si>
    <t>Uniforms per month per driver</t>
  </si>
  <si>
    <t>4 Drivers</t>
  </si>
  <si>
    <t>Annual uniform expense</t>
  </si>
  <si>
    <t>Uniforms</t>
  </si>
  <si>
    <t xml:space="preserve">Monthly hauling </t>
  </si>
  <si>
    <t>Adj Rate per customer per month</t>
  </si>
  <si>
    <t>LG-Annual Revenue Requirement</t>
  </si>
  <si>
    <t>Monthly Customers</t>
  </si>
  <si>
    <t>Monthly Commodity Credit</t>
  </si>
  <si>
    <t>2000 Frlnr, Lft Ax Trctr (U)</t>
  </si>
  <si>
    <t>Transport to Tacoma</t>
  </si>
  <si>
    <t>Federal Heavy Use Tax</t>
  </si>
  <si>
    <t>days for transport</t>
  </si>
  <si>
    <t>2009 ASL Tnd Axle (N)V-479770</t>
  </si>
  <si>
    <t>2009 ASL Tnd Axle (N)V-479772</t>
  </si>
  <si>
    <t>On 6/4/09</t>
  </si>
  <si>
    <t>Annual benefit expense:</t>
  </si>
  <si>
    <t>Date to be Effective August 1, 2009</t>
  </si>
  <si>
    <t xml:space="preserve">Relief-Vacation </t>
  </si>
  <si>
    <t>Supervisor</t>
  </si>
  <si>
    <t>Supervisor:</t>
  </si>
  <si>
    <t>Annual Supervisor Salary;</t>
  </si>
  <si>
    <t>Rate per hr:</t>
  </si>
  <si>
    <t>Hrs per day:</t>
  </si>
  <si>
    <t>Debt 2007</t>
  </si>
  <si>
    <t>Date Proposed June 12, 2009</t>
  </si>
  <si>
    <t>Recycling</t>
  </si>
  <si>
    <t xml:space="preserve">was </t>
  </si>
  <si>
    <t>Garbage</t>
  </si>
  <si>
    <t>less dump fee</t>
  </si>
  <si>
    <t>96-gallon EOW</t>
  </si>
  <si>
    <t>Cart Delivery Trl (N)</t>
  </si>
  <si>
    <t>2009 ASL Tnd Axle (N)V-719770</t>
  </si>
  <si>
    <t>2009 ASL Tnd Axle (N)V-719772</t>
  </si>
  <si>
    <t>2009 ASL Single Axle (N)V-718353</t>
  </si>
  <si>
    <t>T17</t>
  </si>
  <si>
    <t>Regular hours worked - transport</t>
  </si>
  <si>
    <t>Regular hours worked  - routes</t>
  </si>
  <si>
    <t>Regular hours worked - delivery</t>
  </si>
  <si>
    <t>OT hours worked - routes</t>
  </si>
  <si>
    <t>OT hours worked - transport</t>
  </si>
  <si>
    <t>OT hours worked - delivery</t>
  </si>
  <si>
    <t xml:space="preserve">Total regular wage expense </t>
  </si>
  <si>
    <t>Total number of gallons - route trucks</t>
  </si>
  <si>
    <t>Total number of gallons - transport</t>
  </si>
  <si>
    <t>Total number of gallons - delivery</t>
  </si>
  <si>
    <t>Processing expense</t>
  </si>
  <si>
    <t>Monthly insurance expense</t>
  </si>
  <si>
    <t>Monthly licensing</t>
  </si>
  <si>
    <t>0.055 per payroll $</t>
  </si>
  <si>
    <t xml:space="preserve">Hours </t>
  </si>
  <si>
    <t>Payroll</t>
  </si>
  <si>
    <t>Labor Expense:</t>
  </si>
  <si>
    <t>Employee benefit expense</t>
  </si>
  <si>
    <t xml:space="preserve">Payroll Tax </t>
  </si>
  <si>
    <t>Miles route trucks</t>
  </si>
  <si>
    <t>Miles transport truck</t>
  </si>
  <si>
    <t>Miles delivery truck</t>
  </si>
  <si>
    <t>Program Start Date 8-17-09</t>
  </si>
  <si>
    <t>Aug 09</t>
  </si>
  <si>
    <t>Sept 09</t>
  </si>
  <si>
    <t>Oct 09</t>
  </si>
  <si>
    <t>Nov 09</t>
  </si>
  <si>
    <t>Dec 09</t>
  </si>
  <si>
    <t>Labor</t>
  </si>
  <si>
    <t>Start up cost:</t>
  </si>
  <si>
    <t>Trailer rental</t>
  </si>
  <si>
    <t>Fuel</t>
  </si>
  <si>
    <t>Attorney fee</t>
  </si>
  <si>
    <t>Brochures-printing</t>
  </si>
  <si>
    <t>Calendar-printing</t>
  </si>
  <si>
    <t>Misc labor to assemble packet</t>
  </si>
  <si>
    <t>Sub-total (2)</t>
  </si>
  <si>
    <t>Cart delivery-sub-total (1)</t>
  </si>
  <si>
    <t>Notification</t>
  </si>
  <si>
    <t>Total Start Up Cost</t>
  </si>
  <si>
    <t>Adj</t>
  </si>
  <si>
    <t>Tons picked up - actual</t>
  </si>
  <si>
    <t>Operating Ratio</t>
  </si>
  <si>
    <t>Average rate per ton:</t>
  </si>
  <si>
    <t xml:space="preserve">Estimated Credit per cust per month was </t>
  </si>
  <si>
    <t>Prorated month</t>
  </si>
  <si>
    <t>Lbs per paying customer per pickup</t>
  </si>
  <si>
    <t>Actual Credit</t>
  </si>
  <si>
    <t>(Over)/Under Refunded</t>
  </si>
  <si>
    <t>Total Holiday (non-work hrs)</t>
  </si>
  <si>
    <t>Various</t>
  </si>
  <si>
    <t>Mason</t>
  </si>
  <si>
    <t>Aug 17 - Aug 31, 2009</t>
  </si>
  <si>
    <t>Hrly Rate</t>
  </si>
  <si>
    <t>OT Rate</t>
  </si>
  <si>
    <t>Regular Hrs</t>
  </si>
  <si>
    <t>OT Hrs</t>
  </si>
  <si>
    <t>Wages</t>
  </si>
  <si>
    <t>Peterson. Eric</t>
  </si>
  <si>
    <t>Reed, Doug</t>
  </si>
  <si>
    <t xml:space="preserve">White, Chad </t>
  </si>
  <si>
    <t>Total Driver Wages</t>
  </si>
  <si>
    <t>Transfer-Ken Henderson</t>
  </si>
  <si>
    <t>Transfer-Eric Perez</t>
  </si>
  <si>
    <t>Delivery</t>
  </si>
  <si>
    <t>Sept 1 - Sept 30, 2009</t>
  </si>
  <si>
    <t>Holiday</t>
  </si>
  <si>
    <t>Transfer-Gene Hildebrandt</t>
  </si>
  <si>
    <t>Delivery-Feffrey Chappell</t>
  </si>
  <si>
    <t>Delivery-Gary Cress</t>
  </si>
  <si>
    <t>Delivery-Erik Jacobs</t>
  </si>
  <si>
    <t>Delivery-Issac Powers</t>
  </si>
  <si>
    <t>Delivery-Larry Lund</t>
  </si>
  <si>
    <t>Total Sept Payroll</t>
  </si>
  <si>
    <t>Trips to TRCI</t>
  </si>
  <si>
    <t>Tons:</t>
  </si>
  <si>
    <t>Trips:</t>
  </si>
  <si>
    <t xml:space="preserve">WF </t>
  </si>
  <si>
    <t>RO box</t>
  </si>
  <si>
    <t>Tons per trip</t>
  </si>
  <si>
    <t>Miles:</t>
  </si>
  <si>
    <t>Miles per trip</t>
  </si>
  <si>
    <t>Fuel gallons</t>
  </si>
  <si>
    <t>Fuel price p/gal</t>
  </si>
  <si>
    <t>Fuel expense</t>
  </si>
  <si>
    <t>Route Trucks:</t>
  </si>
  <si>
    <t>#27</t>
  </si>
  <si>
    <t>#28</t>
  </si>
  <si>
    <t>#29</t>
  </si>
  <si>
    <t>Miles</t>
  </si>
  <si>
    <t>Miles p/gallon</t>
  </si>
  <si>
    <t>Average p/gallon</t>
  </si>
  <si>
    <t>Delivery:</t>
  </si>
  <si>
    <t>Sept Fuel Exp:</t>
  </si>
  <si>
    <t>Total Fuel Exp August</t>
  </si>
  <si>
    <t xml:space="preserve">Credit per customer per month: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</si>
</sst>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General_)"/>
    <numFmt numFmtId="167" formatCode="0.000%"/>
    <numFmt numFmtId="168" formatCode="0.0"/>
    <numFmt numFmtId="169" formatCode="&quot;$&quot;#,##0"/>
    <numFmt numFmtId="170" formatCode="#,##0.0000_);\(#,##0.0000\)"/>
    <numFmt numFmtId="171" formatCode="0_)"/>
    <numFmt numFmtId="172" formatCode="#,##0.000_);\(#,##0.000\)"/>
    <numFmt numFmtId="173" formatCode="0.0000%"/>
    <numFmt numFmtId="174" formatCode="#,##0.000000_);\(#,##0.000000\)"/>
    <numFmt numFmtId="175" formatCode="[$-409]mmmm\ d\,\ yyyy;@"/>
    <numFmt numFmtId="176" formatCode="mm/dd/yy"/>
    <numFmt numFmtId="177" formatCode="m/d/yy"/>
    <numFmt numFmtId="178" formatCode="m/d/yy;@"/>
    <numFmt numFmtId="179" formatCode="[$-409]dddd\,\ mmmm\ dd\,\ yyyy"/>
    <numFmt numFmtId="180" formatCode="#,##0.0000"/>
    <numFmt numFmtId="181" formatCode="#,##0.000"/>
    <numFmt numFmtId="182" formatCode="#,##0.000000"/>
    <numFmt numFmtId="183" formatCode="0.0000"/>
    <numFmt numFmtId="184" formatCode="#,##0.00000000000"/>
    <numFmt numFmtId="185" formatCode="0.0_)"/>
    <numFmt numFmtId="186" formatCode="0.00_)"/>
    <numFmt numFmtId="187" formatCode="#,##0.0_);[Red]\(#,##0.0\)"/>
    <numFmt numFmtId="188" formatCode="0.000"/>
    <numFmt numFmtId="189" formatCode="&quot;$&quot;#,##0.00"/>
  </numFmts>
  <fonts count="2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SWISS"/>
      <family val="0"/>
    </font>
    <font>
      <sz val="9"/>
      <name val="SWISS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SWISS"/>
      <family val="0"/>
    </font>
    <font>
      <b/>
      <sz val="8"/>
      <name val="SWISS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Helv"/>
      <family val="0"/>
    </font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Helv"/>
      <family val="0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17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Helv"/>
      <family val="0"/>
    </font>
    <font>
      <sz val="9"/>
      <color indexed="10"/>
      <name val="SWISS"/>
      <family val="0"/>
    </font>
    <font>
      <b/>
      <sz val="9"/>
      <color indexed="10"/>
      <name val="SWISS"/>
      <family val="0"/>
    </font>
    <font>
      <b/>
      <sz val="9"/>
      <color indexed="12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24">
    <xf numFmtId="2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Font="1" applyAlignment="1">
      <alignment/>
    </xf>
    <xf numFmtId="1" fontId="7" fillId="0" borderId="0" xfId="0" applyFont="1" applyAlignment="1">
      <alignment horizontal="center"/>
    </xf>
    <xf numFmtId="1" fontId="7" fillId="0" borderId="0" xfId="0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10" fillId="0" borderId="0" xfId="0" applyFont="1" applyBorder="1" applyAlignment="1">
      <alignment/>
    </xf>
    <xf numFmtId="1" fontId="10" fillId="0" borderId="0" xfId="0" applyFont="1" applyAlignment="1">
      <alignment/>
    </xf>
    <xf numFmtId="4" fontId="11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/>
    </xf>
    <xf numFmtId="1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75" fontId="12" fillId="0" borderId="0" xfId="15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" fontId="11" fillId="0" borderId="1" xfId="0" applyFont="1" applyBorder="1" applyAlignment="1">
      <alignment horizontal="center"/>
    </xf>
    <xf numFmtId="1" fontId="11" fillId="0" borderId="2" xfId="0" applyFont="1" applyBorder="1" applyAlignment="1">
      <alignment horizontal="center"/>
    </xf>
    <xf numFmtId="1" fontId="11" fillId="0" borderId="3" xfId="0" applyFont="1" applyBorder="1" applyAlignment="1">
      <alignment horizontal="center"/>
    </xf>
    <xf numFmtId="1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1" fontId="15" fillId="0" borderId="1" xfId="0" applyFont="1" applyBorder="1" applyAlignment="1">
      <alignment horizontal="center"/>
    </xf>
    <xf numFmtId="1" fontId="15" fillId="0" borderId="3" xfId="0" applyFont="1" applyBorder="1" applyAlignment="1">
      <alignment horizontal="center"/>
    </xf>
    <xf numFmtId="1" fontId="15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1" fontId="10" fillId="0" borderId="0" xfId="0" applyFont="1" applyAlignment="1">
      <alignment horizontal="fill"/>
    </xf>
    <xf numFmtId="4" fontId="15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" fontId="12" fillId="0" borderId="1" xfId="0" applyFont="1" applyBorder="1" applyAlignment="1">
      <alignment horizontal="center"/>
    </xf>
    <xf numFmtId="1" fontId="12" fillId="2" borderId="3" xfId="0" applyFont="1" applyFill="1" applyBorder="1" applyAlignment="1">
      <alignment/>
    </xf>
    <xf numFmtId="1" fontId="12" fillId="2" borderId="1" xfId="0" applyFont="1" applyFill="1" applyBorder="1" applyAlignment="1" applyProtection="1">
      <alignment/>
      <protection/>
    </xf>
    <xf numFmtId="0" fontId="12" fillId="2" borderId="1" xfId="0" applyNumberFormat="1" applyFont="1" applyFill="1" applyBorder="1" applyAlignment="1">
      <alignment/>
    </xf>
    <xf numFmtId="1" fontId="12" fillId="2" borderId="1" xfId="0" applyFont="1" applyFill="1" applyBorder="1" applyAlignment="1">
      <alignment horizontal="center"/>
    </xf>
    <xf numFmtId="9" fontId="12" fillId="2" borderId="1" xfId="0" applyNumberFormat="1" applyFont="1" applyFill="1" applyBorder="1" applyAlignment="1" applyProtection="1">
      <alignment horizontal="center"/>
      <protection/>
    </xf>
    <xf numFmtId="4" fontId="12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Border="1" applyAlignment="1">
      <alignment horizontal="right"/>
    </xf>
    <xf numFmtId="1" fontId="12" fillId="2" borderId="1" xfId="0" applyFont="1" applyFill="1" applyBorder="1" applyAlignment="1">
      <alignment/>
    </xf>
    <xf numFmtId="2" fontId="8" fillId="0" borderId="0" xfId="0" applyNumberFormat="1" applyFont="1" applyAlignment="1">
      <alignment/>
    </xf>
    <xf numFmtId="3" fontId="12" fillId="2" borderId="1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2" fillId="0" borderId="1" xfId="0" applyNumberFormat="1" applyFont="1" applyBorder="1" applyAlignment="1">
      <alignment horizontal="right"/>
    </xf>
    <xf numFmtId="1" fontId="11" fillId="2" borderId="3" xfId="0" applyFont="1" applyFill="1" applyBorder="1" applyAlignment="1">
      <alignment/>
    </xf>
    <xf numFmtId="1" fontId="11" fillId="2" borderId="1" xfId="0" applyFont="1" applyFill="1" applyBorder="1" applyAlignment="1" applyProtection="1">
      <alignment/>
      <protection/>
    </xf>
    <xf numFmtId="0" fontId="11" fillId="2" borderId="1" xfId="0" applyNumberFormat="1" applyFont="1" applyFill="1" applyBorder="1" applyAlignment="1">
      <alignment/>
    </xf>
    <xf numFmtId="1" fontId="11" fillId="2" borderId="1" xfId="0" applyFont="1" applyFill="1" applyBorder="1" applyAlignment="1">
      <alignment horizontal="center"/>
    </xf>
    <xf numFmtId="9" fontId="11" fillId="2" borderId="1" xfId="0" applyNumberFormat="1" applyFont="1" applyFill="1" applyBorder="1" applyAlignment="1" applyProtection="1">
      <alignment horizontal="center"/>
      <protection/>
    </xf>
    <xf numFmtId="4" fontId="11" fillId="0" borderId="1" xfId="0" applyNumberFormat="1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Border="1" applyAlignment="1">
      <alignment horizontal="right"/>
    </xf>
    <xf numFmtId="1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1" fontId="16" fillId="0" borderId="0" xfId="0" applyFont="1" applyAlignment="1">
      <alignment/>
    </xf>
    <xf numFmtId="1" fontId="12" fillId="0" borderId="4" xfId="0" applyFont="1" applyBorder="1" applyAlignment="1">
      <alignment horizontal="center"/>
    </xf>
    <xf numFmtId="1" fontId="12" fillId="2" borderId="5" xfId="0" applyFont="1" applyFill="1" applyBorder="1" applyAlignment="1">
      <alignment/>
    </xf>
    <xf numFmtId="1" fontId="12" fillId="2" borderId="4" xfId="0" applyFont="1" applyFill="1" applyBorder="1" applyAlignment="1" applyProtection="1">
      <alignment/>
      <protection/>
    </xf>
    <xf numFmtId="0" fontId="12" fillId="2" borderId="4" xfId="0" applyNumberFormat="1" applyFont="1" applyFill="1" applyBorder="1" applyAlignment="1">
      <alignment/>
    </xf>
    <xf numFmtId="9" fontId="12" fillId="2" borderId="4" xfId="0" applyNumberFormat="1" applyFont="1" applyFill="1" applyBorder="1" applyAlignment="1" applyProtection="1">
      <alignment horizontal="center"/>
      <protection/>
    </xf>
    <xf numFmtId="4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Border="1" applyAlignment="1">
      <alignment horizontal="right"/>
    </xf>
    <xf numFmtId="1" fontId="12" fillId="2" borderId="4" xfId="0" applyFont="1" applyFill="1" applyBorder="1" applyAlignment="1">
      <alignment/>
    </xf>
    <xf numFmtId="3" fontId="12" fillId="2" borderId="4" xfId="0" applyNumberFormat="1" applyFont="1" applyFill="1" applyBorder="1" applyAlignment="1" applyProtection="1">
      <alignment/>
      <protection/>
    </xf>
    <xf numFmtId="3" fontId="12" fillId="0" borderId="4" xfId="0" applyNumberFormat="1" applyFont="1" applyBorder="1" applyAlignment="1">
      <alignment horizontal="right"/>
    </xf>
    <xf numFmtId="175" fontId="7" fillId="0" borderId="0" xfId="0" applyNumberFormat="1" applyFont="1" applyAlignment="1">
      <alignment horizontal="center"/>
    </xf>
    <xf numFmtId="1" fontId="17" fillId="0" borderId="0" xfId="0" applyFont="1" applyAlignment="1">
      <alignment/>
    </xf>
    <xf numFmtId="1" fontId="17" fillId="0" borderId="0" xfId="0" applyFont="1" applyAlignment="1">
      <alignment/>
    </xf>
    <xf numFmtId="1" fontId="17" fillId="0" borderId="0" xfId="0" applyFont="1" applyAlignment="1">
      <alignment horizontal="center"/>
    </xf>
    <xf numFmtId="0" fontId="17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81" fontId="1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fill"/>
    </xf>
    <xf numFmtId="182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0" fontId="17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1" fillId="0" borderId="0" xfId="0" applyFont="1" applyAlignment="1">
      <alignment/>
    </xf>
    <xf numFmtId="3" fontId="19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" fontId="19" fillId="0" borderId="0" xfId="0" applyFont="1" applyAlignment="1">
      <alignment/>
    </xf>
    <xf numFmtId="184" fontId="12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85" fontId="12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171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/>
      <protection/>
    </xf>
    <xf numFmtId="1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2" fillId="0" borderId="0" xfId="0" applyFont="1" applyBorder="1" applyAlignment="1">
      <alignment/>
    </xf>
    <xf numFmtId="1" fontId="12" fillId="0" borderId="0" xfId="0" applyFont="1" applyBorder="1" applyAlignment="1">
      <alignment horizontal="center"/>
    </xf>
    <xf numFmtId="1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186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44" fontId="12" fillId="0" borderId="0" xfId="16" applyFont="1" applyBorder="1" applyAlignment="1" applyProtection="1">
      <alignment/>
      <protection/>
    </xf>
    <xf numFmtId="10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9" fontId="12" fillId="0" borderId="0" xfId="0" applyNumberFormat="1" applyFont="1" applyAlignment="1" applyProtection="1">
      <alignment/>
      <protection/>
    </xf>
    <xf numFmtId="186" fontId="12" fillId="0" borderId="0" xfId="0" applyNumberFormat="1" applyFont="1" applyBorder="1" applyAlignment="1" applyProtection="1">
      <alignment/>
      <protection/>
    </xf>
    <xf numFmtId="1" fontId="20" fillId="0" borderId="0" xfId="0" applyFont="1" applyAlignment="1">
      <alignment/>
    </xf>
    <xf numFmtId="1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9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86" fontId="20" fillId="0" borderId="0" xfId="0" applyNumberFormat="1" applyFont="1" applyBorder="1" applyAlignment="1" applyProtection="1">
      <alignment/>
      <protection/>
    </xf>
    <xf numFmtId="10" fontId="20" fillId="0" borderId="0" xfId="0" applyNumberFormat="1" applyFont="1" applyBorder="1" applyAlignment="1">
      <alignment/>
    </xf>
    <xf numFmtId="1" fontId="21" fillId="0" borderId="0" xfId="0" applyFont="1" applyAlignment="1">
      <alignment/>
    </xf>
    <xf numFmtId="39" fontId="21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>
      <alignment/>
    </xf>
    <xf numFmtId="4" fontId="12" fillId="0" borderId="0" xfId="0" applyNumberFormat="1" applyFont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Alignment="1">
      <alignment/>
    </xf>
    <xf numFmtId="165" fontId="20" fillId="0" borderId="0" xfId="0" applyNumberFormat="1" applyFont="1" applyAlignment="1" applyProtection="1">
      <alignment/>
      <protection/>
    </xf>
    <xf numFmtId="1" fontId="22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 quotePrefix="1">
      <alignment/>
    </xf>
    <xf numFmtId="1" fontId="21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1" fontId="12" fillId="2" borderId="3" xfId="0" applyFont="1" applyFill="1" applyBorder="1" applyAlignment="1">
      <alignment horizontal="center"/>
    </xf>
    <xf numFmtId="181" fontId="5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" fontId="12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" fontId="16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188" fontId="5" fillId="0" borderId="0" xfId="0" applyNumberFormat="1" applyFont="1" applyAlignment="1">
      <alignment horizontal="left"/>
    </xf>
    <xf numFmtId="2" fontId="24" fillId="0" borderId="0" xfId="0" applyNumberFormat="1" applyFont="1" applyAlignment="1">
      <alignment/>
    </xf>
    <xf numFmtId="175" fontId="16" fillId="0" borderId="0" xfId="0" applyNumberFormat="1" applyFont="1" applyAlignment="1" quotePrefix="1">
      <alignment horizontal="center"/>
    </xf>
    <xf numFmtId="2" fontId="4" fillId="0" borderId="0" xfId="0" applyNumberFormat="1" applyFont="1" applyAlignment="1" quotePrefix="1">
      <alignment horizontal="center"/>
    </xf>
    <xf numFmtId="2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2" borderId="1" xfId="0" applyNumberFormat="1" applyFont="1" applyFill="1" applyBorder="1" applyAlignment="1" applyProtection="1">
      <alignment/>
      <protection/>
    </xf>
    <xf numFmtId="4" fontId="2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18" fillId="0" borderId="0" xfId="0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1" fontId="8" fillId="0" borderId="0" xfId="0" applyFont="1" applyAlignment="1">
      <alignment/>
    </xf>
    <xf numFmtId="1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" fontId="9" fillId="0" borderId="0" xfId="0" applyFont="1" applyAlignment="1">
      <alignment/>
    </xf>
    <xf numFmtId="1" fontId="8" fillId="3" borderId="0" xfId="0" applyFont="1" applyFill="1" applyAlignment="1">
      <alignment/>
    </xf>
    <xf numFmtId="4" fontId="8" fillId="3" borderId="0" xfId="0" applyNumberFormat="1" applyFont="1" applyFill="1" applyAlignment="1">
      <alignment/>
    </xf>
    <xf numFmtId="2" fontId="9" fillId="3" borderId="0" xfId="0" applyNumberFormat="1" applyFont="1" applyFill="1" applyAlignment="1">
      <alignment/>
    </xf>
    <xf numFmtId="180" fontId="11" fillId="0" borderId="0" xfId="0" applyNumberFormat="1" applyFont="1" applyAlignment="1">
      <alignment/>
    </xf>
    <xf numFmtId="1" fontId="12" fillId="0" borderId="0" xfId="0" applyFont="1" applyAlignment="1">
      <alignment horizontal="right"/>
    </xf>
    <xf numFmtId="189" fontId="11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6" fontId="11" fillId="0" borderId="0" xfId="0" applyNumberFormat="1" applyFont="1" applyAlignment="1" quotePrefix="1">
      <alignment/>
    </xf>
    <xf numFmtId="4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17" fillId="0" borderId="0" xfId="0" applyNumberFormat="1" applyFont="1" applyAlignment="1">
      <alignment/>
    </xf>
  </cellXfs>
  <cellStyles count="3">
    <cellStyle name="Normal" xfId="0"/>
    <cellStyle name="Comma" xfId="15"/>
    <cellStyle name="Currency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6"/>
  <sheetViews>
    <sheetView tabSelected="1" workbookViewId="0" topLeftCell="A1">
      <selection activeCell="C36" sqref="C36"/>
    </sheetView>
  </sheetViews>
  <sheetFormatPr defaultColWidth="8.796875" defaultRowHeight="12"/>
  <cols>
    <col min="1" max="1" width="6.09765625" style="0" customWidth="1"/>
    <col min="2" max="2" width="17.8984375" style="0" customWidth="1"/>
    <col min="3" max="3" width="10.19921875" style="0" customWidth="1"/>
    <col min="4" max="4" width="10.296875" style="0" customWidth="1"/>
    <col min="8" max="8" width="8.8984375" style="204" customWidth="1"/>
  </cols>
  <sheetData>
    <row r="1" spans="1:4" ht="11.25">
      <c r="A1" s="72" t="s">
        <v>202</v>
      </c>
      <c r="B1" s="16"/>
      <c r="C1" s="16"/>
      <c r="D1" s="72" t="s">
        <v>6</v>
      </c>
    </row>
    <row r="2" spans="1:4" ht="11.25">
      <c r="A2" s="16"/>
      <c r="B2" s="16"/>
      <c r="C2" s="16"/>
      <c r="D2" s="16"/>
    </row>
    <row r="3" spans="1:4" ht="11.25">
      <c r="A3" s="16"/>
      <c r="B3" s="16"/>
      <c r="C3" s="16"/>
      <c r="D3" s="16"/>
    </row>
    <row r="4" spans="1:4" ht="11.25">
      <c r="A4" s="16"/>
      <c r="B4" s="72" t="s">
        <v>460</v>
      </c>
      <c r="C4" s="72"/>
      <c r="D4" s="16"/>
    </row>
    <row r="5" spans="1:4" ht="11.25">
      <c r="A5" s="16"/>
      <c r="B5" s="16"/>
      <c r="C5" s="16"/>
      <c r="D5" s="16"/>
    </row>
    <row r="6" spans="1:4" ht="11.25">
      <c r="A6" s="16"/>
      <c r="B6" s="16"/>
      <c r="C6" s="16"/>
      <c r="D6" s="16"/>
    </row>
    <row r="7" spans="1:4" ht="11.25">
      <c r="A7" s="16"/>
      <c r="B7" s="16"/>
      <c r="C7" s="16"/>
      <c r="D7" s="177"/>
    </row>
    <row r="8" spans="1:4" ht="11.25">
      <c r="A8" s="72" t="s">
        <v>48</v>
      </c>
      <c r="B8" s="16"/>
      <c r="C8" s="16"/>
      <c r="D8" s="177"/>
    </row>
    <row r="9" spans="1:8" ht="11.25">
      <c r="A9" s="177" t="s">
        <v>49</v>
      </c>
      <c r="B9" s="72" t="s">
        <v>33</v>
      </c>
      <c r="C9" s="195" t="s">
        <v>462</v>
      </c>
      <c r="D9" s="193" t="s">
        <v>461</v>
      </c>
      <c r="E9" s="195"/>
      <c r="F9" s="195"/>
      <c r="G9" s="195"/>
      <c r="H9" s="196" t="s">
        <v>3</v>
      </c>
    </row>
    <row r="10" spans="1:4" ht="11.25">
      <c r="A10" s="16"/>
      <c r="B10" s="16"/>
      <c r="C10" s="16"/>
      <c r="D10" s="16"/>
    </row>
    <row r="11" spans="1:8" ht="11.25">
      <c r="A11" s="18">
        <v>31100</v>
      </c>
      <c r="B11" s="16" t="s">
        <v>50</v>
      </c>
      <c r="C11" s="178">
        <f>'Calc-Monthly Reporting'!C97*(8.18)</f>
        <v>77489.14</v>
      </c>
      <c r="D11" s="178">
        <f>'Calc-Monthly Reporting'!D97*(8.18/2)</f>
        <v>40298.77</v>
      </c>
      <c r="H11" s="205">
        <f>C11+D11</f>
        <v>117787.91</v>
      </c>
    </row>
    <row r="12" spans="1:4" ht="11.25">
      <c r="A12" s="18"/>
      <c r="B12" s="16" t="s">
        <v>0</v>
      </c>
      <c r="C12" s="16"/>
      <c r="D12" s="178" t="s">
        <v>0</v>
      </c>
    </row>
    <row r="13" spans="1:8" ht="11.25">
      <c r="A13" s="18"/>
      <c r="B13" s="72" t="s">
        <v>5</v>
      </c>
      <c r="C13" s="179">
        <f>SUM(C11:C12)</f>
        <v>77489.14</v>
      </c>
      <c r="D13" s="179">
        <f>SUM(D11:D12)</f>
        <v>40298.77</v>
      </c>
      <c r="H13" s="204">
        <f>SUM(C13:G13)</f>
        <v>117787.91</v>
      </c>
    </row>
    <row r="14" spans="1:4" ht="11.25">
      <c r="A14" s="18"/>
      <c r="B14" s="16"/>
      <c r="C14" s="16"/>
      <c r="D14" s="16"/>
    </row>
    <row r="15" spans="1:8" ht="11.25">
      <c r="A15" s="18">
        <v>41800</v>
      </c>
      <c r="B15" s="16" t="s">
        <v>395</v>
      </c>
      <c r="C15" s="178">
        <f>'Calc-Monthly Reporting'!C34</f>
        <v>4498</v>
      </c>
      <c r="D15" s="178">
        <f>'Calc-Monthly Reporting'!D34</f>
        <v>1544.472</v>
      </c>
      <c r="H15" s="205">
        <f>SUM(C15:G15)</f>
        <v>6042.472</v>
      </c>
    </row>
    <row r="16" spans="1:8" ht="11.25">
      <c r="A16" s="18">
        <v>42300</v>
      </c>
      <c r="B16" s="16" t="s">
        <v>421</v>
      </c>
      <c r="C16" s="178">
        <f>Calculations!C97</f>
        <v>0</v>
      </c>
      <c r="D16" s="178">
        <f>Calculations!D97</f>
        <v>0</v>
      </c>
      <c r="H16" s="205">
        <f aca="true" t="shared" si="0" ref="H16:H38">SUM(C16:G16)</f>
        <v>0</v>
      </c>
    </row>
    <row r="17" spans="1:8" ht="11.25">
      <c r="A17" s="18">
        <v>42310</v>
      </c>
      <c r="B17" s="16" t="s">
        <v>34</v>
      </c>
      <c r="C17" s="178">
        <f>'Calc-Monthly Reporting'!C18</f>
        <v>14751.210000000001</v>
      </c>
      <c r="D17" s="178">
        <f>'Calc-Monthly Reporting'!D18</f>
        <v>7317.938</v>
      </c>
      <c r="H17" s="205">
        <f t="shared" si="0"/>
        <v>22069.148</v>
      </c>
    </row>
    <row r="18" spans="1:8" ht="11.25">
      <c r="A18" s="18">
        <v>42400</v>
      </c>
      <c r="B18" s="16" t="s">
        <v>148</v>
      </c>
      <c r="C18" s="178">
        <f>'Calc-Monthly Reporting'!C25</f>
        <v>8019.927499999999</v>
      </c>
      <c r="D18" s="178">
        <f>'Calc-Monthly Reporting'!D25</f>
        <v>3833.25</v>
      </c>
      <c r="H18" s="205">
        <f t="shared" si="0"/>
        <v>11853.177499999998</v>
      </c>
    </row>
    <row r="19" spans="1:8" ht="11.25">
      <c r="A19" s="18">
        <v>42800</v>
      </c>
      <c r="B19" s="16" t="s">
        <v>405</v>
      </c>
      <c r="C19" s="178">
        <f>'Calc-Monthly Reporting'!C58</f>
        <v>218.92156862745097</v>
      </c>
      <c r="D19" s="178">
        <f>'Calc-Monthly Reporting'!D58</f>
        <v>218.92156862745097</v>
      </c>
      <c r="H19" s="205">
        <f t="shared" si="0"/>
        <v>437.84313725490193</v>
      </c>
    </row>
    <row r="20" spans="1:8" ht="11.25">
      <c r="A20" s="18">
        <v>42810</v>
      </c>
      <c r="B20" s="16" t="s">
        <v>396</v>
      </c>
      <c r="C20" s="178">
        <f>'Calc-Monthly Reporting'!C113</f>
        <v>11720.8093</v>
      </c>
      <c r="D20" s="178">
        <f>'Calc-Monthly Reporting'!D113</f>
        <v>3684.0962</v>
      </c>
      <c r="H20" s="205">
        <f t="shared" si="0"/>
        <v>15404.9055</v>
      </c>
    </row>
    <row r="21" spans="1:8" ht="11.25">
      <c r="A21" s="18">
        <v>44300</v>
      </c>
      <c r="B21" s="16" t="s">
        <v>35</v>
      </c>
      <c r="C21" s="178">
        <f>C11*0.004</f>
        <v>309.95656</v>
      </c>
      <c r="D21" s="178">
        <f>D11*0.004</f>
        <v>161.19508</v>
      </c>
      <c r="H21" s="205">
        <f t="shared" si="0"/>
        <v>471.15164000000004</v>
      </c>
    </row>
    <row r="22" spans="1:8" ht="11.25">
      <c r="A22" s="18">
        <v>45300</v>
      </c>
      <c r="B22" s="16" t="s">
        <v>36</v>
      </c>
      <c r="C22" s="178">
        <f>'Calc-Monthly Reporting'!C48</f>
        <v>833.3499999999999</v>
      </c>
      <c r="D22" s="178">
        <f>'Calc-Monthly Reporting'!D48</f>
        <v>833.3499999999999</v>
      </c>
      <c r="H22" s="205">
        <f t="shared" si="0"/>
        <v>1666.6999999999998</v>
      </c>
    </row>
    <row r="23" spans="1:8" ht="11.25">
      <c r="A23" s="18">
        <v>45400</v>
      </c>
      <c r="B23" s="16" t="s">
        <v>37</v>
      </c>
      <c r="C23" s="178">
        <f>'Calc-Monthly Reporting'!C53</f>
        <v>242.25</v>
      </c>
      <c r="D23" s="178">
        <f>'Calc-Monthly Reporting'!D53</f>
        <v>242.25</v>
      </c>
      <c r="H23" s="205">
        <f t="shared" si="0"/>
        <v>484.5</v>
      </c>
    </row>
    <row r="24" spans="1:8" ht="11.25">
      <c r="A24" s="18">
        <v>46130</v>
      </c>
      <c r="B24" s="16" t="s">
        <v>38</v>
      </c>
      <c r="C24" s="178">
        <f>'Calc-Monthly Reporting'!C74</f>
        <v>1166</v>
      </c>
      <c r="D24" s="178">
        <f>'Calc-Monthly Reporting'!D74</f>
        <v>1166</v>
      </c>
      <c r="H24" s="205">
        <f t="shared" si="0"/>
        <v>2332</v>
      </c>
    </row>
    <row r="25" spans="1:8" ht="11.25">
      <c r="A25" s="18">
        <v>46200</v>
      </c>
      <c r="B25" s="16" t="s">
        <v>39</v>
      </c>
      <c r="C25" s="178">
        <f>'Calc-Monthly Reporting'!C94</f>
        <v>150</v>
      </c>
      <c r="D25" s="178">
        <f>'Calc-Monthly Reporting'!D94</f>
        <v>150</v>
      </c>
      <c r="H25" s="205">
        <f t="shared" si="0"/>
        <v>300</v>
      </c>
    </row>
    <row r="26" spans="1:8" ht="11.25">
      <c r="A26" s="18">
        <v>46500</v>
      </c>
      <c r="B26" s="16" t="s">
        <v>40</v>
      </c>
      <c r="C26" s="178">
        <f>'Calc-Monthly Reporting'!C86</f>
        <v>1075.5</v>
      </c>
      <c r="D26" s="178">
        <f>'Calc-Monthly Reporting'!D86</f>
        <v>1075.5</v>
      </c>
      <c r="H26" s="205">
        <f t="shared" si="0"/>
        <v>2151</v>
      </c>
    </row>
    <row r="27" spans="1:8" ht="11.25">
      <c r="A27" s="18">
        <v>46510</v>
      </c>
      <c r="B27" s="16" t="s">
        <v>32</v>
      </c>
      <c r="C27" s="178">
        <f>'Calc-Monthly Reporting'!C88</f>
        <v>195.78168300000002</v>
      </c>
      <c r="D27" s="178">
        <f>'Calc-Monthly Reporting'!D88</f>
        <v>104.3524374</v>
      </c>
      <c r="H27" s="205">
        <f t="shared" si="0"/>
        <v>300.13412040000003</v>
      </c>
    </row>
    <row r="28" spans="1:8" ht="11.25">
      <c r="A28" s="18">
        <v>46700</v>
      </c>
      <c r="B28" s="16" t="s">
        <v>41</v>
      </c>
      <c r="C28" s="178">
        <f>C13*0.004</f>
        <v>309.95656</v>
      </c>
      <c r="D28" s="178">
        <f>D13*0.004</f>
        <v>161.19508</v>
      </c>
      <c r="H28" s="205">
        <f t="shared" si="0"/>
        <v>471.15164000000004</v>
      </c>
    </row>
    <row r="29" spans="1:8" ht="11.25">
      <c r="A29" s="18">
        <v>46910</v>
      </c>
      <c r="B29" s="16" t="s">
        <v>149</v>
      </c>
      <c r="C29" s="178">
        <f>C11*0.035</f>
        <v>2712.1199</v>
      </c>
      <c r="D29" s="178">
        <f>D11*0.035</f>
        <v>1410.45695</v>
      </c>
      <c r="H29" s="205">
        <f t="shared" si="0"/>
        <v>4122.57685</v>
      </c>
    </row>
    <row r="30" spans="1:8" ht="11.25">
      <c r="A30" s="18">
        <v>50200</v>
      </c>
      <c r="B30" s="16" t="s">
        <v>42</v>
      </c>
      <c r="C30" s="178">
        <f>('Depr-Revised'!P19+'Depr-Revised'!P23)</f>
        <v>12399.463428571427</v>
      </c>
      <c r="D30" s="178">
        <f>('Depr-Revised'!P19+'Depr-Revised'!P23)/2</f>
        <v>6199.731714285714</v>
      </c>
      <c r="H30" s="205">
        <f t="shared" si="0"/>
        <v>18599.19514285714</v>
      </c>
    </row>
    <row r="31" spans="1:8" ht="11.25">
      <c r="A31" s="18">
        <v>50300</v>
      </c>
      <c r="B31" s="16" t="s">
        <v>195</v>
      </c>
      <c r="C31" s="178">
        <f>('Depr-Revised'!P25+'Depr-Revised'!P27)</f>
        <v>155.7215</v>
      </c>
      <c r="D31" s="178">
        <f>('Depr-Revised'!P25+'Depr-Revised'!P27)/2</f>
        <v>77.86075</v>
      </c>
      <c r="H31" s="205">
        <f t="shared" si="0"/>
        <v>233.58225</v>
      </c>
    </row>
    <row r="32" spans="1:8" ht="11.25">
      <c r="A32" s="18">
        <v>50500</v>
      </c>
      <c r="B32" s="16" t="s">
        <v>43</v>
      </c>
      <c r="C32" s="178">
        <f>'Depr-Revised'!P31</f>
        <v>34.285714285714285</v>
      </c>
      <c r="D32" s="178">
        <f>'Depr-Revised'!P31</f>
        <v>34.285714285714285</v>
      </c>
      <c r="H32" s="205">
        <f t="shared" si="0"/>
        <v>68.57142857142857</v>
      </c>
    </row>
    <row r="33" spans="1:8" ht="11.25">
      <c r="A33" s="18">
        <v>51500</v>
      </c>
      <c r="B33" s="16" t="s">
        <v>394</v>
      </c>
      <c r="C33" s="178">
        <f>'Depr-Revised'!P34</f>
        <v>897.1423333333333</v>
      </c>
      <c r="D33" s="178">
        <f>'Depr-Revised'!P34/2</f>
        <v>448.57116666666667</v>
      </c>
      <c r="H33" s="205">
        <f t="shared" si="0"/>
        <v>1345.7135</v>
      </c>
    </row>
    <row r="34" spans="1:8" ht="11.25">
      <c r="A34" s="18">
        <v>52030</v>
      </c>
      <c r="B34" s="16" t="s">
        <v>44</v>
      </c>
      <c r="C34" s="178">
        <f>(C11*0.015)+('Calc-Monthly Reporting'!C127*0.7*0.00483)</f>
        <v>1232.9165018096999</v>
      </c>
      <c r="D34" s="178">
        <f>(D11*0.015)+('Calc-Monthly Reporting'!D127*0.7*0.00483)</f>
        <v>627.4603528596</v>
      </c>
      <c r="H34" s="205">
        <f t="shared" si="0"/>
        <v>1860.3768546693</v>
      </c>
    </row>
    <row r="35" spans="1:8" ht="11.25">
      <c r="A35" s="18">
        <v>52200</v>
      </c>
      <c r="B35" s="16" t="s">
        <v>45</v>
      </c>
      <c r="C35" s="178">
        <f>'Calc-Monthly Reporting'!C44</f>
        <v>444.3333333333333</v>
      </c>
      <c r="D35" s="178">
        <f>'Calc-Monthly Reporting'!D44</f>
        <v>444.3333333333333</v>
      </c>
      <c r="H35" s="205">
        <f t="shared" si="0"/>
        <v>888.6666666666666</v>
      </c>
    </row>
    <row r="36" spans="1:8" ht="11.25">
      <c r="A36" s="18">
        <v>52300</v>
      </c>
      <c r="B36" s="16" t="s">
        <v>2</v>
      </c>
      <c r="C36" s="178">
        <f>('Depr-Revised'!M23+'Depr-Revised'!M31+'Depr-Revised'!M27+'Depr-Revised'!M25)*0.0115/12</f>
        <v>499.6809225</v>
      </c>
      <c r="D36" s="178">
        <f>('Depr-Revised'!M23+'Depr-Revised'!M31+'Depr-Revised'!M27+'Depr-Revised'!M25)*0.0115/12</f>
        <v>499.6809225</v>
      </c>
      <c r="H36" s="205">
        <f t="shared" si="0"/>
        <v>999.361845</v>
      </c>
    </row>
    <row r="37" spans="1:8" ht="11.25">
      <c r="A37" s="18">
        <v>52400</v>
      </c>
      <c r="B37" s="16" t="s">
        <v>150</v>
      </c>
      <c r="C37" s="178">
        <f>'Calc-Monthly Reporting'!C81</f>
        <v>1299.151963</v>
      </c>
      <c r="D37" s="178">
        <f>'Calc-Monthly Reporting'!D81</f>
        <v>702.2602214</v>
      </c>
      <c r="H37" s="205">
        <f t="shared" si="0"/>
        <v>2001.4121844000001</v>
      </c>
    </row>
    <row r="38" spans="1:8" ht="11.25">
      <c r="A38" s="18">
        <v>52410</v>
      </c>
      <c r="B38" s="16" t="s">
        <v>151</v>
      </c>
      <c r="C38" s="178">
        <f>'Calc-Monthly Reporting'!C63</f>
        <v>3000</v>
      </c>
      <c r="D38" s="178">
        <f>'Calc-Monthly Reporting'!D63</f>
        <v>3000</v>
      </c>
      <c r="H38" s="205">
        <f t="shared" si="0"/>
        <v>6000</v>
      </c>
    </row>
    <row r="39" spans="1:8" ht="11.25">
      <c r="A39" s="18"/>
      <c r="B39" s="72" t="s">
        <v>46</v>
      </c>
      <c r="C39" s="179">
        <f>SUM(C15:C38)</f>
        <v>66166.47876846095</v>
      </c>
      <c r="D39" s="179">
        <f>SUM(D15:D38)</f>
        <v>33937.16149135848</v>
      </c>
      <c r="H39" s="179">
        <f>SUM(H15:H38)</f>
        <v>100103.64025981945</v>
      </c>
    </row>
    <row r="40" spans="1:4" ht="11.25">
      <c r="A40" s="18"/>
      <c r="B40" s="16"/>
      <c r="C40" s="178"/>
      <c r="D40" s="178"/>
    </row>
    <row r="41" spans="1:8" ht="11.25">
      <c r="A41" s="18"/>
      <c r="B41" s="72" t="s">
        <v>47</v>
      </c>
      <c r="C41" s="179">
        <f>(C11-C39)</f>
        <v>11322.661231539052</v>
      </c>
      <c r="D41" s="179">
        <f>(D11-D39)</f>
        <v>6361.608508641519</v>
      </c>
      <c r="H41" s="179">
        <f>(H11-H39)</f>
        <v>17684.26974018055</v>
      </c>
    </row>
    <row r="42" spans="1:4" ht="11.25">
      <c r="A42" s="18"/>
      <c r="B42" s="16"/>
      <c r="C42" s="16"/>
      <c r="D42" s="16"/>
    </row>
    <row r="43" spans="1:8" ht="11.25">
      <c r="A43" s="57"/>
      <c r="B43" s="57" t="s">
        <v>480</v>
      </c>
      <c r="C43" s="180">
        <f>C39/C11</f>
        <v>0.8538806698391664</v>
      </c>
      <c r="D43" s="180">
        <f>D39/D11</f>
        <v>0.8421388913695996</v>
      </c>
      <c r="H43" s="180">
        <f>H39/H11</f>
        <v>0.8498634559338004</v>
      </c>
    </row>
    <row r="44" spans="1:4" ht="11.25">
      <c r="A44" s="57"/>
      <c r="B44" s="57"/>
      <c r="C44" s="57"/>
      <c r="D44" s="57"/>
    </row>
    <row r="45" spans="1:4" ht="11.25">
      <c r="A45" s="57"/>
      <c r="B45" s="57"/>
      <c r="C45" s="57"/>
      <c r="D45" s="180"/>
    </row>
    <row r="46" ht="11.25">
      <c r="D46" s="203"/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56">
      <selection activeCell="B143" sqref="B143"/>
    </sheetView>
  </sheetViews>
  <sheetFormatPr defaultColWidth="8.796875" defaultRowHeight="12"/>
  <cols>
    <col min="1" max="1" width="12.796875" style="1" customWidth="1"/>
    <col min="2" max="2" width="16.69921875" style="1" customWidth="1"/>
    <col min="3" max="5" width="12" style="1" customWidth="1"/>
    <col min="6" max="6" width="13.19921875" style="1" customWidth="1"/>
    <col min="7" max="16384" width="12" style="1" customWidth="1"/>
  </cols>
  <sheetData>
    <row r="1" ht="12">
      <c r="A1" s="1" t="s">
        <v>111</v>
      </c>
    </row>
    <row r="5" ht="12">
      <c r="A5" s="1" t="s">
        <v>112</v>
      </c>
    </row>
    <row r="6" spans="1:4" ht="12">
      <c r="A6" s="1" t="s">
        <v>116</v>
      </c>
      <c r="C6" s="13">
        <v>18.25</v>
      </c>
      <c r="D6" s="1">
        <v>18.25</v>
      </c>
    </row>
    <row r="7" spans="1:4" ht="12">
      <c r="A7" s="1" t="s">
        <v>120</v>
      </c>
      <c r="C7" s="13">
        <f>C6*1.5</f>
        <v>27.375</v>
      </c>
      <c r="D7" s="1">
        <f>18.25-13.75</f>
        <v>4.5</v>
      </c>
    </row>
    <row r="8" spans="1:3" ht="12">
      <c r="A8" s="1" t="s">
        <v>113</v>
      </c>
      <c r="C8" s="13">
        <v>3</v>
      </c>
    </row>
    <row r="9" spans="1:3" ht="12">
      <c r="A9" s="1" t="s">
        <v>381</v>
      </c>
      <c r="C9" s="13">
        <v>1</v>
      </c>
    </row>
    <row r="10" spans="1:3" ht="12">
      <c r="A10" s="1" t="s">
        <v>121</v>
      </c>
      <c r="C10" s="13">
        <v>40</v>
      </c>
    </row>
    <row r="11" spans="1:3" ht="12">
      <c r="A11" s="1" t="s">
        <v>122</v>
      </c>
      <c r="C11" s="13">
        <f>0.5*5</f>
        <v>2.5</v>
      </c>
    </row>
    <row r="12" spans="1:4" ht="12">
      <c r="A12" s="1" t="s">
        <v>115</v>
      </c>
      <c r="C12" s="13">
        <f>C10*C6*(C8+C9)</f>
        <v>2920</v>
      </c>
      <c r="D12" s="1" t="s">
        <v>0</v>
      </c>
    </row>
    <row r="13" spans="1:3" ht="12">
      <c r="A13" s="1" t="s">
        <v>114</v>
      </c>
      <c r="C13" s="13">
        <f>C11*C7*(C8+C9)</f>
        <v>273.75</v>
      </c>
    </row>
    <row r="14" spans="1:3" ht="12">
      <c r="A14" s="1" t="s">
        <v>117</v>
      </c>
      <c r="C14" s="13">
        <f>C12*4.33</f>
        <v>12643.6</v>
      </c>
    </row>
    <row r="15" spans="1:3" ht="12">
      <c r="A15" s="1" t="s">
        <v>118</v>
      </c>
      <c r="C15" s="13">
        <f>C13*4.33</f>
        <v>1185.3375</v>
      </c>
    </row>
    <row r="17" spans="1:4" ht="12">
      <c r="A17" s="1" t="s">
        <v>119</v>
      </c>
      <c r="D17" s="12">
        <f>(C14+C15)*12</f>
        <v>165947.25</v>
      </c>
    </row>
    <row r="19" ht="12">
      <c r="A19" s="1" t="s">
        <v>123</v>
      </c>
    </row>
    <row r="20" spans="1:5" ht="12">
      <c r="A20" s="1" t="s">
        <v>124</v>
      </c>
      <c r="C20" s="171">
        <v>2.529</v>
      </c>
      <c r="D20" s="1" t="s">
        <v>417</v>
      </c>
      <c r="E20" s="1" t="s">
        <v>0</v>
      </c>
    </row>
    <row r="21" spans="1:5" ht="12">
      <c r="A21" s="1" t="s">
        <v>125</v>
      </c>
      <c r="C21" s="13">
        <v>40</v>
      </c>
      <c r="E21" s="1" t="s">
        <v>0</v>
      </c>
    </row>
    <row r="22" spans="1:3" ht="12">
      <c r="A22" s="1" t="s">
        <v>126</v>
      </c>
      <c r="C22" s="13">
        <f>C21*4.33</f>
        <v>173.2</v>
      </c>
    </row>
    <row r="23" spans="1:3" ht="12">
      <c r="A23" s="1" t="s">
        <v>366</v>
      </c>
      <c r="C23" s="13">
        <v>4</v>
      </c>
    </row>
    <row r="24" spans="1:6" ht="12">
      <c r="A24" s="1" t="s">
        <v>127</v>
      </c>
      <c r="C24" s="13">
        <f>C22*C23</f>
        <v>692.8</v>
      </c>
      <c r="E24" s="1">
        <f>692.8*4</f>
        <v>2771.2</v>
      </c>
      <c r="F24" s="1" t="s">
        <v>373</v>
      </c>
    </row>
    <row r="25" spans="1:3" ht="12">
      <c r="A25" s="1" t="s">
        <v>128</v>
      </c>
      <c r="C25" s="13">
        <v>3</v>
      </c>
    </row>
    <row r="26" spans="1:3" ht="12">
      <c r="A26" s="1" t="s">
        <v>129</v>
      </c>
      <c r="C26" s="13">
        <f>C24*C25</f>
        <v>2078.3999999999996</v>
      </c>
    </row>
    <row r="27" spans="1:3" ht="12">
      <c r="A27" s="1" t="s">
        <v>130</v>
      </c>
      <c r="C27" s="13">
        <f>C26*C20</f>
        <v>5256.273599999999</v>
      </c>
    </row>
    <row r="28" spans="1:3" ht="12">
      <c r="A28" s="1" t="s">
        <v>370</v>
      </c>
      <c r="C28" s="13">
        <f>C27*12</f>
        <v>63075.28319999998</v>
      </c>
    </row>
    <row r="29" spans="1:3" ht="12">
      <c r="A29" s="1" t="s">
        <v>145</v>
      </c>
      <c r="C29" s="13">
        <v>1</v>
      </c>
    </row>
    <row r="30" spans="1:6" ht="12">
      <c r="A30" s="1" t="s">
        <v>367</v>
      </c>
      <c r="C30" s="13">
        <v>95</v>
      </c>
      <c r="E30" s="11">
        <v>260</v>
      </c>
      <c r="F30" s="1" t="s">
        <v>382</v>
      </c>
    </row>
    <row r="31" spans="1:6" ht="12">
      <c r="A31" s="1" t="s">
        <v>371</v>
      </c>
      <c r="C31" s="13">
        <f>260+E31+E32</f>
        <v>184.9492780625</v>
      </c>
      <c r="D31" s="167"/>
      <c r="E31" s="11">
        <f>-C37*4.5/8</f>
        <v>-60.05072193749999</v>
      </c>
      <c r="F31" s="1" t="s">
        <v>412</v>
      </c>
    </row>
    <row r="32" spans="1:6" ht="12">
      <c r="A32" s="1" t="s">
        <v>372</v>
      </c>
      <c r="C32" s="13">
        <f>C30*C31</f>
        <v>17570.181415937503</v>
      </c>
      <c r="E32" s="11">
        <v>-15</v>
      </c>
      <c r="F32" s="1" t="s">
        <v>420</v>
      </c>
    </row>
    <row r="33" spans="1:6" ht="12">
      <c r="A33" s="1" t="s">
        <v>368</v>
      </c>
      <c r="C33" s="13">
        <v>7.2</v>
      </c>
      <c r="E33" s="11">
        <f>SUM(E30:E32)</f>
        <v>184.9492780625</v>
      </c>
      <c r="F33" s="1" t="s">
        <v>383</v>
      </c>
    </row>
    <row r="34" spans="1:3" ht="12">
      <c r="A34" s="1" t="s">
        <v>369</v>
      </c>
      <c r="C34" s="171">
        <f>C20</f>
        <v>2.529</v>
      </c>
    </row>
    <row r="35" spans="1:3" ht="12">
      <c r="A35" s="1" t="s">
        <v>370</v>
      </c>
      <c r="C35" s="13">
        <f>C32/C33*C34</f>
        <v>6171.526222348047</v>
      </c>
    </row>
    <row r="36" spans="1:3" ht="12">
      <c r="A36" s="1" t="s">
        <v>377</v>
      </c>
      <c r="C36" s="13">
        <v>1</v>
      </c>
    </row>
    <row r="37" spans="1:6" ht="12">
      <c r="A37" s="1" t="s">
        <v>378</v>
      </c>
      <c r="C37" s="13">
        <f>C165</f>
        <v>106.75683899999999</v>
      </c>
      <c r="E37" s="1">
        <f>C37*4.5/8</f>
        <v>60.05072193749999</v>
      </c>
      <c r="F37" s="1" t="s">
        <v>414</v>
      </c>
    </row>
    <row r="38" spans="1:3" ht="12">
      <c r="A38" s="1" t="s">
        <v>379</v>
      </c>
      <c r="C38" s="13">
        <f>122/3.6</f>
        <v>33.888888888888886</v>
      </c>
    </row>
    <row r="39" spans="1:3" ht="12">
      <c r="A39" s="1" t="s">
        <v>370</v>
      </c>
      <c r="C39" s="13">
        <f>C38*C37*C20</f>
        <v>9149.594886494999</v>
      </c>
    </row>
    <row r="40" ht="12">
      <c r="C40" s="13"/>
    </row>
    <row r="41" spans="1:4" ht="12">
      <c r="A41" s="1" t="s">
        <v>131</v>
      </c>
      <c r="C41" s="13"/>
      <c r="D41" s="12">
        <f>C28+C35+C39</f>
        <v>78396.40430884303</v>
      </c>
    </row>
    <row r="42" ht="12">
      <c r="C42" s="13"/>
    </row>
    <row r="43" spans="1:3" ht="12">
      <c r="A43" s="1" t="s">
        <v>132</v>
      </c>
      <c r="C43" s="13"/>
    </row>
    <row r="44" spans="1:3" ht="12">
      <c r="A44" s="1" t="s">
        <v>400</v>
      </c>
      <c r="C44" s="13"/>
    </row>
    <row r="45" spans="1:6" ht="12">
      <c r="A45" s="1" t="s">
        <v>388</v>
      </c>
      <c r="C45" s="13">
        <v>3</v>
      </c>
      <c r="E45" s="11">
        <v>636231</v>
      </c>
      <c r="F45" s="1" t="s">
        <v>392</v>
      </c>
    </row>
    <row r="46" spans="1:6" ht="12">
      <c r="A46" s="1" t="s">
        <v>133</v>
      </c>
      <c r="C46" s="13">
        <f>C24</f>
        <v>692.8</v>
      </c>
      <c r="E46" s="11">
        <v>-336532</v>
      </c>
      <c r="F46" s="1" t="s">
        <v>397</v>
      </c>
    </row>
    <row r="47" spans="1:6" ht="12">
      <c r="A47" s="1" t="s">
        <v>393</v>
      </c>
      <c r="C47" s="13">
        <f>C24*4</f>
        <v>2771.2</v>
      </c>
      <c r="E47" s="11">
        <f>SUM(E45:E46)</f>
        <v>299699</v>
      </c>
      <c r="F47" s="1" t="s">
        <v>138</v>
      </c>
    </row>
    <row r="48" spans="1:6" ht="12">
      <c r="A48" s="1" t="s">
        <v>389</v>
      </c>
      <c r="C48" s="13">
        <f>C47*C45</f>
        <v>8313.599999999999</v>
      </c>
      <c r="E48" s="11">
        <v>395178</v>
      </c>
      <c r="F48" s="1" t="s">
        <v>136</v>
      </c>
    </row>
    <row r="49" spans="1:6" ht="12">
      <c r="A49" s="1" t="s">
        <v>386</v>
      </c>
      <c r="C49" s="13">
        <f>C32/12</f>
        <v>1464.1817846614586</v>
      </c>
      <c r="E49" s="1">
        <f>E47/E48</f>
        <v>0.7583898901254624</v>
      </c>
      <c r="F49" s="1" t="s">
        <v>137</v>
      </c>
    </row>
    <row r="50" spans="1:3" ht="12">
      <c r="A50" s="1" t="s">
        <v>387</v>
      </c>
      <c r="C50" s="13">
        <f>C37*122/12</f>
        <v>1085.3611964999998</v>
      </c>
    </row>
    <row r="51" spans="1:3" ht="12">
      <c r="A51" s="1" t="s">
        <v>134</v>
      </c>
      <c r="C51" s="13">
        <f>C48+C49+C50</f>
        <v>10863.142981161456</v>
      </c>
    </row>
    <row r="52" spans="1:6" ht="12">
      <c r="A52" s="1" t="s">
        <v>391</v>
      </c>
      <c r="C52" s="13">
        <v>0.76</v>
      </c>
      <c r="E52" s="162">
        <v>4</v>
      </c>
      <c r="F52" s="166" t="s">
        <v>384</v>
      </c>
    </row>
    <row r="53" spans="1:3" ht="12">
      <c r="A53" s="1" t="s">
        <v>390</v>
      </c>
      <c r="C53" s="13">
        <f>C51*C52</f>
        <v>8255.988665682708</v>
      </c>
    </row>
    <row r="54" ht="12">
      <c r="C54" s="13"/>
    </row>
    <row r="55" spans="1:4" ht="12">
      <c r="A55" s="1" t="s">
        <v>135</v>
      </c>
      <c r="C55" s="13"/>
      <c r="D55" s="12">
        <f>C53*12</f>
        <v>99071.86398819249</v>
      </c>
    </row>
    <row r="56" ht="12">
      <c r="C56" s="13"/>
    </row>
    <row r="57" spans="1:3" ht="12">
      <c r="A57" s="1" t="s">
        <v>144</v>
      </c>
      <c r="C57" s="13"/>
    </row>
    <row r="58" spans="1:3" ht="12">
      <c r="A58" s="1" t="s">
        <v>398</v>
      </c>
      <c r="C58" s="13">
        <v>3</v>
      </c>
    </row>
    <row r="59" spans="1:3" ht="12">
      <c r="A59" s="1" t="s">
        <v>146</v>
      </c>
      <c r="C59" s="13">
        <v>825</v>
      </c>
    </row>
    <row r="60" spans="1:3" ht="12">
      <c r="A60" s="1" t="s">
        <v>385</v>
      </c>
      <c r="C60" s="13">
        <v>1</v>
      </c>
    </row>
    <row r="61" spans="1:3" ht="12">
      <c r="A61" s="1" t="s">
        <v>399</v>
      </c>
      <c r="C61" s="13">
        <v>1832</v>
      </c>
    </row>
    <row r="62" spans="1:4" ht="12">
      <c r="A62" s="1" t="s">
        <v>413</v>
      </c>
      <c r="C62" s="13">
        <v>550</v>
      </c>
      <c r="D62" s="1" t="s">
        <v>0</v>
      </c>
    </row>
    <row r="63" spans="1:3" ht="12">
      <c r="A63" s="1" t="s">
        <v>145</v>
      </c>
      <c r="C63" s="13">
        <v>1</v>
      </c>
    </row>
    <row r="64" spans="1:3" ht="12">
      <c r="A64" s="1" t="s">
        <v>146</v>
      </c>
      <c r="C64" s="13">
        <v>475</v>
      </c>
    </row>
    <row r="65" ht="12">
      <c r="C65" s="13"/>
    </row>
    <row r="66" spans="1:4" ht="12">
      <c r="A66" s="1" t="s">
        <v>147</v>
      </c>
      <c r="C66" s="13"/>
      <c r="D66" s="12">
        <f>C59*C58+C61+C62+C64</f>
        <v>5332</v>
      </c>
    </row>
    <row r="67" ht="12">
      <c r="C67" s="13"/>
    </row>
    <row r="68" spans="1:3" ht="12">
      <c r="A68" s="1" t="s">
        <v>264</v>
      </c>
      <c r="C68" s="13"/>
    </row>
    <row r="69" spans="1:3" ht="12">
      <c r="A69" s="1" t="s">
        <v>265</v>
      </c>
      <c r="C69" s="13">
        <v>2000</v>
      </c>
    </row>
    <row r="70" ht="12">
      <c r="C70" s="13"/>
    </row>
    <row r="71" spans="1:6" ht="12">
      <c r="A71" s="1" t="s">
        <v>266</v>
      </c>
      <c r="C71" s="13"/>
      <c r="D71" s="12">
        <f>C69*5</f>
        <v>10000</v>
      </c>
      <c r="E71" s="1">
        <v>166.67</v>
      </c>
      <c r="F71" s="1" t="s">
        <v>374</v>
      </c>
    </row>
    <row r="72" ht="12">
      <c r="C72" s="13"/>
    </row>
    <row r="73" spans="1:3" ht="12">
      <c r="A73" s="1" t="s">
        <v>267</v>
      </c>
      <c r="C73" s="13"/>
    </row>
    <row r="74" spans="1:3" ht="12">
      <c r="A74" s="1" t="s">
        <v>206</v>
      </c>
      <c r="C74" s="176">
        <v>4.5</v>
      </c>
    </row>
    <row r="75" spans="1:6" ht="12">
      <c r="A75" s="1" t="s">
        <v>268</v>
      </c>
      <c r="C75" s="13">
        <v>646</v>
      </c>
      <c r="E75" s="163">
        <v>0.055</v>
      </c>
      <c r="F75" s="1" t="s">
        <v>375</v>
      </c>
    </row>
    <row r="76" ht="12">
      <c r="C76" s="13"/>
    </row>
    <row r="77" spans="1:4" ht="12">
      <c r="A77" s="1" t="s">
        <v>269</v>
      </c>
      <c r="C77" s="13"/>
      <c r="D77" s="12">
        <f>C75*C74</f>
        <v>2907</v>
      </c>
    </row>
    <row r="78" spans="3:4" ht="12">
      <c r="C78" s="13"/>
      <c r="D78" s="12"/>
    </row>
    <row r="79" spans="1:4" ht="12">
      <c r="A79" s="1" t="s">
        <v>401</v>
      </c>
      <c r="C79" s="13"/>
      <c r="D79" s="12"/>
    </row>
    <row r="80" spans="1:4" ht="12">
      <c r="A80" s="1" t="s">
        <v>402</v>
      </c>
      <c r="C80" s="13">
        <f>11165/17/12</f>
        <v>54.73039215686274</v>
      </c>
      <c r="D80" s="12"/>
    </row>
    <row r="81" spans="1:4" ht="12">
      <c r="A81" s="1" t="s">
        <v>403</v>
      </c>
      <c r="C81" s="13">
        <f>4*C80</f>
        <v>218.92156862745097</v>
      </c>
      <c r="D81" s="12"/>
    </row>
    <row r="82" spans="3:4" ht="12">
      <c r="C82" s="13"/>
      <c r="D82" s="12"/>
    </row>
    <row r="83" spans="1:4" ht="12">
      <c r="A83" s="1" t="s">
        <v>404</v>
      </c>
      <c r="C83" s="13"/>
      <c r="D83" s="12">
        <f>C81*12</f>
        <v>2627.0588235294117</v>
      </c>
    </row>
    <row r="84" ht="12">
      <c r="C84" s="13"/>
    </row>
    <row r="85" spans="1:3" ht="12">
      <c r="A85" s="1" t="s">
        <v>139</v>
      </c>
      <c r="C85" s="13"/>
    </row>
    <row r="86" spans="1:5" ht="12">
      <c r="A86" s="1" t="s">
        <v>140</v>
      </c>
      <c r="C86" s="13">
        <v>2800</v>
      </c>
      <c r="E86" s="1" t="s">
        <v>376</v>
      </c>
    </row>
    <row r="87" spans="1:3" ht="12">
      <c r="A87" s="1" t="s">
        <v>141</v>
      </c>
      <c r="C87" s="13">
        <v>200</v>
      </c>
    </row>
    <row r="88" spans="1:3" ht="12">
      <c r="A88" s="1" t="s">
        <v>143</v>
      </c>
      <c r="C88" s="13">
        <f>SUM(C86:C87)</f>
        <v>3000</v>
      </c>
    </row>
    <row r="89" ht="12">
      <c r="C89" s="13"/>
    </row>
    <row r="90" spans="1:4" ht="12">
      <c r="A90" s="1" t="s">
        <v>142</v>
      </c>
      <c r="C90" s="13"/>
      <c r="D90" s="12">
        <f>C88*12</f>
        <v>36000</v>
      </c>
    </row>
    <row r="91" ht="12">
      <c r="C91" s="13"/>
    </row>
    <row r="92" spans="1:3" ht="12">
      <c r="A92" s="1" t="s">
        <v>422</v>
      </c>
      <c r="C92" s="13"/>
    </row>
    <row r="93" spans="1:3" ht="12">
      <c r="A93" s="1" t="s">
        <v>425</v>
      </c>
      <c r="C93" s="13">
        <v>2</v>
      </c>
    </row>
    <row r="94" spans="1:5" ht="12">
      <c r="A94" s="1" t="s">
        <v>424</v>
      </c>
      <c r="C94" s="13">
        <v>29.57</v>
      </c>
      <c r="E94" s="1">
        <f>2/8</f>
        <v>0.25</v>
      </c>
    </row>
    <row r="95" spans="1:3" ht="12">
      <c r="A95" s="1" t="s">
        <v>371</v>
      </c>
      <c r="C95" s="13">
        <v>260</v>
      </c>
    </row>
    <row r="96" ht="12">
      <c r="C96" s="13"/>
    </row>
    <row r="97" spans="1:4" ht="12">
      <c r="A97" s="1" t="s">
        <v>423</v>
      </c>
      <c r="C97" s="13"/>
      <c r="D97" s="12">
        <v>0</v>
      </c>
    </row>
    <row r="98" ht="12">
      <c r="C98" s="13"/>
    </row>
    <row r="99" spans="1:3" ht="12">
      <c r="A99" s="1" t="s">
        <v>203</v>
      </c>
      <c r="C99" s="13"/>
    </row>
    <row r="100" spans="1:3" ht="12">
      <c r="A100" s="1" t="s">
        <v>206</v>
      </c>
      <c r="C100" s="13">
        <v>1</v>
      </c>
    </row>
    <row r="101" spans="1:3" ht="12">
      <c r="A101" s="1" t="s">
        <v>205</v>
      </c>
      <c r="C101" s="13">
        <v>13.25</v>
      </c>
    </row>
    <row r="102" spans="1:3" ht="12">
      <c r="A102" s="1" t="s">
        <v>204</v>
      </c>
      <c r="C102" s="13">
        <v>20</v>
      </c>
    </row>
    <row r="103" spans="1:3" ht="12">
      <c r="A103" s="1" t="s">
        <v>207</v>
      </c>
      <c r="C103" s="13">
        <f>C102*4.33</f>
        <v>86.6</v>
      </c>
    </row>
    <row r="104" spans="1:3" ht="12">
      <c r="A104" s="1" t="s">
        <v>208</v>
      </c>
      <c r="C104" s="13">
        <f>C103*C101</f>
        <v>1147.4499999999998</v>
      </c>
    </row>
    <row r="105" ht="12">
      <c r="C105" s="13"/>
    </row>
    <row r="106" spans="1:5" ht="12">
      <c r="A106" s="1" t="s">
        <v>209</v>
      </c>
      <c r="C106" s="13"/>
      <c r="D106" s="12">
        <f>C104*12</f>
        <v>13769.399999999998</v>
      </c>
      <c r="E106" s="1">
        <v>27539</v>
      </c>
    </row>
    <row r="107" ht="12">
      <c r="C107" s="13"/>
    </row>
    <row r="108" spans="1:3" ht="12">
      <c r="A108" s="1" t="s">
        <v>224</v>
      </c>
      <c r="C108" s="13"/>
    </row>
    <row r="109" spans="1:3" ht="12">
      <c r="A109" s="1" t="s">
        <v>225</v>
      </c>
      <c r="C109" s="13">
        <f>D17+D106+D97</f>
        <v>179716.65</v>
      </c>
    </row>
    <row r="110" spans="1:3" ht="12">
      <c r="A110" s="1" t="s">
        <v>31</v>
      </c>
      <c r="C110" s="13">
        <f>C109*0.0765</f>
        <v>13748.323725</v>
      </c>
    </row>
    <row r="111" spans="1:3" ht="12">
      <c r="A111" s="1" t="s">
        <v>226</v>
      </c>
      <c r="C111" s="13">
        <f>+(35700*4+D106)*0.0038</f>
        <v>594.96372</v>
      </c>
    </row>
    <row r="112" spans="1:3" ht="12">
      <c r="A112" s="1" t="s">
        <v>227</v>
      </c>
      <c r="C112" s="13">
        <f>56*5</f>
        <v>280</v>
      </c>
    </row>
    <row r="113" spans="1:4" ht="12">
      <c r="A113" s="1" t="s">
        <v>228</v>
      </c>
      <c r="C113" s="13"/>
      <c r="D113" s="12">
        <f>SUM(C110:C112)</f>
        <v>14623.287445</v>
      </c>
    </row>
    <row r="114" ht="12">
      <c r="C114" s="13"/>
    </row>
    <row r="115" spans="1:3" ht="12">
      <c r="A115" s="1" t="s">
        <v>229</v>
      </c>
      <c r="C115" s="13"/>
    </row>
    <row r="116" spans="1:3" ht="12">
      <c r="A116" s="1" t="s">
        <v>206</v>
      </c>
      <c r="C116" s="176">
        <v>4.5</v>
      </c>
    </row>
    <row r="117" spans="1:3" ht="12">
      <c r="A117" s="1" t="s">
        <v>230</v>
      </c>
      <c r="C117" s="13">
        <v>239</v>
      </c>
    </row>
    <row r="118" spans="1:3" ht="12">
      <c r="A118" s="1" t="s">
        <v>231</v>
      </c>
      <c r="C118" s="13">
        <f>C117*C116</f>
        <v>1075.5</v>
      </c>
    </row>
    <row r="119" spans="1:3" ht="12">
      <c r="A119" s="1" t="s">
        <v>232</v>
      </c>
      <c r="C119" s="164">
        <v>0.0123</v>
      </c>
    </row>
    <row r="120" spans="1:3" ht="12">
      <c r="A120" s="1" t="s">
        <v>233</v>
      </c>
      <c r="C120" s="13">
        <f>(C14+C15+C104+D97/12)*C119</f>
        <v>184.20956625000002</v>
      </c>
    </row>
    <row r="121" spans="1:3" ht="12">
      <c r="A121" s="1" t="s">
        <v>234</v>
      </c>
      <c r="C121" s="13">
        <f>C118+C120</f>
        <v>1259.70956625</v>
      </c>
    </row>
    <row r="122" ht="12">
      <c r="C122" s="13"/>
    </row>
    <row r="123" spans="1:4" ht="12">
      <c r="A123" s="1" t="s">
        <v>418</v>
      </c>
      <c r="C123" s="13"/>
      <c r="D123" s="12">
        <f>C121*12</f>
        <v>15116.514795000001</v>
      </c>
    </row>
    <row r="124" ht="12">
      <c r="C124" s="13"/>
    </row>
    <row r="125" spans="1:3" ht="12">
      <c r="A125" s="1" t="s">
        <v>210</v>
      </c>
      <c r="C125" s="13"/>
    </row>
    <row r="126" spans="1:3" ht="12">
      <c r="A126" s="1" t="s">
        <v>213</v>
      </c>
      <c r="C126" s="13">
        <v>50</v>
      </c>
    </row>
    <row r="127" spans="1:3" ht="12">
      <c r="A127" s="1" t="s">
        <v>214</v>
      </c>
      <c r="C127" s="13">
        <v>100</v>
      </c>
    </row>
    <row r="128" spans="1:3" ht="12">
      <c r="A128" s="1" t="s">
        <v>211</v>
      </c>
      <c r="C128" s="13">
        <f>SUM(C126:C127)</f>
        <v>150</v>
      </c>
    </row>
    <row r="129" ht="12">
      <c r="C129" s="13"/>
    </row>
    <row r="130" spans="1:4" ht="12">
      <c r="A130" s="1" t="s">
        <v>212</v>
      </c>
      <c r="C130" s="13"/>
      <c r="D130" s="12">
        <f>C128*12</f>
        <v>1800</v>
      </c>
    </row>
    <row r="131" ht="12">
      <c r="C131" s="13"/>
    </row>
    <row r="132" spans="1:3" ht="12">
      <c r="A132" s="1" t="s">
        <v>215</v>
      </c>
      <c r="C132" s="13"/>
    </row>
    <row r="133" spans="1:3" ht="12">
      <c r="A133" s="1" t="s">
        <v>216</v>
      </c>
      <c r="C133" s="13">
        <v>1.5</v>
      </c>
    </row>
    <row r="134" spans="1:3" ht="12">
      <c r="A134" s="1" t="s">
        <v>220</v>
      </c>
      <c r="C134" s="13">
        <v>10275</v>
      </c>
    </row>
    <row r="135" spans="1:3" ht="12">
      <c r="A135" s="1" t="s">
        <v>221</v>
      </c>
      <c r="C135" s="13">
        <f>C134*C133</f>
        <v>15412.5</v>
      </c>
    </row>
    <row r="136" spans="1:3" ht="12">
      <c r="A136" s="1" t="s">
        <v>217</v>
      </c>
      <c r="C136" s="13">
        <v>1.5</v>
      </c>
    </row>
    <row r="137" spans="1:3" ht="12">
      <c r="A137" s="1" t="s">
        <v>218</v>
      </c>
      <c r="C137" s="13">
        <v>0.44</v>
      </c>
    </row>
    <row r="138" spans="1:3" ht="12">
      <c r="A138" s="1" t="s">
        <v>219</v>
      </c>
      <c r="C138" s="13">
        <v>10500</v>
      </c>
    </row>
    <row r="139" spans="1:3" ht="12">
      <c r="A139" s="1" t="s">
        <v>222</v>
      </c>
      <c r="C139" s="13">
        <f>(C136+C137)*C138</f>
        <v>20370</v>
      </c>
    </row>
    <row r="141" spans="1:4" ht="12">
      <c r="A141" s="1" t="s">
        <v>223</v>
      </c>
      <c r="D141" s="12">
        <f>C135+C139</f>
        <v>35782.5</v>
      </c>
    </row>
    <row r="143" ht="12">
      <c r="A143" s="1" t="s">
        <v>237</v>
      </c>
    </row>
    <row r="144" spans="1:5" ht="12">
      <c r="A144" s="1" t="s">
        <v>236</v>
      </c>
      <c r="C144" s="13">
        <v>10275</v>
      </c>
      <c r="E144" s="13"/>
    </row>
    <row r="145" spans="1:5" ht="12">
      <c r="A145" s="1" t="s">
        <v>238</v>
      </c>
      <c r="C145" s="13">
        <v>0.95</v>
      </c>
      <c r="E145" s="13"/>
    </row>
    <row r="146" spans="1:5" ht="12">
      <c r="A146" s="1" t="s">
        <v>239</v>
      </c>
      <c r="C146" s="13">
        <f>C144*C145</f>
        <v>9761.25</v>
      </c>
      <c r="E146" s="13">
        <f>C146/2/5/3</f>
        <v>325.375</v>
      </c>
    </row>
    <row r="147" spans="1:5" ht="12">
      <c r="A147" s="1" t="s">
        <v>241</v>
      </c>
      <c r="C147" s="13">
        <v>0.7</v>
      </c>
      <c r="E147" s="13"/>
    </row>
    <row r="148" spans="1:5" ht="12">
      <c r="A148" s="1" t="s">
        <v>242</v>
      </c>
      <c r="C148" s="13">
        <f>C146*C147</f>
        <v>6832.875</v>
      </c>
      <c r="E148" s="13">
        <f>C148/2/5/3</f>
        <v>227.76250000000002</v>
      </c>
    </row>
    <row r="149" spans="1:5" ht="12">
      <c r="A149" s="1" t="s">
        <v>243</v>
      </c>
      <c r="C149" s="13">
        <v>2.17</v>
      </c>
      <c r="E149" s="13"/>
    </row>
    <row r="150" spans="1:5" ht="12">
      <c r="A150" s="1" t="s">
        <v>244</v>
      </c>
      <c r="C150" s="11">
        <f>C148*C149</f>
        <v>14827.338749999999</v>
      </c>
      <c r="E150" s="13"/>
    </row>
    <row r="151" spans="1:5" ht="12">
      <c r="A151" s="1" t="s">
        <v>380</v>
      </c>
      <c r="C151" s="13">
        <v>24</v>
      </c>
      <c r="E151" s="13"/>
    </row>
    <row r="152" spans="1:5" ht="12">
      <c r="A152" s="1" t="s">
        <v>240</v>
      </c>
      <c r="C152" s="13">
        <f>C150*C151/2000</f>
        <v>177.928065</v>
      </c>
      <c r="E152" s="13"/>
    </row>
    <row r="153" spans="3:5" ht="12">
      <c r="C153" s="13"/>
      <c r="E153" s="13"/>
    </row>
    <row r="154" spans="1:5" ht="12">
      <c r="A154" s="1" t="s">
        <v>245</v>
      </c>
      <c r="C154" s="13"/>
      <c r="D154" s="12">
        <f>C152*12</f>
        <v>2135.13678</v>
      </c>
      <c r="E154" s="13"/>
    </row>
    <row r="155" spans="3:5" ht="12">
      <c r="C155" s="13"/>
      <c r="E155" s="13"/>
    </row>
    <row r="156" spans="1:3" ht="12">
      <c r="A156" s="1" t="s">
        <v>235</v>
      </c>
      <c r="C156" s="13"/>
    </row>
    <row r="157" spans="1:3" ht="12">
      <c r="A157" s="1" t="s">
        <v>246</v>
      </c>
      <c r="C157" s="11">
        <f>D154</f>
        <v>2135.13678</v>
      </c>
    </row>
    <row r="158" spans="1:3" ht="12">
      <c r="A158" s="1" t="s">
        <v>247</v>
      </c>
      <c r="C158" s="13">
        <v>62.89</v>
      </c>
    </row>
    <row r="159" ht="12">
      <c r="C159" s="13"/>
    </row>
    <row r="160" spans="1:4" ht="12">
      <c r="A160" s="1" t="s">
        <v>248</v>
      </c>
      <c r="C160" s="13"/>
      <c r="D160" s="12">
        <f>C157*C158</f>
        <v>134278.7520942</v>
      </c>
    </row>
    <row r="161" ht="12">
      <c r="C161" s="13"/>
    </row>
    <row r="162" spans="1:3" ht="12">
      <c r="A162" s="1" t="s">
        <v>249</v>
      </c>
      <c r="C162" s="13"/>
    </row>
    <row r="163" spans="1:3" ht="12">
      <c r="A163" s="1" t="s">
        <v>246</v>
      </c>
      <c r="C163" s="11">
        <f>C157</f>
        <v>2135.13678</v>
      </c>
    </row>
    <row r="164" spans="1:3" ht="12">
      <c r="A164" s="1" t="s">
        <v>250</v>
      </c>
      <c r="C164" s="13">
        <v>20</v>
      </c>
    </row>
    <row r="165" spans="1:3" ht="12">
      <c r="A165" s="1" t="s">
        <v>251</v>
      </c>
      <c r="C165" s="13">
        <f>C163/C164</f>
        <v>106.75683899999999</v>
      </c>
    </row>
    <row r="166" spans="1:3" ht="12">
      <c r="A166" s="1" t="s">
        <v>252</v>
      </c>
      <c r="C166" s="13">
        <v>4.5</v>
      </c>
    </row>
    <row r="167" spans="1:3" ht="12">
      <c r="A167" s="1" t="s">
        <v>253</v>
      </c>
      <c r="C167" s="13">
        <f>C165*C166</f>
        <v>480.40577549999995</v>
      </c>
    </row>
    <row r="168" spans="1:3" ht="12">
      <c r="A168" s="1" t="s">
        <v>260</v>
      </c>
      <c r="C168" s="13">
        <v>0</v>
      </c>
    </row>
    <row r="169" ht="12">
      <c r="C169" s="13"/>
    </row>
    <row r="170" spans="1:4" ht="12">
      <c r="A170" s="1" t="s">
        <v>254</v>
      </c>
      <c r="C170" s="13"/>
      <c r="D170" s="12">
        <f>C167*C168</f>
        <v>0</v>
      </c>
    </row>
    <row r="171" ht="12">
      <c r="C171" s="13"/>
    </row>
    <row r="172" spans="1:3" ht="12">
      <c r="A172" s="1" t="s">
        <v>255</v>
      </c>
      <c r="C172" s="13"/>
    </row>
    <row r="173" spans="1:3" ht="12">
      <c r="A173" s="1" t="s">
        <v>256</v>
      </c>
      <c r="C173" s="11">
        <f>C163</f>
        <v>2135.13678</v>
      </c>
    </row>
    <row r="174" spans="1:3" ht="12">
      <c r="A174" s="1" t="s">
        <v>259</v>
      </c>
      <c r="C174" s="1">
        <v>95</v>
      </c>
    </row>
    <row r="176" spans="1:5" ht="12">
      <c r="A176" s="1" t="s">
        <v>258</v>
      </c>
      <c r="D176" s="12">
        <f>C173*C174</f>
        <v>202837.99409999998</v>
      </c>
      <c r="E176" s="1">
        <f>D176*0.7</f>
        <v>141986.59587</v>
      </c>
    </row>
    <row r="177" ht="12">
      <c r="E177" s="1">
        <f>E176*0.00483</f>
        <v>685.7952580520999</v>
      </c>
    </row>
    <row r="178" spans="1:3" ht="12">
      <c r="A178" s="1" t="s">
        <v>257</v>
      </c>
      <c r="C178" s="11">
        <f>D176</f>
        <v>202837.99409999998</v>
      </c>
    </row>
    <row r="179" spans="1:3" ht="12">
      <c r="A179" s="1" t="s">
        <v>261</v>
      </c>
      <c r="C179" s="1">
        <v>0.7</v>
      </c>
    </row>
    <row r="180" spans="1:3" ht="12">
      <c r="A180" s="1" t="s">
        <v>263</v>
      </c>
      <c r="C180" s="1">
        <v>0.3</v>
      </c>
    </row>
    <row r="181" spans="1:3" ht="12">
      <c r="A181" s="1" t="s">
        <v>262</v>
      </c>
      <c r="C181" s="14">
        <f>C178*C179/C144/12</f>
        <v>1.1515539</v>
      </c>
    </row>
    <row r="182" spans="3:4" ht="12">
      <c r="C182" s="173">
        <f>C178/C144/12</f>
        <v>1.645077</v>
      </c>
      <c r="D182" s="1">
        <v>1</v>
      </c>
    </row>
    <row r="185" spans="1:3" ht="12">
      <c r="A185" s="1" t="s">
        <v>271</v>
      </c>
      <c r="C185" s="11">
        <v>4698</v>
      </c>
    </row>
    <row r="186" spans="1:3" ht="12">
      <c r="A186" s="1" t="s">
        <v>272</v>
      </c>
      <c r="C186" s="11">
        <v>830758</v>
      </c>
    </row>
    <row r="187" spans="3:4" ht="12">
      <c r="C187" s="11">
        <f>SUM(C185:C186)</f>
        <v>835456</v>
      </c>
      <c r="D187" s="107">
        <f>C187/C191</f>
        <v>0.3997047148503265</v>
      </c>
    </row>
    <row r="188" spans="3:4" ht="12">
      <c r="C188" s="11"/>
      <c r="D188" s="107"/>
    </row>
    <row r="189" spans="1:4" ht="12">
      <c r="A189" s="1" t="s">
        <v>273</v>
      </c>
      <c r="C189" s="11">
        <v>1254727</v>
      </c>
      <c r="D189" s="107">
        <f>C189/C191</f>
        <v>0.6002952851496735</v>
      </c>
    </row>
    <row r="190" ht="12">
      <c r="C190" s="11"/>
    </row>
    <row r="191" spans="1:4" ht="12">
      <c r="A191" s="1" t="s">
        <v>3</v>
      </c>
      <c r="C191" s="11">
        <f>C187+C189</f>
        <v>2090183</v>
      </c>
      <c r="D191" s="109">
        <f>SUM(D185:D189)</f>
        <v>1</v>
      </c>
    </row>
    <row r="192" ht="12">
      <c r="C192" s="11"/>
    </row>
    <row r="193" spans="1:3" ht="12">
      <c r="A193" s="1" t="s">
        <v>274</v>
      </c>
      <c r="C193" s="11">
        <v>38824</v>
      </c>
    </row>
    <row r="194" spans="1:4" ht="12">
      <c r="A194" s="1" t="s">
        <v>426</v>
      </c>
      <c r="C194" s="11">
        <f>(13315+719518)</f>
        <v>732833</v>
      </c>
      <c r="D194" s="109">
        <f>C193/C194</f>
        <v>0.052977963601529954</v>
      </c>
    </row>
    <row r="197" spans="1:3" ht="12">
      <c r="A197" s="1" t="s">
        <v>408</v>
      </c>
      <c r="C197" s="11">
        <f>LG!E5</f>
        <v>1011750.0934598112</v>
      </c>
    </row>
    <row r="198" spans="1:3" ht="12">
      <c r="A198" s="1" t="s">
        <v>409</v>
      </c>
      <c r="C198" s="1">
        <v>10275</v>
      </c>
    </row>
    <row r="199" spans="1:3" ht="12">
      <c r="A199" s="1" t="s">
        <v>406</v>
      </c>
      <c r="C199" s="1">
        <f>C197/C198/12</f>
        <v>8.205596865043075</v>
      </c>
    </row>
    <row r="200" spans="1:3" ht="12">
      <c r="A200" s="1" t="s">
        <v>410</v>
      </c>
      <c r="C200" s="1">
        <f>C181</f>
        <v>1.1515539</v>
      </c>
    </row>
    <row r="201" spans="1:3" ht="12">
      <c r="A201" s="1" t="s">
        <v>407</v>
      </c>
      <c r="C201" s="1">
        <f>C199-C200</f>
        <v>7.054042965043076</v>
      </c>
    </row>
  </sheetData>
  <printOptions/>
  <pageMargins left="0.75" right="0.75" top="1" bottom="1" header="0.5" footer="0.5"/>
  <pageSetup horizontalDpi="300" verticalDpi="300" orientation="portrait" scale="95" r:id="rId1"/>
  <rowBreaks count="3" manualBreakCount="3">
    <brk id="55" max="255" man="1"/>
    <brk id="123" max="5" man="1"/>
    <brk id="171" max="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6"/>
  <sheetViews>
    <sheetView workbookViewId="0" topLeftCell="B12">
      <selection activeCell="M34" sqref="M34"/>
    </sheetView>
  </sheetViews>
  <sheetFormatPr defaultColWidth="8.796875" defaultRowHeight="12"/>
  <cols>
    <col min="1" max="1" width="4.3984375" style="57" customWidth="1"/>
    <col min="2" max="2" width="4.796875" style="57" customWidth="1"/>
    <col min="3" max="3" width="18.59765625" style="57" customWidth="1"/>
    <col min="4" max="4" width="5.69921875" style="57" customWidth="1"/>
    <col min="5" max="5" width="3.8984375" style="57" customWidth="1"/>
    <col min="6" max="6" width="5.59765625" style="57" customWidth="1"/>
    <col min="7" max="7" width="0" style="57" hidden="1" customWidth="1"/>
    <col min="8" max="8" width="6.296875" style="57" customWidth="1"/>
    <col min="9" max="10" width="4.69921875" style="57" customWidth="1"/>
    <col min="11" max="12" width="0" style="57" hidden="1" customWidth="1"/>
    <col min="13" max="13" width="7.296875" style="57" customWidth="1"/>
    <col min="14" max="14" width="0" style="57" hidden="1" customWidth="1"/>
    <col min="15" max="15" width="7.19921875" style="57" customWidth="1"/>
    <col min="16" max="16" width="7.8984375" style="57" customWidth="1"/>
    <col min="17" max="17" width="6.59765625" style="57" customWidth="1"/>
    <col min="18" max="25" width="0" style="57" hidden="1" customWidth="1"/>
    <col min="26" max="26" width="7" style="57" customWidth="1"/>
    <col min="27" max="27" width="7.59765625" style="57" customWidth="1"/>
    <col min="28" max="28" width="8.19921875" style="57" customWidth="1"/>
    <col min="29" max="16384" width="8.8984375" style="57" customWidth="1"/>
  </cols>
  <sheetData>
    <row r="1" spans="1:48" ht="11.25">
      <c r="A1" s="15"/>
      <c r="B1" s="16"/>
      <c r="C1" s="17" t="s">
        <v>153</v>
      </c>
      <c r="D1" s="18"/>
      <c r="E1" s="19"/>
      <c r="F1" s="19"/>
      <c r="G1" s="16"/>
      <c r="H1" s="19"/>
      <c r="I1" s="18"/>
      <c r="J1" s="18"/>
      <c r="K1" s="16"/>
      <c r="L1" s="16"/>
      <c r="M1" s="20"/>
      <c r="N1" s="16"/>
      <c r="O1" s="21"/>
      <c r="P1" s="2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2">
        <v>40026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ht="11.25">
      <c r="A2" s="15"/>
      <c r="B2" s="16"/>
      <c r="C2" s="23" t="s">
        <v>154</v>
      </c>
      <c r="D2" s="18"/>
      <c r="E2" s="19"/>
      <c r="F2" s="19"/>
      <c r="G2" s="16"/>
      <c r="H2" s="19"/>
      <c r="I2" s="18"/>
      <c r="J2" s="18"/>
      <c r="K2" s="16"/>
      <c r="L2" s="16"/>
      <c r="M2" s="20"/>
      <c r="N2" s="16"/>
      <c r="O2" s="24">
        <v>5</v>
      </c>
      <c r="P2" s="23" t="s">
        <v>155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11.25">
      <c r="A3" s="15"/>
      <c r="B3" s="16"/>
      <c r="C3" s="25">
        <v>40390</v>
      </c>
      <c r="D3" s="18"/>
      <c r="E3" s="19"/>
      <c r="F3" s="19"/>
      <c r="G3" s="16"/>
      <c r="H3" s="19"/>
      <c r="I3" s="18"/>
      <c r="J3" s="18"/>
      <c r="K3" s="16"/>
      <c r="L3" s="16"/>
      <c r="M3" s="20"/>
      <c r="N3" s="16"/>
      <c r="O3" s="24">
        <v>7</v>
      </c>
      <c r="P3" s="23" t="s">
        <v>156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157</v>
      </c>
      <c r="AE3" s="16" t="s">
        <v>158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ht="11.25">
      <c r="A4" s="15"/>
      <c r="B4" s="16"/>
      <c r="C4" s="16"/>
      <c r="D4" s="18"/>
      <c r="E4" s="19"/>
      <c r="F4" s="19"/>
      <c r="G4" s="16"/>
      <c r="H4" s="19"/>
      <c r="I4" s="18"/>
      <c r="J4" s="18"/>
      <c r="K4" s="16"/>
      <c r="L4" s="16"/>
      <c r="M4" s="20"/>
      <c r="N4" s="16"/>
      <c r="O4" s="24">
        <v>2009</v>
      </c>
      <c r="P4" s="23" t="s">
        <v>159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">
        <v>160</v>
      </c>
      <c r="AE4" s="16" t="s">
        <v>161</v>
      </c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ht="11.25">
      <c r="A5" s="15"/>
      <c r="B5" s="16"/>
      <c r="C5" s="16"/>
      <c r="D5" s="18"/>
      <c r="E5" s="19"/>
      <c r="F5" s="19"/>
      <c r="G5" s="16"/>
      <c r="H5" s="19"/>
      <c r="I5" s="18"/>
      <c r="J5" s="18"/>
      <c r="K5" s="16"/>
      <c r="L5" s="16"/>
      <c r="M5" s="20"/>
      <c r="N5" s="16"/>
      <c r="O5" s="24">
        <v>2010</v>
      </c>
      <c r="P5" s="23" t="s">
        <v>162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163</v>
      </c>
      <c r="AE5" s="16" t="s">
        <v>164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ht="11.25">
      <c r="A6" s="15"/>
      <c r="B6" s="16"/>
      <c r="C6" s="16"/>
      <c r="D6" s="18"/>
      <c r="E6" s="19"/>
      <c r="F6" s="19"/>
      <c r="G6" s="16"/>
      <c r="H6" s="19"/>
      <c r="I6" s="18"/>
      <c r="J6" s="18"/>
      <c r="K6" s="16"/>
      <c r="L6" s="16"/>
      <c r="M6" s="2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165</v>
      </c>
      <c r="AE6" s="16" t="s">
        <v>166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1.25">
      <c r="A7" s="15"/>
      <c r="B7" s="16"/>
      <c r="C7" s="16"/>
      <c r="D7" s="18"/>
      <c r="E7" s="19"/>
      <c r="F7" s="19"/>
      <c r="G7" s="16"/>
      <c r="H7" s="19"/>
      <c r="I7" s="18"/>
      <c r="J7" s="18"/>
      <c r="K7" s="16"/>
      <c r="L7" s="16"/>
      <c r="M7" s="2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">
        <v>167</v>
      </c>
      <c r="AE7" s="16" t="s">
        <v>168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ht="11.25">
      <c r="A8" s="15"/>
      <c r="B8" s="21"/>
      <c r="C8" s="21"/>
      <c r="D8" s="26"/>
      <c r="E8" s="27"/>
      <c r="F8" s="27"/>
      <c r="G8" s="21"/>
      <c r="H8" s="27"/>
      <c r="I8" s="26"/>
      <c r="J8" s="26"/>
      <c r="K8" s="15"/>
      <c r="L8" s="15"/>
      <c r="M8" s="28"/>
      <c r="N8" s="16"/>
      <c r="O8" s="16"/>
      <c r="P8" s="16"/>
      <c r="Q8" s="16"/>
      <c r="R8" s="19" t="s">
        <v>169</v>
      </c>
      <c r="S8" s="16"/>
      <c r="T8" s="16"/>
      <c r="U8" s="29" t="s">
        <v>3</v>
      </c>
      <c r="V8" s="16"/>
      <c r="W8" s="19" t="s">
        <v>7</v>
      </c>
      <c r="X8" s="19" t="s">
        <v>170</v>
      </c>
      <c r="Y8" s="16"/>
      <c r="Z8" s="29" t="s">
        <v>170</v>
      </c>
      <c r="AA8" s="29" t="s">
        <v>170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ht="11.25">
      <c r="A9" s="30"/>
      <c r="B9" s="31" t="s">
        <v>0</v>
      </c>
      <c r="C9" s="32" t="s">
        <v>171</v>
      </c>
      <c r="D9" s="33" t="s">
        <v>8</v>
      </c>
      <c r="E9" s="29"/>
      <c r="F9" s="34" t="s">
        <v>1</v>
      </c>
      <c r="G9" s="35"/>
      <c r="H9" s="29" t="s">
        <v>0</v>
      </c>
      <c r="I9" s="33"/>
      <c r="J9" s="33" t="s">
        <v>9</v>
      </c>
      <c r="K9" s="30" t="s">
        <v>0</v>
      </c>
      <c r="L9" s="16"/>
      <c r="M9" s="36" t="s">
        <v>0</v>
      </c>
      <c r="N9" s="19" t="s">
        <v>18</v>
      </c>
      <c r="O9" s="32" t="s">
        <v>0</v>
      </c>
      <c r="P9" s="32"/>
      <c r="Q9" s="29" t="s">
        <v>10</v>
      </c>
      <c r="R9" s="19" t="s">
        <v>9</v>
      </c>
      <c r="S9" s="29" t="s">
        <v>3</v>
      </c>
      <c r="T9" s="29" t="s">
        <v>26</v>
      </c>
      <c r="U9" s="29" t="s">
        <v>170</v>
      </c>
      <c r="V9" s="16"/>
      <c r="W9" s="19" t="s">
        <v>172</v>
      </c>
      <c r="X9" s="19" t="s">
        <v>172</v>
      </c>
      <c r="Y9" s="19" t="s">
        <v>173</v>
      </c>
      <c r="Z9" s="29" t="s">
        <v>174</v>
      </c>
      <c r="AA9" s="29" t="s">
        <v>174</v>
      </c>
      <c r="AB9" s="29" t="s">
        <v>11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ht="11.25">
      <c r="A10" s="29"/>
      <c r="B10" s="31" t="s">
        <v>12</v>
      </c>
      <c r="C10" s="32"/>
      <c r="D10" s="33" t="s">
        <v>13</v>
      </c>
      <c r="E10" s="29"/>
      <c r="F10" s="34" t="s">
        <v>14</v>
      </c>
      <c r="G10" s="35"/>
      <c r="H10" s="29" t="s">
        <v>15</v>
      </c>
      <c r="I10" s="33" t="s">
        <v>16</v>
      </c>
      <c r="J10" s="33" t="s">
        <v>17</v>
      </c>
      <c r="K10" s="29" t="s">
        <v>18</v>
      </c>
      <c r="L10" s="16" t="s">
        <v>175</v>
      </c>
      <c r="M10" s="36" t="s">
        <v>18</v>
      </c>
      <c r="N10" s="19" t="s">
        <v>169</v>
      </c>
      <c r="O10" s="29" t="s">
        <v>19</v>
      </c>
      <c r="P10" s="29" t="s">
        <v>20</v>
      </c>
      <c r="Q10" s="29" t="s">
        <v>9</v>
      </c>
      <c r="R10" s="19" t="s">
        <v>176</v>
      </c>
      <c r="S10" s="29" t="s">
        <v>177</v>
      </c>
      <c r="T10" s="29" t="s">
        <v>178</v>
      </c>
      <c r="U10" s="29" t="s">
        <v>179</v>
      </c>
      <c r="V10" s="29"/>
      <c r="W10" s="29" t="s">
        <v>4</v>
      </c>
      <c r="X10" s="29" t="s">
        <v>4</v>
      </c>
      <c r="Y10" s="29" t="s">
        <v>178</v>
      </c>
      <c r="Z10" s="29" t="s">
        <v>180</v>
      </c>
      <c r="AA10" s="29" t="s">
        <v>180</v>
      </c>
      <c r="AB10" s="29" t="s">
        <v>21</v>
      </c>
      <c r="AC10" s="19" t="s">
        <v>157</v>
      </c>
      <c r="AD10" s="19" t="s">
        <v>181</v>
      </c>
      <c r="AE10" s="19" t="s">
        <v>182</v>
      </c>
      <c r="AF10" s="19" t="s">
        <v>165</v>
      </c>
      <c r="AG10" s="19" t="s">
        <v>167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ht="11.25">
      <c r="A11" s="37" t="s">
        <v>22</v>
      </c>
      <c r="B11" s="38" t="s">
        <v>23</v>
      </c>
      <c r="C11" s="39" t="s">
        <v>24</v>
      </c>
      <c r="D11" s="40" t="s">
        <v>9</v>
      </c>
      <c r="E11" s="37" t="s">
        <v>25</v>
      </c>
      <c r="F11" s="41" t="s">
        <v>26</v>
      </c>
      <c r="G11" s="35" t="s">
        <v>92</v>
      </c>
      <c r="H11" s="37" t="s">
        <v>27</v>
      </c>
      <c r="I11" s="40" t="s">
        <v>28</v>
      </c>
      <c r="J11" s="40" t="s">
        <v>19</v>
      </c>
      <c r="K11" s="37" t="s">
        <v>29</v>
      </c>
      <c r="L11" s="42" t="s">
        <v>92</v>
      </c>
      <c r="M11" s="43" t="s">
        <v>29</v>
      </c>
      <c r="N11" s="42" t="s">
        <v>92</v>
      </c>
      <c r="O11" s="37" t="s">
        <v>29</v>
      </c>
      <c r="P11" s="37" t="s">
        <v>19</v>
      </c>
      <c r="Q11" s="37" t="s">
        <v>19</v>
      </c>
      <c r="R11" s="42" t="s">
        <v>92</v>
      </c>
      <c r="S11" s="29" t="s">
        <v>183</v>
      </c>
      <c r="T11" s="37" t="s">
        <v>92</v>
      </c>
      <c r="U11" s="29" t="s">
        <v>180</v>
      </c>
      <c r="V11" s="29"/>
      <c r="W11" s="44">
        <f>+AD1</f>
        <v>40026</v>
      </c>
      <c r="X11" s="45">
        <f>+C3</f>
        <v>40390</v>
      </c>
      <c r="Y11" s="29" t="s">
        <v>26</v>
      </c>
      <c r="Z11" s="46">
        <f>+W11</f>
        <v>40026</v>
      </c>
      <c r="AA11" s="46">
        <f>+C3</f>
        <v>40390</v>
      </c>
      <c r="AB11" s="29" t="s">
        <v>92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ht="11.25">
      <c r="A12" s="47"/>
      <c r="B12" s="170">
        <v>28</v>
      </c>
      <c r="C12" s="49" t="s">
        <v>415</v>
      </c>
      <c r="D12" s="50">
        <v>2009</v>
      </c>
      <c r="E12" s="51">
        <v>7</v>
      </c>
      <c r="F12" s="52">
        <v>0.2</v>
      </c>
      <c r="G12" s="35"/>
      <c r="H12" s="53" t="s">
        <v>30</v>
      </c>
      <c r="I12" s="54">
        <v>7</v>
      </c>
      <c r="J12" s="55">
        <f aca="true" t="shared" si="0" ref="J12:J18">D12+I12</f>
        <v>2016</v>
      </c>
      <c r="K12" s="56"/>
      <c r="L12" s="56"/>
      <c r="M12" s="58">
        <f>252588</f>
        <v>252588</v>
      </c>
      <c r="N12" s="59">
        <v>0</v>
      </c>
      <c r="O12" s="60">
        <f aca="true" t="shared" si="1" ref="O12:O18">M12-M12*F12</f>
        <v>202070.4</v>
      </c>
      <c r="P12" s="60">
        <f aca="true" t="shared" si="2" ref="P12:P18">O12/I12/12</f>
        <v>2405.6</v>
      </c>
      <c r="Q12" s="60">
        <f aca="true" t="shared" si="3" ref="Q12:Q18">IF(N12&gt;0,0,IF(OR(AC12&gt;AD12,AE12&lt;AF12),0,IF(AND(AE12&gt;=AF12,AE12&lt;=AD12),P12*((AE12-AF12)*12),IF(AND(AF12&lt;=AC12,AD12&gt;=AC12),((AD12-AC12)*12)*P12,IF(AE12&gt;AD12,12*P12,0)))))</f>
        <v>28867.199999999997</v>
      </c>
      <c r="R12" s="35">
        <f aca="true" t="shared" si="4" ref="R12:R18">IF(N12=0,0,IF(AND(AG12&gt;=AF12,AG12&lt;=AE12),((AG12-AF12)*12)*P12,0))</f>
        <v>0</v>
      </c>
      <c r="S12" s="35">
        <f aca="true" t="shared" si="5" ref="S12:S18">IF(R12&gt;0,R12,Q12)</f>
        <v>28867.199999999997</v>
      </c>
      <c r="T12" s="35">
        <v>1</v>
      </c>
      <c r="U12" s="35">
        <f aca="true" t="shared" si="6" ref="U12:U18">T12*SUM(Q12:R12)</f>
        <v>28867.199999999997</v>
      </c>
      <c r="V12" s="35"/>
      <c r="W12" s="35">
        <f aca="true" t="shared" si="7" ref="W12:W18">IF(AC12&gt;AD12,0,IF(AE12&lt;AF12,O12,IF(AND(AE12&gt;=AF12,AE12&lt;=AD12),(O12-S12),IF(AND(AF12&lt;=AC12,AD12&gt;=AC12),0,IF(AE12&gt;AD12,((AF12-AC12)*12)*P12,0)))))</f>
        <v>2405.599999997812</v>
      </c>
      <c r="X12" s="35">
        <f aca="true" t="shared" si="8" ref="X12:X18">W12*T12</f>
        <v>2405.599999997812</v>
      </c>
      <c r="Y12" s="35">
        <v>1</v>
      </c>
      <c r="Z12" s="60">
        <f>X12*Y12-2406</f>
        <v>-0.40000000218788045</v>
      </c>
      <c r="AA12" s="60">
        <f aca="true" t="shared" si="9" ref="AA12:AA18">IF(N12&gt;0,0,Z12+U12*Y12)*Y12</f>
        <v>28866.79999999781</v>
      </c>
      <c r="AB12" s="60">
        <f aca="true" t="shared" si="10" ref="AB12:AB18">IF(N12&gt;0,(M12-Z12)/2,IF(AC12&gt;=AF12,(((M12*T12)*Y12)-AA12)/2,((((M12*T12)*Y12)-Z12)+(((M12*T12)*Y12)-AA12))/2))</f>
        <v>238154.8000000022</v>
      </c>
      <c r="AC12" s="35">
        <f aca="true" t="shared" si="11" ref="AC12:AC30">$D12+(($E12-1)/12)</f>
        <v>2009.5</v>
      </c>
      <c r="AD12" s="35">
        <f aca="true" t="shared" si="12" ref="AD12:AD30">($O$5+1)-($O$2/12)</f>
        <v>2010.5833333333333</v>
      </c>
      <c r="AE12" s="35">
        <f aca="true" t="shared" si="13" ref="AE12:AE30">$J12+(($E12-1)/12)</f>
        <v>2016.5</v>
      </c>
      <c r="AF12" s="35">
        <f aca="true" t="shared" si="14" ref="AF12:AF30">$O$4+($O$3/12)</f>
        <v>2009.5833333333333</v>
      </c>
      <c r="AG12" s="35">
        <f aca="true" t="shared" si="15" ref="AG12:AG30">$K12+(($L12-1)/12)</f>
        <v>-0.08333333333333333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ht="11.25">
      <c r="A13" s="47"/>
      <c r="B13" s="48"/>
      <c r="C13" s="49" t="s">
        <v>416</v>
      </c>
      <c r="D13" s="50">
        <v>2009</v>
      </c>
      <c r="E13" s="51">
        <v>7</v>
      </c>
      <c r="F13" s="52">
        <v>0.2</v>
      </c>
      <c r="G13" s="35"/>
      <c r="H13" s="53" t="s">
        <v>30</v>
      </c>
      <c r="I13" s="54">
        <v>7</v>
      </c>
      <c r="J13" s="55">
        <f t="shared" si="0"/>
        <v>2016</v>
      </c>
      <c r="K13" s="56"/>
      <c r="L13" s="56"/>
      <c r="M13" s="58">
        <v>249025.26</v>
      </c>
      <c r="N13" s="59">
        <v>0</v>
      </c>
      <c r="O13" s="60">
        <f t="shared" si="1"/>
        <v>199220.208</v>
      </c>
      <c r="P13" s="60">
        <f t="shared" si="2"/>
        <v>2371.669142857143</v>
      </c>
      <c r="Q13" s="60">
        <f t="shared" si="3"/>
        <v>28460.029714285716</v>
      </c>
      <c r="R13" s="35">
        <f t="shared" si="4"/>
        <v>0</v>
      </c>
      <c r="S13" s="35">
        <f t="shared" si="5"/>
        <v>28460.029714285716</v>
      </c>
      <c r="T13" s="35">
        <v>1</v>
      </c>
      <c r="U13" s="35">
        <f t="shared" si="6"/>
        <v>28460.029714285716</v>
      </c>
      <c r="V13" s="35"/>
      <c r="W13" s="35">
        <f t="shared" si="7"/>
        <v>2371.669142854986</v>
      </c>
      <c r="X13" s="35">
        <f t="shared" si="8"/>
        <v>2371.669142854986</v>
      </c>
      <c r="Y13" s="35">
        <v>1</v>
      </c>
      <c r="Z13" s="60">
        <f>X13*Y13-2372</f>
        <v>-0.33085714501385155</v>
      </c>
      <c r="AA13" s="60">
        <f t="shared" si="9"/>
        <v>28459.698857140702</v>
      </c>
      <c r="AB13" s="60">
        <f t="shared" si="10"/>
        <v>234795.57600000215</v>
      </c>
      <c r="AC13" s="35">
        <f t="shared" si="11"/>
        <v>2009.5</v>
      </c>
      <c r="AD13" s="35">
        <f t="shared" si="12"/>
        <v>2010.5833333333333</v>
      </c>
      <c r="AE13" s="35">
        <f t="shared" si="13"/>
        <v>2016.5</v>
      </c>
      <c r="AF13" s="35">
        <f t="shared" si="14"/>
        <v>2009.5833333333333</v>
      </c>
      <c r="AG13" s="35">
        <f t="shared" si="15"/>
        <v>-0.08333333333333333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ht="11.25">
      <c r="A14" s="47"/>
      <c r="B14" s="170">
        <v>27</v>
      </c>
      <c r="C14" s="49" t="s">
        <v>184</v>
      </c>
      <c r="D14" s="50">
        <v>2009</v>
      </c>
      <c r="E14" s="51">
        <v>7</v>
      </c>
      <c r="F14" s="52">
        <v>0.2</v>
      </c>
      <c r="G14" s="35"/>
      <c r="H14" s="53" t="s">
        <v>30</v>
      </c>
      <c r="I14" s="54">
        <v>7</v>
      </c>
      <c r="J14" s="55">
        <f t="shared" si="0"/>
        <v>2016</v>
      </c>
      <c r="K14" s="56"/>
      <c r="L14" s="56"/>
      <c r="M14" s="58">
        <f>236974.86</f>
        <v>236974.86</v>
      </c>
      <c r="N14" s="59">
        <v>0</v>
      </c>
      <c r="O14" s="60">
        <f t="shared" si="1"/>
        <v>189579.88799999998</v>
      </c>
      <c r="P14" s="60">
        <f t="shared" si="2"/>
        <v>2256.9034285714283</v>
      </c>
      <c r="Q14" s="60">
        <f t="shared" si="3"/>
        <v>27082.84114285714</v>
      </c>
      <c r="R14" s="35">
        <f t="shared" si="4"/>
        <v>0</v>
      </c>
      <c r="S14" s="35">
        <f t="shared" si="5"/>
        <v>27082.84114285714</v>
      </c>
      <c r="T14" s="35">
        <v>1</v>
      </c>
      <c r="U14" s="35">
        <f t="shared" si="6"/>
        <v>27082.84114285714</v>
      </c>
      <c r="V14" s="35"/>
      <c r="W14" s="35">
        <f t="shared" si="7"/>
        <v>2256.9034285693756</v>
      </c>
      <c r="X14" s="35">
        <f t="shared" si="8"/>
        <v>2256.9034285693756</v>
      </c>
      <c r="Y14" s="35">
        <v>1</v>
      </c>
      <c r="Z14" s="60">
        <f>X14*Y14-2257</f>
        <v>-0.0965714306244081</v>
      </c>
      <c r="AA14" s="60">
        <f t="shared" si="9"/>
        <v>27082.744571426516</v>
      </c>
      <c r="AB14" s="60">
        <f t="shared" si="10"/>
        <v>223433.53600000206</v>
      </c>
      <c r="AC14" s="35">
        <f t="shared" si="11"/>
        <v>2009.5</v>
      </c>
      <c r="AD14" s="35">
        <f t="shared" si="12"/>
        <v>2010.5833333333333</v>
      </c>
      <c r="AE14" s="35">
        <f t="shared" si="13"/>
        <v>2016.5</v>
      </c>
      <c r="AF14" s="35">
        <f t="shared" si="14"/>
        <v>2009.5833333333333</v>
      </c>
      <c r="AG14" s="35">
        <f t="shared" si="15"/>
        <v>-0.08333333333333333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1.25">
      <c r="A15" s="47"/>
      <c r="B15" s="48"/>
      <c r="C15" s="49" t="s">
        <v>185</v>
      </c>
      <c r="D15" s="50">
        <v>2009</v>
      </c>
      <c r="E15" s="51">
        <v>7</v>
      </c>
      <c r="F15" s="52">
        <v>0.2</v>
      </c>
      <c r="G15" s="35"/>
      <c r="H15" s="53" t="s">
        <v>30</v>
      </c>
      <c r="I15" s="54">
        <v>7</v>
      </c>
      <c r="J15" s="55">
        <f t="shared" si="0"/>
        <v>2016</v>
      </c>
      <c r="K15" s="56"/>
      <c r="L15" s="56"/>
      <c r="M15" s="58">
        <v>45000</v>
      </c>
      <c r="N15" s="59">
        <v>0</v>
      </c>
      <c r="O15" s="60">
        <f t="shared" si="1"/>
        <v>36000</v>
      </c>
      <c r="P15" s="60">
        <f t="shared" si="2"/>
        <v>428.5714285714286</v>
      </c>
      <c r="Q15" s="60">
        <f t="shared" si="3"/>
        <v>5142.857142857143</v>
      </c>
      <c r="R15" s="35">
        <f t="shared" si="4"/>
        <v>0</v>
      </c>
      <c r="S15" s="35">
        <f t="shared" si="5"/>
        <v>5142.857142857143</v>
      </c>
      <c r="T15" s="35">
        <v>1</v>
      </c>
      <c r="U15" s="35">
        <f t="shared" si="6"/>
        <v>5142.857142857143</v>
      </c>
      <c r="V15" s="35"/>
      <c r="W15" s="35">
        <f t="shared" si="7"/>
        <v>428.57142857103884</v>
      </c>
      <c r="X15" s="35">
        <f t="shared" si="8"/>
        <v>428.57142857103884</v>
      </c>
      <c r="Y15" s="35">
        <v>1</v>
      </c>
      <c r="Z15" s="60">
        <f>X15*Y15-429</f>
        <v>-0.4285714289611633</v>
      </c>
      <c r="AA15" s="60">
        <f t="shared" si="9"/>
        <v>5142.428571428182</v>
      </c>
      <c r="AB15" s="60">
        <f t="shared" si="10"/>
        <v>42429.00000000039</v>
      </c>
      <c r="AC15" s="35">
        <f t="shared" si="11"/>
        <v>2009.5</v>
      </c>
      <c r="AD15" s="35">
        <f t="shared" si="12"/>
        <v>2010.5833333333333</v>
      </c>
      <c r="AE15" s="35">
        <f t="shared" si="13"/>
        <v>2016.5</v>
      </c>
      <c r="AF15" s="35">
        <f t="shared" si="14"/>
        <v>2009.5833333333333</v>
      </c>
      <c r="AG15" s="35">
        <f t="shared" si="15"/>
        <v>-0.08333333333333333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ht="11.25">
      <c r="A16" s="47"/>
      <c r="B16" s="48"/>
      <c r="C16" s="49" t="s">
        <v>433</v>
      </c>
      <c r="D16" s="50">
        <v>2009</v>
      </c>
      <c r="E16" s="51">
        <v>7</v>
      </c>
      <c r="F16" s="52">
        <v>0.2</v>
      </c>
      <c r="G16" s="35"/>
      <c r="H16" s="53" t="s">
        <v>30</v>
      </c>
      <c r="I16" s="54">
        <v>7</v>
      </c>
      <c r="J16" s="55">
        <f>D16+I16</f>
        <v>2016</v>
      </c>
      <c r="K16" s="56"/>
      <c r="L16" s="56"/>
      <c r="M16" s="58">
        <v>7014.03</v>
      </c>
      <c r="N16" s="59">
        <v>0</v>
      </c>
      <c r="O16" s="60">
        <f>M16-M16*F16</f>
        <v>5611.224</v>
      </c>
      <c r="P16" s="60">
        <f>O16/I16/12</f>
        <v>66.80028571428572</v>
      </c>
      <c r="Q16" s="60">
        <f>IF(N16&gt;0,0,IF(OR(AC16&gt;AD16,AE16&lt;AF16),0,IF(AND(AE16&gt;=AF16,AE16&lt;=AD16),P16*((AE16-AF16)*12),IF(AND(AF16&lt;=AC16,AD16&gt;=AC16),((AD16-AC16)*12)*P16,IF(AE16&gt;AD16,12*P16,0)))))</f>
        <v>801.6034285714286</v>
      </c>
      <c r="R16" s="35">
        <f>IF(N16=0,0,IF(AND(AG16&gt;=AF16,AG16&lt;=AE16),((AG16-AF16)*12)*P16,0))</f>
        <v>0</v>
      </c>
      <c r="S16" s="35">
        <f>IF(R16&gt;0,R16,Q16)</f>
        <v>801.6034285714286</v>
      </c>
      <c r="T16" s="35">
        <v>1</v>
      </c>
      <c r="U16" s="35">
        <f>T16*SUM(Q16:R16)</f>
        <v>801.6034285714286</v>
      </c>
      <c r="V16" s="35"/>
      <c r="W16" s="35">
        <f>IF(AC16&gt;AD16,0,IF(AE16&lt;AF16,O16,IF(AND(AE16&gt;=AF16,AE16&lt;=AD16),(O16-S16),IF(AND(AF16&lt;=AC16,AD16&gt;=AC16),0,IF(AE16&gt;AD16,((AF16-AC16)*12)*P16,0)))))</f>
        <v>66.80028571422497</v>
      </c>
      <c r="X16" s="35">
        <f>W16*T16</f>
        <v>66.80028571422497</v>
      </c>
      <c r="Y16" s="35">
        <v>1</v>
      </c>
      <c r="Z16" s="60">
        <f>X16*Y16-429</f>
        <v>-362.19971428577503</v>
      </c>
      <c r="AA16" s="60">
        <f>IF(N16&gt;0,0,Z16+U16*Y16)*Y16</f>
        <v>439.40371428565356</v>
      </c>
      <c r="AB16" s="60">
        <f>IF(N16&gt;0,(M16-Z16)/2,IF(AC16&gt;=AF16,(((M16*T16)*Y16)-AA16)/2,((((M16*T16)*Y16)-Z16)+(((M16*T16)*Y16)-AA16))/2))</f>
        <v>6975.428000000061</v>
      </c>
      <c r="AC16" s="35">
        <f t="shared" si="11"/>
        <v>2009.5</v>
      </c>
      <c r="AD16" s="35">
        <f t="shared" si="12"/>
        <v>2010.5833333333333</v>
      </c>
      <c r="AE16" s="35">
        <f t="shared" si="13"/>
        <v>2016.5</v>
      </c>
      <c r="AF16" s="35">
        <f t="shared" si="14"/>
        <v>2009.5833333333333</v>
      </c>
      <c r="AG16" s="35">
        <f t="shared" si="15"/>
        <v>-0.08333333333333333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ht="11.25">
      <c r="A17" s="47"/>
      <c r="B17" s="170">
        <v>17</v>
      </c>
      <c r="C17" s="49" t="s">
        <v>411</v>
      </c>
      <c r="D17" s="50">
        <v>2009</v>
      </c>
      <c r="E17" s="51">
        <v>7</v>
      </c>
      <c r="F17" s="52">
        <v>0.33</v>
      </c>
      <c r="G17" s="35"/>
      <c r="H17" s="53" t="s">
        <v>30</v>
      </c>
      <c r="I17" s="54">
        <v>5</v>
      </c>
      <c r="J17" s="55">
        <f t="shared" si="0"/>
        <v>2014</v>
      </c>
      <c r="K17" s="56"/>
      <c r="L17" s="56"/>
      <c r="M17" s="58">
        <f>14349+5696</f>
        <v>20045</v>
      </c>
      <c r="N17" s="59">
        <v>0</v>
      </c>
      <c r="O17" s="60">
        <f t="shared" si="1"/>
        <v>13430.15</v>
      </c>
      <c r="P17" s="60">
        <f t="shared" si="2"/>
        <v>223.8358333333333</v>
      </c>
      <c r="Q17" s="60">
        <f t="shared" si="3"/>
        <v>2686.0299999999997</v>
      </c>
      <c r="R17" s="35">
        <f t="shared" si="4"/>
        <v>0</v>
      </c>
      <c r="S17" s="35">
        <f t="shared" si="5"/>
        <v>2686.0299999999997</v>
      </c>
      <c r="T17" s="35">
        <v>1</v>
      </c>
      <c r="U17" s="35">
        <f t="shared" si="6"/>
        <v>2686.0299999999997</v>
      </c>
      <c r="V17" s="35"/>
      <c r="W17" s="35">
        <f t="shared" si="7"/>
        <v>223.83583333312973</v>
      </c>
      <c r="X17" s="35">
        <f t="shared" si="8"/>
        <v>223.83583333312973</v>
      </c>
      <c r="Y17" s="35">
        <v>1</v>
      </c>
      <c r="Z17" s="60">
        <f>X17*Y17-224</f>
        <v>-0.1641666668702726</v>
      </c>
      <c r="AA17" s="60">
        <f t="shared" si="9"/>
        <v>2685.8658333331296</v>
      </c>
      <c r="AB17" s="60">
        <f t="shared" si="10"/>
        <v>18702.14916666687</v>
      </c>
      <c r="AC17" s="35">
        <f t="shared" si="11"/>
        <v>2009.5</v>
      </c>
      <c r="AD17" s="35">
        <f t="shared" si="12"/>
        <v>2010.5833333333333</v>
      </c>
      <c r="AE17" s="35">
        <f t="shared" si="13"/>
        <v>2014.5</v>
      </c>
      <c r="AF17" s="35">
        <f t="shared" si="14"/>
        <v>2009.5833333333333</v>
      </c>
      <c r="AG17" s="35">
        <f t="shared" si="15"/>
        <v>-0.08333333333333333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ht="11.25">
      <c r="A18" s="47"/>
      <c r="B18" s="48"/>
      <c r="C18" s="49" t="s">
        <v>186</v>
      </c>
      <c r="D18" s="50">
        <v>2009</v>
      </c>
      <c r="E18" s="51">
        <v>7</v>
      </c>
      <c r="F18" s="52">
        <v>0.2</v>
      </c>
      <c r="G18" s="35"/>
      <c r="H18" s="53" t="s">
        <v>30</v>
      </c>
      <c r="I18" s="54">
        <v>7</v>
      </c>
      <c r="J18" s="55">
        <f t="shared" si="0"/>
        <v>2016</v>
      </c>
      <c r="K18" s="56"/>
      <c r="L18" s="56"/>
      <c r="M18" s="58">
        <v>82000</v>
      </c>
      <c r="N18" s="59">
        <v>0</v>
      </c>
      <c r="O18" s="60">
        <f t="shared" si="1"/>
        <v>65600</v>
      </c>
      <c r="P18" s="60">
        <f t="shared" si="2"/>
        <v>780.9523809523808</v>
      </c>
      <c r="Q18" s="60">
        <f t="shared" si="3"/>
        <v>9371.42857142857</v>
      </c>
      <c r="R18" s="35">
        <f t="shared" si="4"/>
        <v>0</v>
      </c>
      <c r="S18" s="35">
        <f t="shared" si="5"/>
        <v>9371.42857142857</v>
      </c>
      <c r="T18" s="35">
        <v>1</v>
      </c>
      <c r="U18" s="35">
        <f t="shared" si="6"/>
        <v>9371.42857142857</v>
      </c>
      <c r="V18" s="35"/>
      <c r="W18" s="35">
        <f t="shared" si="7"/>
        <v>780.9523809516705</v>
      </c>
      <c r="X18" s="35">
        <f t="shared" si="8"/>
        <v>780.9523809516705</v>
      </c>
      <c r="Y18" s="35">
        <v>1</v>
      </c>
      <c r="Z18" s="60">
        <f>X18*Y18-781</f>
        <v>-0.04761904832946584</v>
      </c>
      <c r="AA18" s="60">
        <f t="shared" si="9"/>
        <v>9371.380952380241</v>
      </c>
      <c r="AB18" s="60">
        <f t="shared" si="10"/>
        <v>77314.33333333404</v>
      </c>
      <c r="AC18" s="35">
        <f t="shared" si="11"/>
        <v>2009.5</v>
      </c>
      <c r="AD18" s="35">
        <f t="shared" si="12"/>
        <v>2010.5833333333333</v>
      </c>
      <c r="AE18" s="35">
        <f t="shared" si="13"/>
        <v>2016.5</v>
      </c>
      <c r="AF18" s="35">
        <f t="shared" si="14"/>
        <v>2009.5833333333333</v>
      </c>
      <c r="AG18" s="35">
        <f t="shared" si="15"/>
        <v>-0.08333333333333333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ht="11.25">
      <c r="A19" s="29"/>
      <c r="B19" s="61"/>
      <c r="C19" s="62" t="s">
        <v>187</v>
      </c>
      <c r="D19" s="63"/>
      <c r="E19" s="64"/>
      <c r="F19" s="65"/>
      <c r="G19" s="66"/>
      <c r="H19" s="36"/>
      <c r="I19" s="67"/>
      <c r="J19" s="68"/>
      <c r="K19" s="69"/>
      <c r="L19" s="69"/>
      <c r="M19" s="70">
        <f>SUM(M12:M18)</f>
        <v>892647.15</v>
      </c>
      <c r="N19" s="71"/>
      <c r="O19" s="70">
        <f aca="true" t="shared" si="16" ref="O19:AB19">SUM(O12:O18)</f>
        <v>711511.8700000001</v>
      </c>
      <c r="P19" s="70">
        <f t="shared" si="16"/>
        <v>8534.3325</v>
      </c>
      <c r="Q19" s="70">
        <f t="shared" si="16"/>
        <v>102411.98999999999</v>
      </c>
      <c r="R19" s="70">
        <f t="shared" si="16"/>
        <v>0</v>
      </c>
      <c r="S19" s="70">
        <f t="shared" si="16"/>
        <v>102411.98999999999</v>
      </c>
      <c r="T19" s="70">
        <f t="shared" si="16"/>
        <v>7</v>
      </c>
      <c r="U19" s="70">
        <f t="shared" si="16"/>
        <v>102411.98999999999</v>
      </c>
      <c r="V19" s="70">
        <f t="shared" si="16"/>
        <v>0</v>
      </c>
      <c r="W19" s="70">
        <f t="shared" si="16"/>
        <v>8534.332499992239</v>
      </c>
      <c r="X19" s="70">
        <f t="shared" si="16"/>
        <v>8534.332499992239</v>
      </c>
      <c r="Y19" s="70">
        <f t="shared" si="16"/>
        <v>7</v>
      </c>
      <c r="Z19" s="70">
        <f>SUM(Z12:Z18)+1</f>
        <v>-362.6675000077621</v>
      </c>
      <c r="AA19" s="70">
        <f t="shared" si="16"/>
        <v>102048.32249999224</v>
      </c>
      <c r="AB19" s="70">
        <f t="shared" si="16"/>
        <v>841804.8225000078</v>
      </c>
      <c r="AC19" s="66"/>
      <c r="AD19" s="66"/>
      <c r="AE19" s="66"/>
      <c r="AF19" s="66"/>
      <c r="AG19" s="66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ht="11.25">
      <c r="A20" s="47"/>
      <c r="B20" s="48"/>
      <c r="C20" s="49"/>
      <c r="D20" s="50"/>
      <c r="E20" s="51"/>
      <c r="F20" s="52"/>
      <c r="G20" s="35"/>
      <c r="H20" s="53"/>
      <c r="I20" s="54"/>
      <c r="J20" s="55"/>
      <c r="K20" s="56"/>
      <c r="L20" s="56"/>
      <c r="M20" s="58"/>
      <c r="N20" s="59"/>
      <c r="O20" s="60"/>
      <c r="P20" s="60"/>
      <c r="Q20" s="60"/>
      <c r="R20" s="35"/>
      <c r="S20" s="35"/>
      <c r="T20" s="35"/>
      <c r="U20" s="35"/>
      <c r="V20" s="35"/>
      <c r="W20" s="35"/>
      <c r="X20" s="35"/>
      <c r="Y20" s="35"/>
      <c r="Z20" s="60"/>
      <c r="AA20" s="60"/>
      <c r="AB20" s="60"/>
      <c r="AC20" s="35"/>
      <c r="AD20" s="35"/>
      <c r="AE20" s="35"/>
      <c r="AF20" s="35"/>
      <c r="AG20" s="3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1" ht="11.25">
      <c r="A21" s="47"/>
      <c r="B21" s="48">
        <v>10500</v>
      </c>
      <c r="C21" s="49" t="s">
        <v>188</v>
      </c>
      <c r="D21" s="50">
        <v>2009</v>
      </c>
      <c r="E21" s="51">
        <v>7</v>
      </c>
      <c r="F21" s="52"/>
      <c r="G21" s="35"/>
      <c r="H21" s="53" t="s">
        <v>30</v>
      </c>
      <c r="I21" s="54">
        <v>10</v>
      </c>
      <c r="J21" s="55">
        <f aca="true" t="shared" si="17" ref="J21:J30">D21+I21</f>
        <v>2019</v>
      </c>
      <c r="K21" s="56"/>
      <c r="L21" s="56"/>
      <c r="M21" s="58">
        <f>B21*45.4836</f>
        <v>477577.80000000005</v>
      </c>
      <c r="N21" s="59">
        <v>0</v>
      </c>
      <c r="O21" s="60">
        <f aca="true" t="shared" si="18" ref="O21:O30">M21-M21*F21</f>
        <v>477577.80000000005</v>
      </c>
      <c r="P21" s="60">
        <f aca="true" t="shared" si="19" ref="P21:P30">O21/I21/12</f>
        <v>3979.8150000000005</v>
      </c>
      <c r="Q21" s="60">
        <f aca="true" t="shared" si="20" ref="Q21:Q30">IF(N21&gt;0,0,IF(OR(AC21&gt;AD21,AE21&lt;AF21),0,IF(AND(AE21&gt;=AF21,AE21&lt;=AD21),P21*((AE21-AF21)*12),IF(AND(AF21&lt;=AC21,AD21&gt;=AC21),((AD21-AC21)*12)*P21,IF(AE21&gt;AD21,12*P21,0)))))</f>
        <v>47757.780000000006</v>
      </c>
      <c r="R21" s="35">
        <f aca="true" t="shared" si="21" ref="R21:R30">IF(N21=0,0,IF(AND(AG21&gt;=AF21,AG21&lt;=AE21),((AG21-AF21)*12)*P21,0))</f>
        <v>0</v>
      </c>
      <c r="S21" s="35">
        <f aca="true" t="shared" si="22" ref="S21:S30">IF(R21&gt;0,R21,Q21)</f>
        <v>47757.780000000006</v>
      </c>
      <c r="T21" s="35">
        <v>1</v>
      </c>
      <c r="U21" s="35">
        <f aca="true" t="shared" si="23" ref="U21:U30">T21*SUM(Q21:R21)</f>
        <v>47757.780000000006</v>
      </c>
      <c r="V21" s="35"/>
      <c r="W21" s="35">
        <f aca="true" t="shared" si="24" ref="W21:W30">IF(AC21&gt;AD21,0,IF(AE21&lt;AF21,O21,IF(AND(AE21&gt;=AF21,AE21&lt;=AD21),(O21-S21),IF(AND(AF21&lt;=AC21,AD21&gt;=AC21),0,IF(AE21&gt;AD21,((AF21-AC21)*12)*P21,0)))))</f>
        <v>3979.8149999963807</v>
      </c>
      <c r="X21" s="35">
        <f aca="true" t="shared" si="25" ref="X21:X30">W21*T21</f>
        <v>3979.8149999963807</v>
      </c>
      <c r="Y21" s="35">
        <v>1</v>
      </c>
      <c r="Z21" s="60">
        <f>X21*Y21-3980</f>
        <v>-0.1850000036192796</v>
      </c>
      <c r="AA21" s="60">
        <f aca="true" t="shared" si="26" ref="AA21:AA30">IF(N21&gt;0,0,Z21+U21*Y21)*Y21</f>
        <v>47757.594999996385</v>
      </c>
      <c r="AB21" s="60">
        <f aca="true" t="shared" si="27" ref="AB21:AB30">IF(N21&gt;0,(M21-Z21)/2,IF(AC21&gt;=AF21,(((M21*T21)*Y21)-AA21)/2,((((M21*T21)*Y21)-Z21)+(((M21*T21)*Y21)-AA21))/2))</f>
        <v>453699.0950000037</v>
      </c>
      <c r="AC21" s="35">
        <f t="shared" si="11"/>
        <v>2009.5</v>
      </c>
      <c r="AD21" s="35">
        <f t="shared" si="12"/>
        <v>2010.5833333333333</v>
      </c>
      <c r="AE21" s="35">
        <f t="shared" si="13"/>
        <v>2019.5</v>
      </c>
      <c r="AF21" s="35">
        <f t="shared" si="14"/>
        <v>2009.5833333333333</v>
      </c>
      <c r="AG21" s="35">
        <f t="shared" si="15"/>
        <v>-0.08333333333333333</v>
      </c>
      <c r="AH21" s="16"/>
      <c r="AI21" s="16"/>
      <c r="AJ21" s="16"/>
      <c r="AK21" s="16"/>
      <c r="AL21" s="16"/>
      <c r="AM21" s="16"/>
      <c r="AN21" s="16"/>
      <c r="AO21" s="16"/>
    </row>
    <row r="22" spans="1:41" ht="11.25">
      <c r="A22" s="47"/>
      <c r="B22" s="48">
        <v>500</v>
      </c>
      <c r="C22" s="49" t="s">
        <v>189</v>
      </c>
      <c r="D22" s="50">
        <v>2009</v>
      </c>
      <c r="E22" s="51">
        <v>7</v>
      </c>
      <c r="F22" s="52"/>
      <c r="G22" s="35"/>
      <c r="H22" s="53" t="s">
        <v>30</v>
      </c>
      <c r="I22" s="54">
        <v>10</v>
      </c>
      <c r="J22" s="55">
        <f t="shared" si="17"/>
        <v>2019</v>
      </c>
      <c r="K22" s="56"/>
      <c r="L22" s="56"/>
      <c r="M22" s="58">
        <f>B22*45.4836</f>
        <v>22741.800000000003</v>
      </c>
      <c r="N22" s="59">
        <v>0</v>
      </c>
      <c r="O22" s="60">
        <f t="shared" si="18"/>
        <v>22741.800000000003</v>
      </c>
      <c r="P22" s="60">
        <f t="shared" si="19"/>
        <v>189.51500000000001</v>
      </c>
      <c r="Q22" s="60">
        <f t="shared" si="20"/>
        <v>2274.1800000000003</v>
      </c>
      <c r="R22" s="35">
        <f t="shared" si="21"/>
        <v>0</v>
      </c>
      <c r="S22" s="35">
        <f t="shared" si="22"/>
        <v>2274.1800000000003</v>
      </c>
      <c r="T22" s="35">
        <v>1</v>
      </c>
      <c r="U22" s="35">
        <f t="shared" si="23"/>
        <v>2274.1800000000003</v>
      </c>
      <c r="V22" s="35"/>
      <c r="W22" s="35">
        <f t="shared" si="24"/>
        <v>189.51499999982767</v>
      </c>
      <c r="X22" s="35">
        <f t="shared" si="25"/>
        <v>189.51499999982767</v>
      </c>
      <c r="Y22" s="35">
        <v>1</v>
      </c>
      <c r="Z22" s="60">
        <f>X22*Y22-190</f>
        <v>-0.48500000017233447</v>
      </c>
      <c r="AA22" s="60">
        <f t="shared" si="26"/>
        <v>2273.694999999828</v>
      </c>
      <c r="AB22" s="60">
        <f t="shared" si="27"/>
        <v>21605.195000000174</v>
      </c>
      <c r="AC22" s="35">
        <f t="shared" si="11"/>
        <v>2009.5</v>
      </c>
      <c r="AD22" s="35">
        <f t="shared" si="12"/>
        <v>2010.5833333333333</v>
      </c>
      <c r="AE22" s="35">
        <f t="shared" si="13"/>
        <v>2019.5</v>
      </c>
      <c r="AF22" s="35">
        <f t="shared" si="14"/>
        <v>2009.5833333333333</v>
      </c>
      <c r="AG22" s="35">
        <f t="shared" si="15"/>
        <v>-0.08333333333333333</v>
      </c>
      <c r="AH22" s="16"/>
      <c r="AI22" s="16"/>
      <c r="AJ22" s="16"/>
      <c r="AK22" s="16"/>
      <c r="AL22" s="16"/>
      <c r="AM22" s="16"/>
      <c r="AN22" s="16"/>
      <c r="AO22" s="16"/>
    </row>
    <row r="23" spans="1:41" ht="11.25">
      <c r="A23" s="29"/>
      <c r="B23" s="61"/>
      <c r="C23" s="62" t="s">
        <v>190</v>
      </c>
      <c r="D23" s="63"/>
      <c r="E23" s="64"/>
      <c r="F23" s="65"/>
      <c r="G23" s="66"/>
      <c r="H23" s="36"/>
      <c r="I23" s="67"/>
      <c r="J23" s="68"/>
      <c r="K23" s="69"/>
      <c r="L23" s="69"/>
      <c r="M23" s="70">
        <f>SUM(M21:M22)</f>
        <v>500319.60000000003</v>
      </c>
      <c r="N23" s="71"/>
      <c r="O23" s="70">
        <f aca="true" t="shared" si="28" ref="O23:AB23">SUM(O21:O22)</f>
        <v>500319.60000000003</v>
      </c>
      <c r="P23" s="70">
        <f t="shared" si="28"/>
        <v>4169.330000000001</v>
      </c>
      <c r="Q23" s="70">
        <f t="shared" si="28"/>
        <v>50031.96000000001</v>
      </c>
      <c r="R23" s="70">
        <f t="shared" si="28"/>
        <v>0</v>
      </c>
      <c r="S23" s="70">
        <f t="shared" si="28"/>
        <v>50031.96000000001</v>
      </c>
      <c r="T23" s="70">
        <f t="shared" si="28"/>
        <v>2</v>
      </c>
      <c r="U23" s="70">
        <f t="shared" si="28"/>
        <v>50031.96000000001</v>
      </c>
      <c r="V23" s="70">
        <f t="shared" si="28"/>
        <v>0</v>
      </c>
      <c r="W23" s="70">
        <f t="shared" si="28"/>
        <v>4169.329999996208</v>
      </c>
      <c r="X23" s="70">
        <f t="shared" si="28"/>
        <v>4169.329999996208</v>
      </c>
      <c r="Y23" s="70">
        <f t="shared" si="28"/>
        <v>2</v>
      </c>
      <c r="Z23" s="70">
        <f>SUM(Z21:Z22)+1</f>
        <v>0.32999999620838594</v>
      </c>
      <c r="AA23" s="70">
        <f t="shared" si="28"/>
        <v>50031.28999999621</v>
      </c>
      <c r="AB23" s="70">
        <f t="shared" si="28"/>
        <v>475304.2900000039</v>
      </c>
      <c r="AC23" s="66"/>
      <c r="AD23" s="66"/>
      <c r="AE23" s="66"/>
      <c r="AF23" s="66"/>
      <c r="AG23" s="66"/>
      <c r="AH23" s="72"/>
      <c r="AI23" s="72"/>
      <c r="AJ23" s="72"/>
      <c r="AK23" s="72"/>
      <c r="AL23" s="72"/>
      <c r="AM23" s="72"/>
      <c r="AN23" s="72"/>
      <c r="AO23" s="72"/>
    </row>
    <row r="24" spans="1:41" ht="11.25">
      <c r="A24" s="47"/>
      <c r="B24" s="48"/>
      <c r="C24" s="49"/>
      <c r="D24" s="50"/>
      <c r="E24" s="51"/>
      <c r="F24" s="52"/>
      <c r="G24" s="35"/>
      <c r="H24" s="53"/>
      <c r="I24" s="54"/>
      <c r="J24" s="55"/>
      <c r="K24" s="56"/>
      <c r="L24" s="56"/>
      <c r="M24" s="58"/>
      <c r="N24" s="59"/>
      <c r="O24" s="60"/>
      <c r="P24" s="60"/>
      <c r="Q24" s="60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35"/>
      <c r="AD24" s="35"/>
      <c r="AE24" s="35"/>
      <c r="AF24" s="35"/>
      <c r="AG24" s="35"/>
      <c r="AH24" s="16"/>
      <c r="AI24" s="16"/>
      <c r="AJ24" s="16"/>
      <c r="AK24" s="16"/>
      <c r="AL24" s="16"/>
      <c r="AM24" s="16"/>
      <c r="AN24" s="16"/>
      <c r="AO24" s="16"/>
    </row>
    <row r="25" spans="1:41" ht="11.25">
      <c r="A25" s="47"/>
      <c r="B25" s="48"/>
      <c r="C25" s="49" t="s">
        <v>191</v>
      </c>
      <c r="D25" s="50">
        <v>2009</v>
      </c>
      <c r="E25" s="51">
        <v>7</v>
      </c>
      <c r="F25" s="52"/>
      <c r="G25" s="35"/>
      <c r="H25" s="53" t="s">
        <v>30</v>
      </c>
      <c r="I25" s="54">
        <v>10</v>
      </c>
      <c r="J25" s="55">
        <f t="shared" si="17"/>
        <v>2019</v>
      </c>
      <c r="K25" s="56"/>
      <c r="L25" s="56"/>
      <c r="M25" s="58">
        <v>9000</v>
      </c>
      <c r="N25" s="59">
        <v>0</v>
      </c>
      <c r="O25" s="60">
        <f t="shared" si="18"/>
        <v>9000</v>
      </c>
      <c r="P25" s="60">
        <f t="shared" si="19"/>
        <v>75</v>
      </c>
      <c r="Q25" s="60">
        <f t="shared" si="20"/>
        <v>900</v>
      </c>
      <c r="R25" s="35">
        <f t="shared" si="21"/>
        <v>0</v>
      </c>
      <c r="S25" s="35">
        <f t="shared" si="22"/>
        <v>900</v>
      </c>
      <c r="T25" s="35">
        <v>1</v>
      </c>
      <c r="U25" s="35">
        <f t="shared" si="23"/>
        <v>900</v>
      </c>
      <c r="V25" s="35"/>
      <c r="W25" s="35">
        <f t="shared" si="24"/>
        <v>74.99999999993179</v>
      </c>
      <c r="X25" s="35">
        <f t="shared" si="25"/>
        <v>74.99999999993179</v>
      </c>
      <c r="Y25" s="35">
        <v>1</v>
      </c>
      <c r="Z25" s="60">
        <f>X25*Y25-75</f>
        <v>-6.821210263296962E-11</v>
      </c>
      <c r="AA25" s="60">
        <f t="shared" si="26"/>
        <v>899.9999999999318</v>
      </c>
      <c r="AB25" s="60">
        <f t="shared" si="27"/>
        <v>8550.00000000007</v>
      </c>
      <c r="AC25" s="35">
        <f t="shared" si="11"/>
        <v>2009.5</v>
      </c>
      <c r="AD25" s="35">
        <f t="shared" si="12"/>
        <v>2010.5833333333333</v>
      </c>
      <c r="AE25" s="35">
        <f t="shared" si="13"/>
        <v>2019.5</v>
      </c>
      <c r="AF25" s="35">
        <f t="shared" si="14"/>
        <v>2009.5833333333333</v>
      </c>
      <c r="AG25" s="35">
        <f t="shared" si="15"/>
        <v>-0.08333333333333333</v>
      </c>
      <c r="AH25" s="16"/>
      <c r="AI25" s="16"/>
      <c r="AJ25" s="16"/>
      <c r="AK25" s="16"/>
      <c r="AL25" s="16"/>
      <c r="AM25" s="16"/>
      <c r="AN25" s="16"/>
      <c r="AO25" s="16"/>
    </row>
    <row r="26" spans="1:41" ht="11.25">
      <c r="A26" s="47"/>
      <c r="B26" s="48"/>
      <c r="C26" s="49"/>
      <c r="D26" s="50"/>
      <c r="E26" s="51"/>
      <c r="F26" s="52"/>
      <c r="G26" s="35"/>
      <c r="H26" s="53"/>
      <c r="I26" s="54"/>
      <c r="J26" s="55"/>
      <c r="K26" s="56"/>
      <c r="L26" s="56"/>
      <c r="M26" s="58"/>
      <c r="N26" s="59"/>
      <c r="O26" s="60"/>
      <c r="P26" s="60"/>
      <c r="Q26" s="60"/>
      <c r="R26" s="35"/>
      <c r="S26" s="35"/>
      <c r="T26" s="35"/>
      <c r="U26" s="35"/>
      <c r="V26" s="35"/>
      <c r="W26" s="35"/>
      <c r="X26" s="35"/>
      <c r="Y26" s="35"/>
      <c r="Z26" s="60"/>
      <c r="AA26" s="60"/>
      <c r="AB26" s="60"/>
      <c r="AC26" s="35"/>
      <c r="AD26" s="35"/>
      <c r="AE26" s="35"/>
      <c r="AF26" s="35"/>
      <c r="AG26" s="35"/>
      <c r="AH26" s="16"/>
      <c r="AI26" s="16"/>
      <c r="AJ26" s="16"/>
      <c r="AK26" s="16"/>
      <c r="AL26" s="16"/>
      <c r="AM26" s="16"/>
      <c r="AN26" s="16"/>
      <c r="AO26" s="16"/>
    </row>
    <row r="27" spans="1:41" ht="11.25">
      <c r="A27" s="47"/>
      <c r="B27" s="48"/>
      <c r="C27" s="49" t="s">
        <v>152</v>
      </c>
      <c r="D27" s="50">
        <v>2009</v>
      </c>
      <c r="E27" s="51">
        <v>7</v>
      </c>
      <c r="F27" s="52"/>
      <c r="G27" s="35"/>
      <c r="H27" s="53" t="s">
        <v>30</v>
      </c>
      <c r="I27" s="54">
        <v>10</v>
      </c>
      <c r="J27" s="55">
        <f t="shared" si="17"/>
        <v>2019</v>
      </c>
      <c r="K27" s="56"/>
      <c r="L27" s="56"/>
      <c r="M27" s="58">
        <v>8500</v>
      </c>
      <c r="N27" s="59">
        <v>0</v>
      </c>
      <c r="O27" s="60">
        <f t="shared" si="18"/>
        <v>8500</v>
      </c>
      <c r="P27" s="60">
        <f t="shared" si="19"/>
        <v>70.83333333333333</v>
      </c>
      <c r="Q27" s="60">
        <f t="shared" si="20"/>
        <v>850</v>
      </c>
      <c r="R27" s="35">
        <f t="shared" si="21"/>
        <v>0</v>
      </c>
      <c r="S27" s="35">
        <f t="shared" si="22"/>
        <v>850</v>
      </c>
      <c r="T27" s="35">
        <v>1</v>
      </c>
      <c r="U27" s="35">
        <f t="shared" si="23"/>
        <v>850</v>
      </c>
      <c r="V27" s="35"/>
      <c r="W27" s="35">
        <f t="shared" si="24"/>
        <v>70.83333333326891</v>
      </c>
      <c r="X27" s="35">
        <f t="shared" si="25"/>
        <v>70.83333333326891</v>
      </c>
      <c r="Y27" s="35">
        <v>1</v>
      </c>
      <c r="Z27" s="60">
        <f>X27*Y27-71</f>
        <v>-0.1666666667310892</v>
      </c>
      <c r="AA27" s="60">
        <f t="shared" si="26"/>
        <v>849.8333333332689</v>
      </c>
      <c r="AB27" s="60">
        <f t="shared" si="27"/>
        <v>8075.1666666667315</v>
      </c>
      <c r="AC27" s="35">
        <f t="shared" si="11"/>
        <v>2009.5</v>
      </c>
      <c r="AD27" s="35">
        <f t="shared" si="12"/>
        <v>2010.5833333333333</v>
      </c>
      <c r="AE27" s="35">
        <f t="shared" si="13"/>
        <v>2019.5</v>
      </c>
      <c r="AF27" s="35">
        <f t="shared" si="14"/>
        <v>2009.5833333333333</v>
      </c>
      <c r="AG27" s="35">
        <f t="shared" si="15"/>
        <v>-0.08333333333333333</v>
      </c>
      <c r="AH27" s="16"/>
      <c r="AI27" s="16"/>
      <c r="AJ27" s="16"/>
      <c r="AK27" s="16"/>
      <c r="AL27" s="16"/>
      <c r="AM27" s="16"/>
      <c r="AN27" s="16"/>
      <c r="AO27" s="16"/>
    </row>
    <row r="28" spans="1:41" ht="11.25">
      <c r="A28" s="47"/>
      <c r="B28" s="48"/>
      <c r="C28" s="49"/>
      <c r="D28" s="50"/>
      <c r="E28" s="51"/>
      <c r="F28" s="52"/>
      <c r="G28" s="35"/>
      <c r="H28" s="53"/>
      <c r="I28" s="54"/>
      <c r="J28" s="55"/>
      <c r="K28" s="56"/>
      <c r="L28" s="56"/>
      <c r="M28" s="58"/>
      <c r="N28" s="59"/>
      <c r="O28" s="60"/>
      <c r="P28" s="60"/>
      <c r="Q28" s="60"/>
      <c r="R28" s="35"/>
      <c r="S28" s="35"/>
      <c r="T28" s="35"/>
      <c r="U28" s="35"/>
      <c r="V28" s="35"/>
      <c r="W28" s="35"/>
      <c r="X28" s="35"/>
      <c r="Y28" s="35"/>
      <c r="Z28" s="60"/>
      <c r="AA28" s="60"/>
      <c r="AB28" s="60"/>
      <c r="AC28" s="35"/>
      <c r="AD28" s="35"/>
      <c r="AE28" s="35"/>
      <c r="AF28" s="35"/>
      <c r="AG28" s="35"/>
      <c r="AH28" s="16"/>
      <c r="AI28" s="16"/>
      <c r="AJ28" s="16"/>
      <c r="AK28" s="16"/>
      <c r="AL28" s="16"/>
      <c r="AM28" s="16"/>
      <c r="AN28" s="16"/>
      <c r="AO28" s="16"/>
    </row>
    <row r="29" spans="1:41" ht="11.25">
      <c r="A29" s="47"/>
      <c r="B29" s="48"/>
      <c r="C29" s="49" t="s">
        <v>192</v>
      </c>
      <c r="D29" s="50">
        <v>2009</v>
      </c>
      <c r="E29" s="51">
        <v>7</v>
      </c>
      <c r="F29" s="52"/>
      <c r="G29" s="35"/>
      <c r="H29" s="53" t="s">
        <v>30</v>
      </c>
      <c r="I29" s="54">
        <v>7</v>
      </c>
      <c r="J29" s="55">
        <f t="shared" si="17"/>
        <v>2016</v>
      </c>
      <c r="K29" s="56"/>
      <c r="L29" s="56"/>
      <c r="M29" s="58">
        <v>1200</v>
      </c>
      <c r="N29" s="59">
        <v>0</v>
      </c>
      <c r="O29" s="60">
        <f t="shared" si="18"/>
        <v>1200</v>
      </c>
      <c r="P29" s="60">
        <f t="shared" si="19"/>
        <v>14.285714285714285</v>
      </c>
      <c r="Q29" s="60">
        <f t="shared" si="20"/>
        <v>171.42857142857142</v>
      </c>
      <c r="R29" s="35">
        <f t="shared" si="21"/>
        <v>0</v>
      </c>
      <c r="S29" s="35">
        <f t="shared" si="22"/>
        <v>171.42857142857142</v>
      </c>
      <c r="T29" s="35">
        <v>1</v>
      </c>
      <c r="U29" s="35">
        <f t="shared" si="23"/>
        <v>171.42857142857142</v>
      </c>
      <c r="V29" s="35"/>
      <c r="W29" s="35">
        <f t="shared" si="24"/>
        <v>14.285714285701292</v>
      </c>
      <c r="X29" s="35">
        <f t="shared" si="25"/>
        <v>14.285714285701292</v>
      </c>
      <c r="Y29" s="35">
        <v>1</v>
      </c>
      <c r="Z29" s="60">
        <f>X29*Y29-14</f>
        <v>0.2857142857012924</v>
      </c>
      <c r="AA29" s="60">
        <f t="shared" si="26"/>
        <v>171.7142857142727</v>
      </c>
      <c r="AB29" s="60">
        <f t="shared" si="27"/>
        <v>1114.0000000000132</v>
      </c>
      <c r="AC29" s="35">
        <f t="shared" si="11"/>
        <v>2009.5</v>
      </c>
      <c r="AD29" s="35">
        <f t="shared" si="12"/>
        <v>2010.5833333333333</v>
      </c>
      <c r="AE29" s="35">
        <f t="shared" si="13"/>
        <v>2016.5</v>
      </c>
      <c r="AF29" s="35">
        <f t="shared" si="14"/>
        <v>2009.5833333333333</v>
      </c>
      <c r="AG29" s="35">
        <f t="shared" si="15"/>
        <v>-0.08333333333333333</v>
      </c>
      <c r="AH29" s="16"/>
      <c r="AI29" s="16"/>
      <c r="AJ29" s="16"/>
      <c r="AK29" s="16"/>
      <c r="AL29" s="16"/>
      <c r="AM29" s="16"/>
      <c r="AN29" s="16"/>
      <c r="AO29" s="16"/>
    </row>
    <row r="30" spans="1:41" ht="11.25">
      <c r="A30" s="73"/>
      <c r="B30" s="74"/>
      <c r="C30" s="75" t="s">
        <v>193</v>
      </c>
      <c r="D30" s="76">
        <v>2009</v>
      </c>
      <c r="E30" s="51">
        <v>7</v>
      </c>
      <c r="F30" s="77"/>
      <c r="G30" s="78"/>
      <c r="H30" s="79" t="s">
        <v>30</v>
      </c>
      <c r="I30" s="80">
        <v>5</v>
      </c>
      <c r="J30" s="81">
        <f t="shared" si="17"/>
        <v>2014</v>
      </c>
      <c r="K30" s="82"/>
      <c r="L30" s="82"/>
      <c r="M30" s="83">
        <v>1200</v>
      </c>
      <c r="N30" s="59">
        <v>0</v>
      </c>
      <c r="O30" s="84">
        <f t="shared" si="18"/>
        <v>1200</v>
      </c>
      <c r="P30" s="84">
        <f t="shared" si="19"/>
        <v>20</v>
      </c>
      <c r="Q30" s="84">
        <f t="shared" si="20"/>
        <v>240</v>
      </c>
      <c r="R30" s="78">
        <f t="shared" si="21"/>
        <v>0</v>
      </c>
      <c r="S30" s="78">
        <f t="shared" si="22"/>
        <v>240</v>
      </c>
      <c r="T30" s="78">
        <v>1</v>
      </c>
      <c r="U30" s="78">
        <f t="shared" si="23"/>
        <v>240</v>
      </c>
      <c r="V30" s="78"/>
      <c r="W30" s="78">
        <f t="shared" si="24"/>
        <v>19.99999999998181</v>
      </c>
      <c r="X30" s="78">
        <f t="shared" si="25"/>
        <v>19.99999999998181</v>
      </c>
      <c r="Y30" s="78">
        <v>1</v>
      </c>
      <c r="Z30" s="84">
        <f>X30*Y30-20</f>
        <v>-1.8189894035458565E-11</v>
      </c>
      <c r="AA30" s="84">
        <f t="shared" si="26"/>
        <v>239.9999999999818</v>
      </c>
      <c r="AB30" s="84">
        <f t="shared" si="27"/>
        <v>1080.0000000000182</v>
      </c>
      <c r="AC30" s="78">
        <f t="shared" si="11"/>
        <v>2009.5</v>
      </c>
      <c r="AD30" s="78">
        <f t="shared" si="12"/>
        <v>2010.5833333333333</v>
      </c>
      <c r="AE30" s="78">
        <f t="shared" si="13"/>
        <v>2014.5</v>
      </c>
      <c r="AF30" s="78">
        <f t="shared" si="14"/>
        <v>2009.5833333333333</v>
      </c>
      <c r="AG30" s="78">
        <f t="shared" si="15"/>
        <v>-0.08333333333333333</v>
      </c>
      <c r="AH30" s="16"/>
      <c r="AI30" s="16"/>
      <c r="AJ30" s="16"/>
      <c r="AK30" s="16"/>
      <c r="AL30" s="16"/>
      <c r="AM30" s="16"/>
      <c r="AN30" s="16"/>
      <c r="AO30" s="16"/>
    </row>
    <row r="31" spans="3:28" s="8" customFormat="1" ht="11.25">
      <c r="C31" s="10" t="s">
        <v>194</v>
      </c>
      <c r="M31" s="9">
        <f>SUM(M29:M30)</f>
        <v>2400</v>
      </c>
      <c r="O31" s="9">
        <f aca="true" t="shared" si="29" ref="O31:AB31">SUM(O29:O30)</f>
        <v>2400</v>
      </c>
      <c r="P31" s="9">
        <f t="shared" si="29"/>
        <v>34.285714285714285</v>
      </c>
      <c r="Q31" s="9">
        <f t="shared" si="29"/>
        <v>411.42857142857144</v>
      </c>
      <c r="R31" s="9">
        <f t="shared" si="29"/>
        <v>0</v>
      </c>
      <c r="S31" s="9">
        <f t="shared" si="29"/>
        <v>411.42857142857144</v>
      </c>
      <c r="T31" s="9">
        <f t="shared" si="29"/>
        <v>2</v>
      </c>
      <c r="U31" s="9">
        <f t="shared" si="29"/>
        <v>411.42857142857144</v>
      </c>
      <c r="V31" s="9">
        <f t="shared" si="29"/>
        <v>0</v>
      </c>
      <c r="W31" s="9">
        <f t="shared" si="29"/>
        <v>34.2857142856831</v>
      </c>
      <c r="X31" s="9">
        <f t="shared" si="29"/>
        <v>34.2857142856831</v>
      </c>
      <c r="Y31" s="9">
        <f t="shared" si="29"/>
        <v>2</v>
      </c>
      <c r="Z31" s="9">
        <f t="shared" si="29"/>
        <v>0.28571428568310253</v>
      </c>
      <c r="AA31" s="9">
        <f t="shared" si="29"/>
        <v>411.7142857142545</v>
      </c>
      <c r="AB31" s="9">
        <f t="shared" si="29"/>
        <v>2194.0000000000314</v>
      </c>
    </row>
    <row r="32" s="8" customFormat="1" ht="11.25"/>
    <row r="33" s="8" customFormat="1" ht="11.25"/>
    <row r="34" spans="1:41" ht="11.25">
      <c r="A34" s="47"/>
      <c r="B34" s="48"/>
      <c r="C34" s="49" t="s">
        <v>196</v>
      </c>
      <c r="D34" s="50">
        <v>2009</v>
      </c>
      <c r="E34" s="51">
        <v>7</v>
      </c>
      <c r="F34" s="52"/>
      <c r="G34" s="35"/>
      <c r="H34" s="53" t="s">
        <v>30</v>
      </c>
      <c r="I34" s="54">
        <v>5</v>
      </c>
      <c r="J34" s="55">
        <f>D34+I34</f>
        <v>2014</v>
      </c>
      <c r="K34" s="56"/>
      <c r="L34" s="56"/>
      <c r="M34" s="58">
        <f>Calculations!D141</f>
        <v>35782.5</v>
      </c>
      <c r="N34" s="59">
        <v>0</v>
      </c>
      <c r="O34" s="60">
        <f>M34-M34*F34</f>
        <v>35782.5</v>
      </c>
      <c r="P34" s="60">
        <f>O34/I34/12</f>
        <v>596.375</v>
      </c>
      <c r="Q34" s="60">
        <f>IF(N34&gt;0,0,IF(OR(AC34&gt;AD34,AE34&lt;AF34),0,IF(AND(AE34&gt;=AF34,AE34&lt;=AD34),P34*((AE34-AF34)*12),IF(AND(AF34&lt;=AC34,AD34&gt;=AC34),((AD34-AC34)*12)*P34,IF(AE34&gt;AD34,12*P34,0)))))</f>
        <v>7156.5</v>
      </c>
      <c r="R34" s="35">
        <f>IF(N34=0,0,IF(AND(AG34&gt;=AF34,AG34&lt;=AE34),((AG34-AF34)*12)*P34,0))</f>
        <v>0</v>
      </c>
      <c r="S34" s="35">
        <f>IF(R34&gt;0,R34,Q34)</f>
        <v>7156.5</v>
      </c>
      <c r="T34" s="35">
        <v>1</v>
      </c>
      <c r="U34" s="35">
        <f>T34*SUM(Q34:R34)</f>
        <v>7156.5</v>
      </c>
      <c r="V34" s="35"/>
      <c r="W34" s="35">
        <f>IF(AC34&gt;AD34,0,IF(AE34&lt;AF34,O34,IF(AND(AE34&gt;=AF34,AE34&lt;=AD34),(O34-S34),IF(AND(AF34&lt;=AC34,AD34&gt;=AC34),0,IF(AE34&gt;AD34,((AF34-AC34)*12)*P34,0)))))</f>
        <v>596.3749999994576</v>
      </c>
      <c r="X34" s="35">
        <f>W34*T34</f>
        <v>596.3749999994576</v>
      </c>
      <c r="Y34" s="35">
        <v>1</v>
      </c>
      <c r="Z34" s="60">
        <f>X34*Y34-977</f>
        <v>-380.6250000005424</v>
      </c>
      <c r="AA34" s="60">
        <f>IF(N34&gt;0,0,Z34+U34*Y34)*Y34</f>
        <v>6775.874999999458</v>
      </c>
      <c r="AB34" s="60">
        <f>IF(N34&gt;0,(M34-Z34)/2,IF(AC34&gt;=AF34,(((M34*T34)*Y34)-AA34)/2,((((M34*T34)*Y34)-Z34)+(((M34*T34)*Y34)-AA34))/2))</f>
        <v>32584.875000000546</v>
      </c>
      <c r="AC34" s="35">
        <f>$D34+(($E34-1)/12)</f>
        <v>2009.5</v>
      </c>
      <c r="AD34" s="35">
        <f>($O$5+1)-($O$2/12)</f>
        <v>2010.5833333333333</v>
      </c>
      <c r="AE34" s="35">
        <f>$J34+(($E34-1)/12)</f>
        <v>2014.5</v>
      </c>
      <c r="AF34" s="35">
        <f>$O$4+($O$3/12)</f>
        <v>2009.5833333333333</v>
      </c>
      <c r="AG34" s="35">
        <f>$K34+(($L34-1)/12)</f>
        <v>-0.08333333333333333</v>
      </c>
      <c r="AH34" s="16"/>
      <c r="AI34" s="16"/>
      <c r="AJ34" s="16"/>
      <c r="AK34" s="16"/>
      <c r="AL34" s="16"/>
      <c r="AM34" s="16"/>
      <c r="AN34" s="16"/>
      <c r="AO34" s="16"/>
    </row>
    <row r="35" s="8" customFormat="1" ht="11.25"/>
    <row r="36" spans="17:28" s="8" customFormat="1" ht="11.25">
      <c r="Q36" s="9">
        <f>Q19+Q23+Q25+Q27+Q31+Q34</f>
        <v>161761.8785714286</v>
      </c>
      <c r="AB36" s="9">
        <f>AB19+AB23+AB25+AB27+AB31+AB34</f>
        <v>1368513.154166679</v>
      </c>
    </row>
    <row r="37" s="8" customFormat="1" ht="11.25"/>
    <row r="38" s="8" customFormat="1" ht="11.25"/>
    <row r="39" s="8" customFormat="1" ht="11.25"/>
  </sheetData>
  <printOptions/>
  <pageMargins left="0.75" right="0.75" top="1" bottom="1" header="0.5" footer="0.5"/>
  <pageSetup horizontalDpi="300" verticalDpi="300" orientation="landscape" scale="80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169"/>
  <sheetViews>
    <sheetView workbookViewId="0" topLeftCell="A1">
      <selection activeCell="A1" sqref="A1"/>
    </sheetView>
  </sheetViews>
  <sheetFormatPr defaultColWidth="8.796875" defaultRowHeight="12"/>
  <cols>
    <col min="2" max="2" width="17.59765625" style="0" customWidth="1"/>
    <col min="3" max="3" width="10" style="0" customWidth="1"/>
  </cols>
  <sheetData>
    <row r="1" spans="1:7" ht="12">
      <c r="A1" s="1" t="s">
        <v>111</v>
      </c>
      <c r="B1" s="1"/>
      <c r="C1" s="1"/>
      <c r="D1" s="1"/>
      <c r="E1" s="1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7" ht="12">
      <c r="A3" s="1"/>
      <c r="B3" s="1"/>
      <c r="C3" s="1"/>
      <c r="D3" s="1"/>
      <c r="E3" s="1"/>
      <c r="F3" s="1"/>
      <c r="G3" s="1"/>
    </row>
    <row r="4" spans="1:7" ht="12">
      <c r="A4" s="1"/>
      <c r="B4" s="1"/>
      <c r="C4" s="1"/>
      <c r="D4" s="1"/>
      <c r="E4" s="1"/>
      <c r="F4" s="1"/>
      <c r="G4" s="1"/>
    </row>
    <row r="5" spans="1:8" ht="12">
      <c r="A5" s="1" t="s">
        <v>112</v>
      </c>
      <c r="B5" s="1"/>
      <c r="C5" s="194" t="s">
        <v>462</v>
      </c>
      <c r="D5" s="194" t="s">
        <v>461</v>
      </c>
      <c r="E5" s="194" t="s">
        <v>462</v>
      </c>
      <c r="F5" s="194" t="s">
        <v>463</v>
      </c>
      <c r="G5" s="194" t="s">
        <v>464</v>
      </c>
      <c r="H5" s="195" t="s">
        <v>465</v>
      </c>
    </row>
    <row r="6" spans="1:7" ht="12">
      <c r="A6" s="1" t="s">
        <v>116</v>
      </c>
      <c r="B6" s="1"/>
      <c r="C6" s="207" t="s">
        <v>488</v>
      </c>
      <c r="D6" s="13">
        <v>18.3</v>
      </c>
      <c r="E6" s="1"/>
      <c r="F6" s="1"/>
      <c r="G6" s="1"/>
    </row>
    <row r="7" spans="1:7" ht="12">
      <c r="A7" s="1" t="s">
        <v>120</v>
      </c>
      <c r="B7" s="1"/>
      <c r="C7" s="207" t="s">
        <v>488</v>
      </c>
      <c r="D7" s="13">
        <f>D6*1.5</f>
        <v>27.450000000000003</v>
      </c>
      <c r="E7" s="1"/>
      <c r="F7" s="1"/>
      <c r="G7" s="1"/>
    </row>
    <row r="8" spans="1:7" ht="12">
      <c r="A8" s="1" t="s">
        <v>439</v>
      </c>
      <c r="B8" s="1"/>
      <c r="C8" s="1">
        <v>503.42</v>
      </c>
      <c r="D8" s="13">
        <v>265.06</v>
      </c>
      <c r="E8" s="1"/>
      <c r="F8" s="1"/>
      <c r="G8" s="1"/>
    </row>
    <row r="9" spans="1:7" ht="12">
      <c r="A9" s="1" t="s">
        <v>438</v>
      </c>
      <c r="B9" s="1"/>
      <c r="C9" s="1">
        <v>66.76</v>
      </c>
      <c r="D9" s="13">
        <v>27.5</v>
      </c>
      <c r="E9" s="1"/>
      <c r="F9" s="1"/>
      <c r="G9" s="1"/>
    </row>
    <row r="10" spans="1:7" ht="12">
      <c r="A10" s="1" t="s">
        <v>440</v>
      </c>
      <c r="B10" s="1"/>
      <c r="C10" s="1">
        <v>75.73</v>
      </c>
      <c r="D10" s="13">
        <v>0</v>
      </c>
      <c r="E10" s="1"/>
      <c r="F10" s="1"/>
      <c r="G10" s="1"/>
    </row>
    <row r="11" spans="1:7" ht="12">
      <c r="A11" s="1" t="s">
        <v>441</v>
      </c>
      <c r="B11" s="1"/>
      <c r="C11" s="1">
        <v>76.2</v>
      </c>
      <c r="D11" s="13">
        <v>70.2</v>
      </c>
      <c r="E11" s="1"/>
      <c r="F11" s="1"/>
      <c r="G11" s="1"/>
    </row>
    <row r="12" spans="1:7" ht="12">
      <c r="A12" s="1" t="s">
        <v>442</v>
      </c>
      <c r="B12" s="1"/>
      <c r="C12" s="1">
        <v>0</v>
      </c>
      <c r="D12" s="13">
        <v>0</v>
      </c>
      <c r="E12" s="1"/>
      <c r="F12" s="1"/>
      <c r="G12" s="1"/>
    </row>
    <row r="13" spans="1:7" ht="12">
      <c r="A13" s="1" t="s">
        <v>443</v>
      </c>
      <c r="B13" s="1"/>
      <c r="C13" s="1">
        <v>14.37</v>
      </c>
      <c r="D13" s="13">
        <v>0</v>
      </c>
      <c r="E13" s="1"/>
      <c r="F13" s="1"/>
      <c r="G13" s="1"/>
    </row>
    <row r="14" spans="1:7" ht="12">
      <c r="A14" s="1" t="s">
        <v>444</v>
      </c>
      <c r="B14" s="1"/>
      <c r="C14" s="13">
        <v>11931.03</v>
      </c>
      <c r="D14" s="13">
        <f>(D8+D9+D10)*D6</f>
        <v>5353.848</v>
      </c>
      <c r="E14" s="1" t="s">
        <v>0</v>
      </c>
      <c r="F14" s="1"/>
      <c r="G14" s="1"/>
    </row>
    <row r="15" spans="1:7" ht="12">
      <c r="A15" s="1" t="s">
        <v>114</v>
      </c>
      <c r="B15" s="1"/>
      <c r="C15" s="13">
        <v>2380.98</v>
      </c>
      <c r="D15" s="13">
        <f>(D11+D12+D13)*D7</f>
        <v>1926.9900000000002</v>
      </c>
      <c r="E15" s="1"/>
      <c r="F15" s="1"/>
      <c r="G15" s="1"/>
    </row>
    <row r="16" spans="1:7" ht="12">
      <c r="A16" s="1" t="s">
        <v>487</v>
      </c>
      <c r="B16" s="1"/>
      <c r="C16" s="13">
        <v>439.2</v>
      </c>
      <c r="D16" s="13"/>
      <c r="E16" s="1"/>
      <c r="F16" s="1"/>
      <c r="G16" s="1"/>
    </row>
    <row r="17" spans="1:7" ht="12">
      <c r="A17" s="1" t="s">
        <v>478</v>
      </c>
      <c r="B17" s="1"/>
      <c r="C17" s="1"/>
      <c r="D17" s="13">
        <v>37.1</v>
      </c>
      <c r="E17" s="1"/>
      <c r="F17" s="1"/>
      <c r="G17" s="1"/>
    </row>
    <row r="18" spans="1:7" ht="12">
      <c r="A18" s="1" t="s">
        <v>454</v>
      </c>
      <c r="B18" s="1"/>
      <c r="C18" s="181">
        <f>C14+C15+C16</f>
        <v>14751.210000000001</v>
      </c>
      <c r="D18" s="181">
        <f>D14+D15+D17</f>
        <v>7317.938</v>
      </c>
      <c r="E18" s="1"/>
      <c r="F18" s="1"/>
      <c r="G18" s="1"/>
    </row>
    <row r="19" spans="1:7" ht="12">
      <c r="A19" s="1"/>
      <c r="B19" s="1"/>
      <c r="C19" s="1"/>
      <c r="D19" s="1"/>
      <c r="E19" s="1"/>
      <c r="F19" s="1"/>
      <c r="G19" s="1"/>
    </row>
    <row r="20" spans="1:7" ht="12">
      <c r="A20" s="1" t="s">
        <v>123</v>
      </c>
      <c r="B20" s="1"/>
      <c r="C20" s="1"/>
      <c r="D20" s="1"/>
      <c r="E20" s="1"/>
      <c r="F20" s="1"/>
      <c r="G20" s="1"/>
    </row>
    <row r="21" spans="1:7" ht="12">
      <c r="A21" s="1" t="s">
        <v>124</v>
      </c>
      <c r="B21" s="1"/>
      <c r="C21" s="171">
        <v>2.99</v>
      </c>
      <c r="D21" s="171">
        <v>2.85</v>
      </c>
      <c r="E21" s="1"/>
      <c r="F21" s="1" t="s">
        <v>0</v>
      </c>
      <c r="G21" s="1"/>
    </row>
    <row r="22" spans="1:7" ht="12">
      <c r="A22" s="1" t="s">
        <v>445</v>
      </c>
      <c r="B22" s="1"/>
      <c r="C22" s="13">
        <f>Fuel!F57</f>
        <v>1681.11</v>
      </c>
      <c r="D22" s="13">
        <v>1009</v>
      </c>
      <c r="E22" s="1"/>
      <c r="F22" s="1"/>
      <c r="G22" s="1"/>
    </row>
    <row r="23" spans="1:7" ht="12">
      <c r="A23" s="1" t="s">
        <v>446</v>
      </c>
      <c r="B23" s="1"/>
      <c r="C23" s="13">
        <f>Fuel!C41</f>
        <v>798</v>
      </c>
      <c r="D23" s="13">
        <v>336</v>
      </c>
      <c r="E23" s="1"/>
      <c r="F23" s="1"/>
      <c r="G23" s="1"/>
    </row>
    <row r="24" spans="1:7" ht="12">
      <c r="A24" s="1" t="s">
        <v>447</v>
      </c>
      <c r="B24" s="1"/>
      <c r="C24" s="13">
        <f>Fuel!C48</f>
        <v>203.14</v>
      </c>
      <c r="D24" s="13">
        <v>0</v>
      </c>
      <c r="E24" s="1"/>
      <c r="F24" s="11"/>
      <c r="G24" s="1"/>
    </row>
    <row r="25" spans="1:7" ht="12">
      <c r="A25" s="1" t="s">
        <v>130</v>
      </c>
      <c r="B25" s="1"/>
      <c r="C25" s="181">
        <f>(C22+C23+C24)*C21</f>
        <v>8019.927499999999</v>
      </c>
      <c r="D25" s="181">
        <f>(D22+D23+D24)*D21</f>
        <v>3833.25</v>
      </c>
      <c r="E25" s="167"/>
      <c r="F25" s="11"/>
      <c r="G25" s="1"/>
    </row>
    <row r="26" spans="1:7" ht="12">
      <c r="A26" s="1"/>
      <c r="B26" s="1"/>
      <c r="C26" s="1"/>
      <c r="D26" s="13"/>
      <c r="E26" s="1"/>
      <c r="F26" s="11"/>
      <c r="G26" s="1"/>
    </row>
    <row r="27" spans="1:7" ht="12">
      <c r="A27" s="1" t="s">
        <v>132</v>
      </c>
      <c r="B27" s="1"/>
      <c r="C27" s="1"/>
      <c r="D27" s="13"/>
      <c r="E27" s="1"/>
      <c r="F27" s="1"/>
      <c r="G27" s="1"/>
    </row>
    <row r="28" spans="1:7" ht="12">
      <c r="A28" s="1" t="s">
        <v>400</v>
      </c>
      <c r="B28" s="1"/>
      <c r="C28" s="1"/>
      <c r="D28" s="13"/>
      <c r="E28" s="1"/>
      <c r="F28" s="1"/>
      <c r="G28" s="1"/>
    </row>
    <row r="29" spans="1:7" ht="12">
      <c r="A29" s="1" t="s">
        <v>457</v>
      </c>
      <c r="B29" s="1"/>
      <c r="C29" s="13">
        <f>Fuel!F55</f>
        <v>5447</v>
      </c>
      <c r="D29" s="13">
        <v>2652</v>
      </c>
      <c r="E29" s="1"/>
      <c r="F29" s="11"/>
      <c r="G29" s="1"/>
    </row>
    <row r="30" spans="1:7" ht="12">
      <c r="A30" s="1" t="s">
        <v>458</v>
      </c>
      <c r="B30" s="1"/>
      <c r="C30" s="13">
        <f>Fuel!C39</f>
        <v>1995</v>
      </c>
      <c r="D30" s="13">
        <f>105*7</f>
        <v>735</v>
      </c>
      <c r="E30" s="1"/>
      <c r="F30" s="11"/>
      <c r="G30" s="1"/>
    </row>
    <row r="31" spans="1:7" ht="12">
      <c r="A31" s="1" t="s">
        <v>459</v>
      </c>
      <c r="B31" s="1"/>
      <c r="C31" s="13">
        <f>Fuel!C47</f>
        <v>1554</v>
      </c>
      <c r="D31" s="13">
        <v>0</v>
      </c>
      <c r="E31" s="1"/>
      <c r="F31" s="11"/>
      <c r="G31" s="1"/>
    </row>
    <row r="32" spans="1:7" ht="12">
      <c r="A32" s="1" t="s">
        <v>134</v>
      </c>
      <c r="B32" s="1"/>
      <c r="C32" s="13">
        <f>SUM(C29:C31)</f>
        <v>8996</v>
      </c>
      <c r="D32" s="13">
        <f>SUM(D29:D31)</f>
        <v>3387</v>
      </c>
      <c r="E32" s="1"/>
      <c r="F32" s="1"/>
      <c r="G32" s="1"/>
    </row>
    <row r="33" spans="1:7" ht="12">
      <c r="A33" s="1" t="s">
        <v>391</v>
      </c>
      <c r="B33" s="1"/>
      <c r="C33" s="1">
        <v>0.5</v>
      </c>
      <c r="D33" s="13">
        <f>0.76*0.6</f>
        <v>0.45599999999999996</v>
      </c>
      <c r="E33" s="1"/>
      <c r="F33" s="162"/>
      <c r="G33" s="166"/>
    </row>
    <row r="34" spans="1:7" ht="12">
      <c r="A34" s="1" t="s">
        <v>390</v>
      </c>
      <c r="B34" s="1"/>
      <c r="C34" s="181">
        <f>C32*C33</f>
        <v>4498</v>
      </c>
      <c r="D34" s="181">
        <f>D32*D33</f>
        <v>1544.472</v>
      </c>
      <c r="E34" s="1"/>
      <c r="F34" s="1"/>
      <c r="G34" s="1"/>
    </row>
    <row r="35" spans="1:7" ht="12">
      <c r="A35" s="1"/>
      <c r="B35" s="1"/>
      <c r="C35" s="1"/>
      <c r="D35" s="13"/>
      <c r="E35" s="1"/>
      <c r="F35" s="1"/>
      <c r="G35" s="1"/>
    </row>
    <row r="36" spans="1:7" ht="12">
      <c r="A36" s="1" t="s">
        <v>144</v>
      </c>
      <c r="B36" s="1"/>
      <c r="C36" s="1"/>
      <c r="D36" s="13"/>
      <c r="E36" s="1"/>
      <c r="F36" s="1"/>
      <c r="G36" s="1"/>
    </row>
    <row r="37" spans="1:7" ht="12">
      <c r="A37" s="1" t="s">
        <v>398</v>
      </c>
      <c r="B37" s="1"/>
      <c r="C37" s="13">
        <v>3</v>
      </c>
      <c r="D37" s="13">
        <v>3</v>
      </c>
      <c r="E37" s="1"/>
      <c r="F37" s="1"/>
      <c r="G37" s="1"/>
    </row>
    <row r="38" spans="1:7" ht="12">
      <c r="A38" s="1" t="s">
        <v>146</v>
      </c>
      <c r="B38" s="1"/>
      <c r="C38" s="13">
        <v>825</v>
      </c>
      <c r="D38" s="13">
        <v>825</v>
      </c>
      <c r="E38" s="1"/>
      <c r="F38" s="1"/>
      <c r="G38" s="1"/>
    </row>
    <row r="39" spans="1:7" ht="12">
      <c r="A39" s="1" t="s">
        <v>385</v>
      </c>
      <c r="B39" s="1"/>
      <c r="C39" s="13">
        <v>1</v>
      </c>
      <c r="D39" s="13">
        <v>1</v>
      </c>
      <c r="E39" s="1"/>
      <c r="F39" s="1"/>
      <c r="G39" s="1"/>
    </row>
    <row r="40" spans="1:7" ht="12">
      <c r="A40" s="1" t="s">
        <v>399</v>
      </c>
      <c r="B40" s="1"/>
      <c r="C40" s="13">
        <v>1832</v>
      </c>
      <c r="D40" s="13">
        <v>1832</v>
      </c>
      <c r="E40" s="1"/>
      <c r="F40" s="1"/>
      <c r="G40" s="1"/>
    </row>
    <row r="41" spans="1:7" ht="12">
      <c r="A41" s="1" t="s">
        <v>413</v>
      </c>
      <c r="B41" s="1"/>
      <c r="C41" s="13">
        <v>550</v>
      </c>
      <c r="D41" s="13">
        <v>550</v>
      </c>
      <c r="E41" s="1" t="s">
        <v>0</v>
      </c>
      <c r="F41" s="1"/>
      <c r="G41" s="1"/>
    </row>
    <row r="42" spans="1:7" ht="12">
      <c r="A42" s="1" t="s">
        <v>145</v>
      </c>
      <c r="B42" s="1"/>
      <c r="C42" s="13">
        <v>1</v>
      </c>
      <c r="D42" s="13">
        <v>1</v>
      </c>
      <c r="E42" s="1"/>
      <c r="F42" s="1"/>
      <c r="G42" s="1"/>
    </row>
    <row r="43" spans="1:7" ht="12">
      <c r="A43" s="1" t="s">
        <v>146</v>
      </c>
      <c r="B43" s="1"/>
      <c r="C43" s="13">
        <v>475</v>
      </c>
      <c r="D43" s="13">
        <v>475</v>
      </c>
      <c r="E43" s="1"/>
      <c r="F43" s="1"/>
      <c r="G43" s="1"/>
    </row>
    <row r="44" spans="1:7" ht="12">
      <c r="A44" s="1" t="s">
        <v>450</v>
      </c>
      <c r="B44" s="1"/>
      <c r="C44" s="181">
        <f>(C38*3+C40+C41+C43)/12</f>
        <v>444.3333333333333</v>
      </c>
      <c r="D44" s="181">
        <f>(D38*3+D40+D41+D43)/12</f>
        <v>444.3333333333333</v>
      </c>
      <c r="E44" s="1"/>
      <c r="F44" s="1"/>
      <c r="G44" s="1"/>
    </row>
    <row r="45" spans="1:7" ht="12">
      <c r="A45" s="1"/>
      <c r="B45" s="1"/>
      <c r="C45" s="1"/>
      <c r="D45" s="13"/>
      <c r="E45" s="1"/>
      <c r="F45" s="1"/>
      <c r="G45" s="1"/>
    </row>
    <row r="46" spans="1:7" ht="12">
      <c r="A46" s="1" t="s">
        <v>264</v>
      </c>
      <c r="B46" s="1"/>
      <c r="C46" s="1"/>
      <c r="D46" s="13"/>
      <c r="E46" s="1"/>
      <c r="F46" s="1"/>
      <c r="G46" s="1"/>
    </row>
    <row r="47" spans="1:7" ht="12">
      <c r="A47" s="1" t="s">
        <v>265</v>
      </c>
      <c r="B47" s="1"/>
      <c r="C47" s="13">
        <v>166.67</v>
      </c>
      <c r="D47" s="13">
        <v>166.67</v>
      </c>
      <c r="E47" s="1"/>
      <c r="F47" s="1"/>
      <c r="G47" s="1"/>
    </row>
    <row r="48" spans="1:7" ht="12">
      <c r="A48" s="1" t="s">
        <v>449</v>
      </c>
      <c r="B48" s="1"/>
      <c r="C48" s="181">
        <f>C47*5</f>
        <v>833.3499999999999</v>
      </c>
      <c r="D48" s="181">
        <f>D47*5</f>
        <v>833.3499999999999</v>
      </c>
      <c r="E48" s="1"/>
      <c r="F48" s="1"/>
      <c r="G48" s="1"/>
    </row>
    <row r="49" spans="1:7" ht="12">
      <c r="A49" s="1"/>
      <c r="B49" s="1"/>
      <c r="C49" s="1"/>
      <c r="D49" s="13"/>
      <c r="E49" s="1"/>
      <c r="F49" s="1"/>
      <c r="G49" s="1"/>
    </row>
    <row r="50" spans="1:7" ht="12">
      <c r="A50" s="1" t="s">
        <v>267</v>
      </c>
      <c r="B50" s="1"/>
      <c r="C50" s="1"/>
      <c r="D50" s="13"/>
      <c r="E50" s="1"/>
      <c r="F50" s="1"/>
      <c r="G50" s="1"/>
    </row>
    <row r="51" spans="1:7" ht="12">
      <c r="A51" s="1" t="s">
        <v>206</v>
      </c>
      <c r="B51" s="1"/>
      <c r="C51" s="13">
        <v>4.5</v>
      </c>
      <c r="D51" s="13">
        <v>4.5</v>
      </c>
      <c r="E51" s="1"/>
      <c r="F51" s="1"/>
      <c r="G51" s="1"/>
    </row>
    <row r="52" spans="1:7" ht="12">
      <c r="A52" s="1" t="s">
        <v>268</v>
      </c>
      <c r="B52" s="1"/>
      <c r="C52" s="13">
        <f>646/12</f>
        <v>53.833333333333336</v>
      </c>
      <c r="D52" s="13">
        <f>646/12</f>
        <v>53.833333333333336</v>
      </c>
      <c r="E52" s="1"/>
      <c r="F52" s="163"/>
      <c r="G52" s="1"/>
    </row>
    <row r="53" spans="1:7" ht="12">
      <c r="A53" s="1" t="s">
        <v>138</v>
      </c>
      <c r="B53" s="1"/>
      <c r="C53" s="181">
        <f>C51*C52</f>
        <v>242.25</v>
      </c>
      <c r="D53" s="181">
        <f>D51*D52</f>
        <v>242.25</v>
      </c>
      <c r="E53" s="1"/>
      <c r="F53" s="1"/>
      <c r="G53" s="1"/>
    </row>
    <row r="54" spans="1:7" ht="12">
      <c r="A54" s="191" t="s">
        <v>451</v>
      </c>
      <c r="B54" s="1"/>
      <c r="C54" s="1"/>
      <c r="D54" s="13"/>
      <c r="E54" s="12"/>
      <c r="F54" s="1"/>
      <c r="G54" s="1"/>
    </row>
    <row r="55" spans="1:7" ht="12">
      <c r="A55" s="1"/>
      <c r="B55" s="1"/>
      <c r="C55" s="1"/>
      <c r="D55" s="13"/>
      <c r="E55" s="12"/>
      <c r="F55" s="1"/>
      <c r="G55" s="1"/>
    </row>
    <row r="56" spans="1:7" ht="12">
      <c r="A56" s="1" t="s">
        <v>401</v>
      </c>
      <c r="B56" s="1"/>
      <c r="C56" s="1"/>
      <c r="D56" s="13"/>
      <c r="E56" s="12"/>
      <c r="F56" s="1"/>
      <c r="G56" s="1"/>
    </row>
    <row r="57" spans="1:7" ht="12">
      <c r="A57" s="1" t="s">
        <v>402</v>
      </c>
      <c r="B57" s="1"/>
      <c r="C57" s="13">
        <f>11165/17/12</f>
        <v>54.73039215686274</v>
      </c>
      <c r="D57" s="13">
        <f>11165/17/12</f>
        <v>54.73039215686274</v>
      </c>
      <c r="E57" s="12"/>
      <c r="F57" s="1"/>
      <c r="G57" s="1"/>
    </row>
    <row r="58" spans="1:7" ht="12">
      <c r="A58" s="1" t="s">
        <v>403</v>
      </c>
      <c r="B58" s="1"/>
      <c r="C58" s="181">
        <f>4*C57</f>
        <v>218.92156862745097</v>
      </c>
      <c r="D58" s="181">
        <f>4*D57</f>
        <v>218.92156862745097</v>
      </c>
      <c r="E58" s="12"/>
      <c r="F58" s="1"/>
      <c r="G58" s="1"/>
    </row>
    <row r="59" spans="1:7" ht="12">
      <c r="A59" s="1"/>
      <c r="B59" s="1"/>
      <c r="C59" s="1"/>
      <c r="D59" s="13"/>
      <c r="E59" s="12"/>
      <c r="F59" s="1"/>
      <c r="G59" s="1"/>
    </row>
    <row r="60" spans="1:7" ht="12">
      <c r="A60" s="1" t="s">
        <v>139</v>
      </c>
      <c r="B60" s="1"/>
      <c r="C60" s="1"/>
      <c r="D60" s="13"/>
      <c r="E60" s="1"/>
      <c r="F60" s="1"/>
      <c r="G60" s="1"/>
    </row>
    <row r="61" spans="1:7" ht="12">
      <c r="A61" s="1" t="s">
        <v>140</v>
      </c>
      <c r="B61" s="1"/>
      <c r="C61" s="13">
        <v>2800</v>
      </c>
      <c r="D61" s="13">
        <v>2800</v>
      </c>
      <c r="E61" s="1"/>
      <c r="F61" s="1"/>
      <c r="G61" s="1"/>
    </row>
    <row r="62" spans="1:7" ht="12">
      <c r="A62" s="1" t="s">
        <v>141</v>
      </c>
      <c r="B62" s="1"/>
      <c r="C62" s="13">
        <v>200</v>
      </c>
      <c r="D62" s="13">
        <v>200</v>
      </c>
      <c r="E62" s="1"/>
      <c r="F62" s="1"/>
      <c r="G62" s="1"/>
    </row>
    <row r="63" spans="1:7" ht="12">
      <c r="A63" s="1" t="s">
        <v>143</v>
      </c>
      <c r="B63" s="1"/>
      <c r="C63" s="181">
        <f>SUM(C61:C62)</f>
        <v>3000</v>
      </c>
      <c r="D63" s="181">
        <f>SUM(D61:D62)</f>
        <v>3000</v>
      </c>
      <c r="E63" s="1"/>
      <c r="F63" s="1"/>
      <c r="G63" s="1"/>
    </row>
    <row r="64" spans="1:7" ht="12">
      <c r="A64" s="1"/>
      <c r="B64" s="1"/>
      <c r="C64" s="1"/>
      <c r="D64" s="13"/>
      <c r="E64" s="1"/>
      <c r="F64" s="1"/>
      <c r="G64" s="1"/>
    </row>
    <row r="65" spans="1:7" ht="12">
      <c r="A65" s="1" t="s">
        <v>422</v>
      </c>
      <c r="B65" s="1"/>
      <c r="C65" s="1"/>
      <c r="D65" s="13"/>
      <c r="E65" s="1"/>
      <c r="F65" s="1"/>
      <c r="G65" s="1"/>
    </row>
    <row r="66" spans="1:7" ht="12">
      <c r="A66" s="1" t="s">
        <v>425</v>
      </c>
      <c r="B66" s="1"/>
      <c r="C66" s="1"/>
      <c r="D66" s="13"/>
      <c r="E66" s="1"/>
      <c r="F66" s="1"/>
      <c r="G66" s="1"/>
    </row>
    <row r="67" spans="1:7" ht="12">
      <c r="A67" s="1" t="s">
        <v>424</v>
      </c>
      <c r="B67" s="1"/>
      <c r="C67" s="1"/>
      <c r="D67" s="13"/>
      <c r="E67" s="1"/>
      <c r="F67" s="1"/>
      <c r="G67" s="1"/>
    </row>
    <row r="68" spans="1:7" ht="12">
      <c r="A68" s="1" t="s">
        <v>371</v>
      </c>
      <c r="B68" s="1"/>
      <c r="C68" s="1"/>
      <c r="D68" s="13"/>
      <c r="E68" s="1"/>
      <c r="F68" s="1"/>
      <c r="G68" s="1"/>
    </row>
    <row r="69" spans="1:7" ht="12">
      <c r="A69" s="1"/>
      <c r="B69" s="1"/>
      <c r="C69" s="1"/>
      <c r="D69" s="13"/>
      <c r="E69" s="1"/>
      <c r="F69" s="1"/>
      <c r="G69" s="1"/>
    </row>
    <row r="70" spans="1:7" ht="12">
      <c r="A70" s="1" t="s">
        <v>203</v>
      </c>
      <c r="B70" s="1"/>
      <c r="C70" s="1"/>
      <c r="D70" s="13"/>
      <c r="E70" s="1"/>
      <c r="F70" s="1"/>
      <c r="G70" s="1"/>
    </row>
    <row r="71" spans="1:7" ht="12">
      <c r="A71" s="1" t="s">
        <v>206</v>
      </c>
      <c r="B71" s="1"/>
      <c r="C71" s="13">
        <v>0.5</v>
      </c>
      <c r="D71" s="13">
        <v>0.5</v>
      </c>
      <c r="E71" s="1"/>
      <c r="F71" s="1"/>
      <c r="G71" s="1"/>
    </row>
    <row r="72" spans="1:7" ht="12">
      <c r="A72" s="1" t="s">
        <v>205</v>
      </c>
      <c r="B72" s="1"/>
      <c r="C72" s="13">
        <v>13.25</v>
      </c>
      <c r="D72" s="13">
        <v>13.25</v>
      </c>
      <c r="E72" s="1"/>
      <c r="F72" s="1"/>
      <c r="G72" s="1"/>
    </row>
    <row r="73" spans="1:7" ht="12">
      <c r="A73" s="1" t="s">
        <v>452</v>
      </c>
      <c r="B73" s="1"/>
      <c r="C73" s="13">
        <f>176*C71</f>
        <v>88</v>
      </c>
      <c r="D73" s="13">
        <v>88</v>
      </c>
      <c r="E73" s="1"/>
      <c r="F73" s="1"/>
      <c r="G73" s="1"/>
    </row>
    <row r="74" spans="1:7" ht="12">
      <c r="A74" s="1" t="s">
        <v>453</v>
      </c>
      <c r="B74" s="1"/>
      <c r="C74" s="181">
        <f>C72*C73</f>
        <v>1166</v>
      </c>
      <c r="D74" s="181">
        <f>D72*D73</f>
        <v>1166</v>
      </c>
      <c r="E74" s="1"/>
      <c r="F74" s="1"/>
      <c r="G74" s="1"/>
    </row>
    <row r="75" spans="1:7" ht="12">
      <c r="A75" s="1"/>
      <c r="B75" s="1"/>
      <c r="C75" s="1"/>
      <c r="D75" s="13"/>
      <c r="E75" s="1"/>
      <c r="F75" s="1"/>
      <c r="G75" s="1"/>
    </row>
    <row r="76" spans="1:7" ht="12">
      <c r="A76" s="1" t="s">
        <v>224</v>
      </c>
      <c r="B76" s="1"/>
      <c r="C76" s="1"/>
      <c r="D76" s="13"/>
      <c r="E76" s="1"/>
      <c r="F76" s="1"/>
      <c r="G76" s="1"/>
    </row>
    <row r="77" spans="1:7" ht="12">
      <c r="A77" s="1" t="s">
        <v>225</v>
      </c>
      <c r="B77" s="1"/>
      <c r="C77" s="13">
        <f>C18+C74</f>
        <v>15917.210000000001</v>
      </c>
      <c r="D77" s="13">
        <f>D18+D74</f>
        <v>8483.938</v>
      </c>
      <c r="E77" s="1"/>
      <c r="F77" s="1"/>
      <c r="G77" s="1"/>
    </row>
    <row r="78" spans="1:7" ht="12">
      <c r="A78" s="1" t="s">
        <v>31</v>
      </c>
      <c r="B78" s="1"/>
      <c r="C78" s="13">
        <f>C77*0.0765</f>
        <v>1217.666565</v>
      </c>
      <c r="D78" s="13">
        <f>D77*0.0765</f>
        <v>649.021257</v>
      </c>
      <c r="E78" s="1"/>
      <c r="F78" s="1"/>
      <c r="G78" s="1"/>
    </row>
    <row r="79" spans="1:7" ht="12">
      <c r="A79" s="1" t="s">
        <v>226</v>
      </c>
      <c r="B79" s="1"/>
      <c r="C79" s="13">
        <f>C77*0.0038</f>
        <v>60.485398</v>
      </c>
      <c r="D79" s="13">
        <f>D77*0.0038</f>
        <v>32.2389644</v>
      </c>
      <c r="E79" s="1"/>
      <c r="F79" s="1"/>
      <c r="G79" s="1"/>
    </row>
    <row r="80" spans="1:7" ht="12">
      <c r="A80" s="1" t="s">
        <v>227</v>
      </c>
      <c r="B80" s="1"/>
      <c r="C80" s="13">
        <f>(56*4.5)/12</f>
        <v>21</v>
      </c>
      <c r="D80" s="13">
        <f>(56*4.5)/12</f>
        <v>21</v>
      </c>
      <c r="E80" s="1"/>
      <c r="F80" s="1"/>
      <c r="G80" s="1"/>
    </row>
    <row r="81" spans="1:7" ht="12">
      <c r="A81" s="1" t="s">
        <v>456</v>
      </c>
      <c r="B81" s="1"/>
      <c r="C81" s="181">
        <f>C78+C79+C80</f>
        <v>1299.151963</v>
      </c>
      <c r="D81" s="181">
        <f>D78+D79+D80</f>
        <v>702.2602214</v>
      </c>
      <c r="E81" s="12"/>
      <c r="F81" s="1"/>
      <c r="G81" s="1"/>
    </row>
    <row r="82" spans="1:7" ht="12">
      <c r="A82" s="1"/>
      <c r="B82" s="1"/>
      <c r="C82" s="1"/>
      <c r="D82" s="13"/>
      <c r="E82" s="1"/>
      <c r="F82" s="1"/>
      <c r="G82" s="1"/>
    </row>
    <row r="83" spans="1:7" ht="12">
      <c r="A83" s="1" t="s">
        <v>229</v>
      </c>
      <c r="B83" s="1"/>
      <c r="C83" s="1"/>
      <c r="D83" s="13"/>
      <c r="E83" s="1"/>
      <c r="F83" s="1"/>
      <c r="G83" s="1"/>
    </row>
    <row r="84" spans="1:7" ht="12">
      <c r="A84" s="1" t="s">
        <v>206</v>
      </c>
      <c r="B84" s="1"/>
      <c r="C84" s="13">
        <v>4.5</v>
      </c>
      <c r="D84" s="13">
        <v>4.5</v>
      </c>
      <c r="E84" s="1"/>
      <c r="F84" s="1"/>
      <c r="G84" s="1"/>
    </row>
    <row r="85" spans="1:7" ht="12">
      <c r="A85" s="1" t="s">
        <v>230</v>
      </c>
      <c r="B85" s="1"/>
      <c r="C85" s="13">
        <v>239</v>
      </c>
      <c r="D85" s="13">
        <v>239</v>
      </c>
      <c r="E85" s="1"/>
      <c r="F85" s="1"/>
      <c r="G85" s="1"/>
    </row>
    <row r="86" spans="1:7" ht="12">
      <c r="A86" s="1" t="s">
        <v>231</v>
      </c>
      <c r="B86" s="1"/>
      <c r="C86" s="13">
        <f>C85*C84</f>
        <v>1075.5</v>
      </c>
      <c r="D86" s="13">
        <f>D85*D84</f>
        <v>1075.5</v>
      </c>
      <c r="E86" s="1"/>
      <c r="F86" s="1"/>
      <c r="G86" s="1"/>
    </row>
    <row r="87" spans="1:7" ht="12">
      <c r="A87" s="1" t="s">
        <v>232</v>
      </c>
      <c r="B87" s="1"/>
      <c r="C87" s="164">
        <v>0.0123</v>
      </c>
      <c r="D87" s="164">
        <v>0.0123</v>
      </c>
      <c r="E87" s="1"/>
      <c r="F87" s="1"/>
      <c r="G87" s="1"/>
    </row>
    <row r="88" spans="1:7" ht="12">
      <c r="A88" s="1" t="s">
        <v>233</v>
      </c>
      <c r="B88" s="1"/>
      <c r="C88" s="13">
        <f>(C18+C74)*C87</f>
        <v>195.78168300000002</v>
      </c>
      <c r="D88" s="13">
        <f>(D18+D74)*D87</f>
        <v>104.3524374</v>
      </c>
      <c r="E88" s="1"/>
      <c r="F88" s="1"/>
      <c r="G88" s="1"/>
    </row>
    <row r="89" spans="1:7" ht="12">
      <c r="A89" s="1" t="s">
        <v>455</v>
      </c>
      <c r="B89" s="1"/>
      <c r="C89" s="181">
        <f>C86+C88</f>
        <v>1271.281683</v>
      </c>
      <c r="D89" s="181">
        <f>D86+D88</f>
        <v>1179.8524374</v>
      </c>
      <c r="E89" s="1"/>
      <c r="F89" s="1"/>
      <c r="G89" s="1"/>
    </row>
    <row r="90" spans="1:7" ht="12">
      <c r="A90" s="1"/>
      <c r="B90" s="1"/>
      <c r="C90" s="1"/>
      <c r="D90" s="13"/>
      <c r="E90" s="1"/>
      <c r="F90" s="1"/>
      <c r="G90" s="1"/>
    </row>
    <row r="91" spans="1:7" ht="12">
      <c r="A91" s="1" t="s">
        <v>210</v>
      </c>
      <c r="B91" s="1"/>
      <c r="C91" s="1"/>
      <c r="D91" s="13"/>
      <c r="E91" s="1"/>
      <c r="F91" s="1"/>
      <c r="G91" s="1"/>
    </row>
    <row r="92" spans="1:7" ht="12">
      <c r="A92" s="1" t="s">
        <v>213</v>
      </c>
      <c r="B92" s="1"/>
      <c r="C92" s="13">
        <v>50</v>
      </c>
      <c r="D92" s="13">
        <v>50</v>
      </c>
      <c r="E92" s="1"/>
      <c r="F92" s="1"/>
      <c r="G92" s="1"/>
    </row>
    <row r="93" spans="1:7" ht="12">
      <c r="A93" s="1" t="s">
        <v>214</v>
      </c>
      <c r="B93" s="1"/>
      <c r="C93" s="13">
        <v>100</v>
      </c>
      <c r="D93" s="13">
        <v>100</v>
      </c>
      <c r="E93" s="1"/>
      <c r="F93" s="1"/>
      <c r="G93" s="1"/>
    </row>
    <row r="94" spans="1:7" ht="12">
      <c r="A94" s="1" t="s">
        <v>211</v>
      </c>
      <c r="B94" s="1"/>
      <c r="C94" s="181">
        <f>SUM(C92:C93)</f>
        <v>150</v>
      </c>
      <c r="D94" s="181">
        <f>SUM(D92:D93)</f>
        <v>150</v>
      </c>
      <c r="E94" s="1"/>
      <c r="F94" s="1"/>
      <c r="G94" s="1"/>
    </row>
    <row r="95" spans="1:7" ht="12">
      <c r="A95" s="1"/>
      <c r="B95" s="1"/>
      <c r="C95" s="1"/>
      <c r="D95" s="13"/>
      <c r="E95" s="1"/>
      <c r="F95" s="1"/>
      <c r="G95" s="1"/>
    </row>
    <row r="96" spans="1:7" ht="12">
      <c r="A96" s="1" t="s">
        <v>237</v>
      </c>
      <c r="B96" s="1"/>
      <c r="C96" s="1"/>
      <c r="D96" s="1"/>
      <c r="E96" s="1"/>
      <c r="F96" s="11"/>
      <c r="G96" s="1"/>
    </row>
    <row r="97" spans="1:7" ht="12">
      <c r="A97" s="1" t="s">
        <v>236</v>
      </c>
      <c r="B97" s="1"/>
      <c r="C97" s="13">
        <v>9473</v>
      </c>
      <c r="D97" s="13">
        <v>9853</v>
      </c>
      <c r="E97" s="1"/>
      <c r="F97" s="11"/>
      <c r="G97" s="1"/>
    </row>
    <row r="98" spans="1:7" ht="12">
      <c r="A98" s="1" t="s">
        <v>238</v>
      </c>
      <c r="B98" s="1"/>
      <c r="C98" s="13">
        <v>0.95</v>
      </c>
      <c r="D98" s="13">
        <v>0.95</v>
      </c>
      <c r="E98" s="1"/>
      <c r="F98" s="11"/>
      <c r="G98" s="1"/>
    </row>
    <row r="99" spans="1:7" ht="12">
      <c r="A99" s="1" t="s">
        <v>239</v>
      </c>
      <c r="B99" s="1"/>
      <c r="C99" s="13">
        <f>C97*C98</f>
        <v>8999.35</v>
      </c>
      <c r="D99" s="13">
        <f>D97*D98</f>
        <v>9360.35</v>
      </c>
      <c r="E99" s="1"/>
      <c r="F99" s="11"/>
      <c r="G99" s="1"/>
    </row>
    <row r="100" spans="1:7" ht="12">
      <c r="A100" s="1" t="s">
        <v>241</v>
      </c>
      <c r="B100" s="1"/>
      <c r="C100" s="13">
        <v>0.8321</v>
      </c>
      <c r="D100" s="13">
        <v>0.7</v>
      </c>
      <c r="E100" s="1"/>
      <c r="F100" s="11"/>
      <c r="G100" s="1"/>
    </row>
    <row r="101" spans="1:7" ht="12">
      <c r="A101" s="1" t="s">
        <v>242</v>
      </c>
      <c r="B101" s="1"/>
      <c r="C101" s="13">
        <f>C99*C100</f>
        <v>7488.359135</v>
      </c>
      <c r="D101" s="13">
        <f>D99*D100</f>
        <v>6552.245</v>
      </c>
      <c r="E101" s="1"/>
      <c r="F101" s="11"/>
      <c r="G101" s="1"/>
    </row>
    <row r="102" spans="1:7" ht="12">
      <c r="A102" s="1" t="s">
        <v>243</v>
      </c>
      <c r="B102" s="1"/>
      <c r="C102" s="13">
        <v>2.17</v>
      </c>
      <c r="D102" s="13">
        <v>1</v>
      </c>
      <c r="E102" s="1"/>
      <c r="F102" s="11"/>
      <c r="G102" s="1"/>
    </row>
    <row r="103" spans="1:7" ht="12">
      <c r="A103" s="1" t="s">
        <v>244</v>
      </c>
      <c r="B103" s="1"/>
      <c r="C103" s="11">
        <f>C101*C102</f>
        <v>16249.73932295</v>
      </c>
      <c r="D103" s="11">
        <f>D101*D102</f>
        <v>6552.245</v>
      </c>
      <c r="E103" s="1"/>
      <c r="F103" s="11"/>
      <c r="G103" s="1"/>
    </row>
    <row r="104" spans="1:7" ht="12">
      <c r="A104" s="1" t="s">
        <v>380</v>
      </c>
      <c r="B104" s="1"/>
      <c r="C104" s="13">
        <v>22.94</v>
      </c>
      <c r="D104" s="13">
        <v>17.88</v>
      </c>
      <c r="E104" s="1"/>
      <c r="F104" s="11"/>
      <c r="G104" s="1"/>
    </row>
    <row r="105" spans="1:7" ht="12">
      <c r="A105" s="1" t="s">
        <v>240</v>
      </c>
      <c r="B105" s="1"/>
      <c r="C105" s="181">
        <f>C103*C104/2000</f>
        <v>186.3845100342365</v>
      </c>
      <c r="D105" s="181">
        <f>D103*D104/2000</f>
        <v>58.577070299999995</v>
      </c>
      <c r="E105" s="1"/>
      <c r="F105" s="13"/>
      <c r="G105" s="1"/>
    </row>
    <row r="106" spans="1:7" ht="12">
      <c r="A106" s="1"/>
      <c r="B106" s="1"/>
      <c r="C106" s="1"/>
      <c r="D106" s="13"/>
      <c r="E106" s="1"/>
      <c r="F106" s="11"/>
      <c r="G106" s="1"/>
    </row>
    <row r="107" spans="1:7" ht="12">
      <c r="A107" s="1" t="s">
        <v>479</v>
      </c>
      <c r="B107" s="1"/>
      <c r="C107" s="14">
        <v>186.37</v>
      </c>
      <c r="D107" s="181">
        <v>58.58</v>
      </c>
      <c r="E107" s="12"/>
      <c r="F107" s="11"/>
      <c r="G107" s="1"/>
    </row>
    <row r="108" spans="1:7" ht="12">
      <c r="A108" s="1" t="s">
        <v>484</v>
      </c>
      <c r="B108" s="1"/>
      <c r="C108" s="200">
        <f>C107*2000/C97</f>
        <v>39.347619550300855</v>
      </c>
      <c r="D108" s="200">
        <f>D107*2000/D97</f>
        <v>11.890794681822795</v>
      </c>
      <c r="E108" s="12"/>
      <c r="F108" s="11"/>
      <c r="G108" s="1"/>
    </row>
    <row r="109" spans="1:7" ht="12">
      <c r="A109" s="1"/>
      <c r="B109" s="1"/>
      <c r="C109" s="1"/>
      <c r="D109" s="13"/>
      <c r="E109" s="1"/>
      <c r="F109" s="11"/>
      <c r="G109" s="1"/>
    </row>
    <row r="110" spans="1:7" ht="12">
      <c r="A110" s="1" t="s">
        <v>235</v>
      </c>
      <c r="B110" s="1"/>
      <c r="C110" s="1"/>
      <c r="D110" s="13"/>
      <c r="E110" s="1"/>
      <c r="F110" s="11"/>
      <c r="G110" s="1"/>
    </row>
    <row r="111" spans="1:7" ht="12">
      <c r="A111" s="1" t="s">
        <v>246</v>
      </c>
      <c r="B111" s="1"/>
      <c r="C111" s="1">
        <f>C107</f>
        <v>186.37</v>
      </c>
      <c r="D111" s="1">
        <f>58.58</f>
        <v>58.58</v>
      </c>
      <c r="E111" s="1"/>
      <c r="F111" s="11"/>
      <c r="G111" s="1"/>
    </row>
    <row r="112" spans="1:7" ht="12">
      <c r="A112" s="1" t="s">
        <v>247</v>
      </c>
      <c r="B112" s="1"/>
      <c r="C112" s="13">
        <v>62.89</v>
      </c>
      <c r="D112" s="13">
        <v>62.89</v>
      </c>
      <c r="E112" s="1"/>
      <c r="F112" s="1"/>
      <c r="G112" s="1"/>
    </row>
    <row r="113" spans="1:7" ht="12">
      <c r="A113" s="1" t="s">
        <v>448</v>
      </c>
      <c r="B113" s="1"/>
      <c r="C113" s="181">
        <f>C111*C112</f>
        <v>11720.8093</v>
      </c>
      <c r="D113" s="181">
        <f>D111*D112</f>
        <v>3684.0962</v>
      </c>
      <c r="E113" s="1"/>
      <c r="F113" s="1"/>
      <c r="G113" s="1"/>
    </row>
    <row r="114" spans="1:7" ht="12">
      <c r="A114" s="1"/>
      <c r="B114" s="1"/>
      <c r="C114" s="1"/>
      <c r="D114" s="13"/>
      <c r="E114" s="12"/>
      <c r="F114" s="1"/>
      <c r="G114" s="1"/>
    </row>
    <row r="115" spans="1:7" ht="12">
      <c r="A115" s="1"/>
      <c r="B115" s="1"/>
      <c r="C115" s="1"/>
      <c r="D115" s="13"/>
      <c r="E115" s="1"/>
      <c r="F115" s="1"/>
      <c r="G115" s="1"/>
    </row>
    <row r="116" spans="1:7" ht="12">
      <c r="A116" s="1" t="s">
        <v>249</v>
      </c>
      <c r="B116" s="1"/>
      <c r="C116" s="1"/>
      <c r="D116" s="176"/>
      <c r="E116" s="1"/>
      <c r="F116" s="1"/>
      <c r="G116" s="1"/>
    </row>
    <row r="117" spans="1:7" ht="12">
      <c r="A117" s="1" t="s">
        <v>246</v>
      </c>
      <c r="B117" s="1"/>
      <c r="C117" s="1">
        <f>C111</f>
        <v>186.37</v>
      </c>
      <c r="D117" s="1">
        <f>D111</f>
        <v>58.58</v>
      </c>
      <c r="E117" s="1"/>
      <c r="F117" s="1"/>
      <c r="G117" s="1"/>
    </row>
    <row r="118" spans="1:7" ht="12">
      <c r="A118" s="1" t="s">
        <v>250</v>
      </c>
      <c r="B118" s="1"/>
      <c r="C118" s="13">
        <f>C117/C119</f>
        <v>9.808947368421054</v>
      </c>
      <c r="D118" s="13">
        <f>58.58/7</f>
        <v>8.368571428571428</v>
      </c>
      <c r="E118" s="1"/>
      <c r="F118" s="1"/>
      <c r="G118" s="1"/>
    </row>
    <row r="119" spans="1:7" ht="12">
      <c r="A119" s="1" t="s">
        <v>251</v>
      </c>
      <c r="B119" s="1"/>
      <c r="C119" s="13">
        <f>18+1</f>
        <v>19</v>
      </c>
      <c r="D119" s="13">
        <f>D117/D118</f>
        <v>7</v>
      </c>
      <c r="E119" s="1"/>
      <c r="F119" s="1"/>
      <c r="G119" s="1"/>
    </row>
    <row r="120" spans="1:7" ht="12">
      <c r="A120" s="1" t="s">
        <v>252</v>
      </c>
      <c r="B120" s="1"/>
      <c r="C120" s="13">
        <f>C121/C119</f>
        <v>3.513684210526316</v>
      </c>
      <c r="D120" s="13">
        <f>27.5/D119</f>
        <v>3.9285714285714284</v>
      </c>
      <c r="E120" s="1"/>
      <c r="F120" s="1"/>
      <c r="G120" s="1"/>
    </row>
    <row r="121" spans="1:7" ht="12">
      <c r="A121" s="1" t="s">
        <v>253</v>
      </c>
      <c r="B121" s="1"/>
      <c r="C121" s="13">
        <v>66.76</v>
      </c>
      <c r="D121" s="13">
        <f>D119*D120</f>
        <v>27.5</v>
      </c>
      <c r="E121" s="1"/>
      <c r="F121" s="1"/>
      <c r="G121" s="1"/>
    </row>
    <row r="122" spans="1:7" ht="12">
      <c r="A122" s="1" t="s">
        <v>260</v>
      </c>
      <c r="B122" s="1"/>
      <c r="C122" s="13">
        <v>0</v>
      </c>
      <c r="D122" s="13">
        <v>0</v>
      </c>
      <c r="E122" s="1"/>
      <c r="F122" s="1"/>
      <c r="G122" s="1"/>
    </row>
    <row r="123" spans="1:7" ht="12">
      <c r="A123" s="1"/>
      <c r="B123" s="1"/>
      <c r="C123" s="1"/>
      <c r="D123" s="13"/>
      <c r="E123" s="1"/>
      <c r="F123" s="1"/>
      <c r="G123" s="1"/>
    </row>
    <row r="124" spans="1:7" ht="12">
      <c r="A124" s="1" t="s">
        <v>255</v>
      </c>
      <c r="B124" s="1"/>
      <c r="C124" s="1"/>
      <c r="D124" s="13"/>
      <c r="E124" s="1"/>
      <c r="F124" s="1"/>
      <c r="G124" s="1"/>
    </row>
    <row r="125" spans="1:7" ht="12">
      <c r="A125" s="1" t="s">
        <v>256</v>
      </c>
      <c r="B125" s="1"/>
      <c r="C125" s="11">
        <f>C117</f>
        <v>186.37</v>
      </c>
      <c r="D125" s="11">
        <f>D117</f>
        <v>58.58</v>
      </c>
      <c r="E125" s="1"/>
      <c r="F125" s="1"/>
      <c r="G125" s="1"/>
    </row>
    <row r="126" spans="1:7" ht="12">
      <c r="A126" s="1" t="s">
        <v>481</v>
      </c>
      <c r="B126" s="1"/>
      <c r="C126" s="1">
        <v>112.01</v>
      </c>
      <c r="D126" s="1">
        <v>116.02</v>
      </c>
      <c r="E126" s="1"/>
      <c r="F126" s="1"/>
      <c r="G126" s="1"/>
    </row>
    <row r="127" spans="1:7" ht="12">
      <c r="A127" s="1" t="s">
        <v>75</v>
      </c>
      <c r="B127" s="1"/>
      <c r="C127" s="13">
        <f>C125*C126</f>
        <v>20875.3037</v>
      </c>
      <c r="D127" s="13">
        <f>D125*D126</f>
        <v>6796.451599999999</v>
      </c>
      <c r="E127" s="1"/>
      <c r="F127" s="1"/>
      <c r="G127" s="1"/>
    </row>
    <row r="128" spans="1:7" ht="12">
      <c r="A128" s="1"/>
      <c r="B128" s="1"/>
      <c r="C128" s="1"/>
      <c r="D128" s="1"/>
      <c r="E128" s="1"/>
      <c r="F128" s="1"/>
      <c r="G128" s="1"/>
    </row>
    <row r="129" spans="1:7" ht="12">
      <c r="A129" s="1" t="s">
        <v>75</v>
      </c>
      <c r="B129" s="1"/>
      <c r="C129" s="11">
        <f>C127</f>
        <v>20875.3037</v>
      </c>
      <c r="D129" s="11">
        <f>D127</f>
        <v>6796.451599999999</v>
      </c>
      <c r="E129" s="1"/>
      <c r="F129" s="1"/>
      <c r="G129" s="1"/>
    </row>
    <row r="130" spans="1:7" ht="12">
      <c r="A130" s="1" t="s">
        <v>261</v>
      </c>
      <c r="B130" s="1"/>
      <c r="C130" s="1">
        <v>0.7</v>
      </c>
      <c r="D130" s="1">
        <v>0.7</v>
      </c>
      <c r="E130" s="1"/>
      <c r="F130" s="1"/>
      <c r="G130" s="1"/>
    </row>
    <row r="131" spans="1:7" ht="12">
      <c r="A131" s="1" t="s">
        <v>263</v>
      </c>
      <c r="B131" s="1"/>
      <c r="C131" s="1">
        <v>0.3</v>
      </c>
      <c r="D131" s="1">
        <v>0.3</v>
      </c>
      <c r="E131" s="1"/>
      <c r="F131" s="1"/>
      <c r="G131" s="1"/>
    </row>
    <row r="132" spans="1:7" ht="12">
      <c r="A132" s="1" t="s">
        <v>533</v>
      </c>
      <c r="B132" s="1"/>
      <c r="C132" s="202">
        <f>C129*C130/C97</f>
        <v>1.5425644030402195</v>
      </c>
      <c r="D132" s="202">
        <f>D129*D130/D97</f>
        <v>0.4828494996447782</v>
      </c>
      <c r="E132" s="1"/>
      <c r="F132" s="1"/>
      <c r="G132" s="1"/>
    </row>
    <row r="133" spans="1:7" ht="12">
      <c r="A133" s="1"/>
      <c r="B133" s="1"/>
      <c r="C133" s="1"/>
      <c r="D133" s="173" t="s">
        <v>0</v>
      </c>
      <c r="E133" s="1" t="s">
        <v>0</v>
      </c>
      <c r="F133" s="1"/>
      <c r="G133" s="1"/>
    </row>
    <row r="134" spans="1:7" ht="12">
      <c r="A134" s="1" t="s">
        <v>482</v>
      </c>
      <c r="B134" s="1"/>
      <c r="C134" s="201">
        <v>1.15</v>
      </c>
      <c r="D134" s="201">
        <v>1.15</v>
      </c>
      <c r="E134" s="1"/>
      <c r="F134" s="1"/>
      <c r="G134" s="1"/>
    </row>
    <row r="135" spans="1:7" ht="12">
      <c r="A135" s="1" t="s">
        <v>483</v>
      </c>
      <c r="B135" s="1"/>
      <c r="C135" s="14"/>
      <c r="D135" s="14">
        <f>D134/2</f>
        <v>0.575</v>
      </c>
      <c r="E135" s="1"/>
      <c r="F135" s="1"/>
      <c r="G135" s="1"/>
    </row>
    <row r="136" spans="1:7" ht="12">
      <c r="A136" s="1" t="s">
        <v>485</v>
      </c>
      <c r="B136" s="1"/>
      <c r="C136" s="1">
        <f>C127*0.7/C97</f>
        <v>1.5425644030402195</v>
      </c>
      <c r="D136" s="1">
        <f>D127*0.7/D97</f>
        <v>0.4828494996447782</v>
      </c>
      <c r="E136" s="1"/>
      <c r="F136" s="1"/>
      <c r="G136" s="1"/>
    </row>
    <row r="137" spans="1:7" ht="12">
      <c r="A137" s="1"/>
      <c r="B137" s="1"/>
      <c r="C137" s="1"/>
      <c r="D137" s="11"/>
      <c r="E137" s="1"/>
      <c r="F137" s="1"/>
      <c r="G137" s="1"/>
    </row>
    <row r="138" spans="1:7" ht="12">
      <c r="A138" s="1" t="s">
        <v>486</v>
      </c>
      <c r="B138" s="1"/>
      <c r="C138" s="1">
        <f>C136-C134</f>
        <v>0.39256440304021956</v>
      </c>
      <c r="D138" s="13">
        <f>D136-D135</f>
        <v>-0.09215050035522176</v>
      </c>
      <c r="E138" s="107"/>
      <c r="F138" s="1"/>
      <c r="G138" s="1"/>
    </row>
    <row r="139" spans="1:7" ht="12">
      <c r="A139" s="1"/>
      <c r="B139" s="1"/>
      <c r="C139" s="1"/>
      <c r="D139" s="11"/>
      <c r="E139" s="107"/>
      <c r="F139" s="1"/>
      <c r="G139" s="1"/>
    </row>
    <row r="140" spans="1:7" ht="12">
      <c r="A140" s="1"/>
      <c r="B140" s="1"/>
      <c r="C140" s="1"/>
      <c r="D140" s="11"/>
      <c r="E140" s="107"/>
      <c r="F140" s="1"/>
      <c r="G140" s="1"/>
    </row>
    <row r="141" spans="1:7" ht="12">
      <c r="A141" s="1"/>
      <c r="B141" s="1"/>
      <c r="C141" s="1"/>
      <c r="D141" s="11"/>
      <c r="E141" s="1"/>
      <c r="F141" s="1"/>
      <c r="G141" s="1"/>
    </row>
    <row r="142" spans="1:7" ht="12">
      <c r="A142" s="1"/>
      <c r="B142" s="1"/>
      <c r="C142" s="1"/>
      <c r="D142" s="11"/>
      <c r="E142" s="109"/>
      <c r="F142" s="1"/>
      <c r="G142" s="1"/>
    </row>
    <row r="143" spans="1:7" ht="12">
      <c r="A143" s="1"/>
      <c r="B143" s="1"/>
      <c r="C143" s="1"/>
      <c r="D143" s="11"/>
      <c r="E143" s="1"/>
      <c r="F143" s="1"/>
      <c r="G143" s="1"/>
    </row>
    <row r="144" spans="1:7" ht="12">
      <c r="A144" s="1"/>
      <c r="B144" s="1"/>
      <c r="C144" s="1"/>
      <c r="D144" s="11"/>
      <c r="E144" s="1"/>
      <c r="F144" s="1"/>
      <c r="G144" s="1"/>
    </row>
    <row r="145" spans="1:7" ht="12">
      <c r="A145" s="1"/>
      <c r="B145" s="1"/>
      <c r="C145" s="1"/>
      <c r="D145" s="11"/>
      <c r="E145" s="109"/>
      <c r="F145" s="1"/>
      <c r="G145" s="1"/>
    </row>
    <row r="146" spans="1:7" ht="12">
      <c r="A146" s="1"/>
      <c r="B146" s="1"/>
      <c r="C146" s="1"/>
      <c r="D146" s="1"/>
      <c r="E146" s="1"/>
      <c r="F146" s="1"/>
      <c r="G146" s="1"/>
    </row>
    <row r="147" spans="1:7" ht="12">
      <c r="A147" s="1"/>
      <c r="B147" s="1"/>
      <c r="C147" s="1"/>
      <c r="D147" s="1"/>
      <c r="E147" s="1"/>
      <c r="F147" s="1"/>
      <c r="G147" s="1"/>
    </row>
    <row r="148" spans="1:7" ht="12">
      <c r="A148" s="1"/>
      <c r="B148" s="1"/>
      <c r="C148" s="1"/>
      <c r="D148" s="11"/>
      <c r="E148" s="1"/>
      <c r="F148" s="1"/>
      <c r="G148" s="1"/>
    </row>
    <row r="149" spans="1:7" ht="12">
      <c r="A149" s="1"/>
      <c r="B149" s="1"/>
      <c r="C149" s="1"/>
      <c r="D149" s="1"/>
      <c r="E149" s="1"/>
      <c r="F149" s="1"/>
      <c r="G149" s="1"/>
    </row>
    <row r="150" spans="1:7" ht="12">
      <c r="A150" s="1"/>
      <c r="B150" s="1"/>
      <c r="C150" s="1"/>
      <c r="D150" s="1"/>
      <c r="E150" s="1"/>
      <c r="F150" s="1"/>
      <c r="G150" s="1"/>
    </row>
    <row r="151" spans="1:7" ht="12">
      <c r="A151" s="1"/>
      <c r="B151" s="1"/>
      <c r="C151" s="1"/>
      <c r="D151" s="1"/>
      <c r="E151" s="1"/>
      <c r="F151" s="1"/>
      <c r="G151" s="1"/>
    </row>
    <row r="152" spans="1:7" ht="12">
      <c r="A152" s="1"/>
      <c r="B152" s="1"/>
      <c r="C152" s="1"/>
      <c r="D152" s="1"/>
      <c r="E152" s="1"/>
      <c r="F152" s="1"/>
      <c r="G152" s="1"/>
    </row>
    <row r="153" spans="1:7" ht="12">
      <c r="A153" s="1"/>
      <c r="B153" s="1"/>
      <c r="C153" s="1"/>
      <c r="D153" s="1"/>
      <c r="E153" s="1"/>
      <c r="F153" s="1"/>
      <c r="G153" s="1"/>
    </row>
    <row r="154" spans="1:7" ht="12">
      <c r="A154" s="1"/>
      <c r="B154" s="1"/>
      <c r="C154" s="1"/>
      <c r="D154" s="1"/>
      <c r="E154" s="1"/>
      <c r="F154" s="1"/>
      <c r="G154" s="1"/>
    </row>
    <row r="155" spans="1:7" ht="12">
      <c r="A155" s="1"/>
      <c r="B155" s="1"/>
      <c r="C155" s="1"/>
      <c r="D155" s="1"/>
      <c r="E155" s="1"/>
      <c r="F155" s="1"/>
      <c r="G155" s="1"/>
    </row>
    <row r="156" spans="1:7" ht="12">
      <c r="A156" s="1"/>
      <c r="B156" s="1"/>
      <c r="C156" s="1"/>
      <c r="D156" s="1"/>
      <c r="E156" s="1"/>
      <c r="F156" s="1"/>
      <c r="G156" s="1"/>
    </row>
    <row r="157" spans="1:7" ht="12">
      <c r="A157" s="1"/>
      <c r="B157" s="1"/>
      <c r="C157" s="1"/>
      <c r="D157" s="1"/>
      <c r="E157" s="1"/>
      <c r="F157" s="1"/>
      <c r="G157" s="1"/>
    </row>
    <row r="158" spans="1:7" ht="12">
      <c r="A158" s="1"/>
      <c r="B158" s="1"/>
      <c r="C158" s="1"/>
      <c r="D158" s="1"/>
      <c r="E158" s="1"/>
      <c r="F158" s="1"/>
      <c r="G158" s="1"/>
    </row>
    <row r="159" spans="1:7" ht="12">
      <c r="A159" s="1"/>
      <c r="B159" s="1"/>
      <c r="C159" s="1"/>
      <c r="D159" s="1"/>
      <c r="E159" s="1"/>
      <c r="F159" s="1"/>
      <c r="G159" s="1"/>
    </row>
    <row r="160" spans="1:7" ht="12">
      <c r="A160" s="1"/>
      <c r="B160" s="1"/>
      <c r="C160" s="1"/>
      <c r="D160" s="1"/>
      <c r="E160" s="1"/>
      <c r="F160" s="1"/>
      <c r="G160" s="1"/>
    </row>
    <row r="161" spans="1:7" ht="12">
      <c r="A161" s="1"/>
      <c r="B161" s="1"/>
      <c r="C161" s="1"/>
      <c r="D161" s="1"/>
      <c r="E161" s="1"/>
      <c r="F161" s="1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  <row r="167" spans="1:7" ht="12">
      <c r="A167" s="1"/>
      <c r="B167" s="1"/>
      <c r="C167" s="1"/>
      <c r="D167" s="1"/>
      <c r="E167" s="1"/>
      <c r="F167" s="1"/>
      <c r="G167" s="1"/>
    </row>
    <row r="168" spans="1:7" ht="12">
      <c r="A168" s="1"/>
      <c r="B168" s="1"/>
      <c r="C168" s="1"/>
      <c r="D168" s="1"/>
      <c r="E168" s="1"/>
      <c r="F168" s="1"/>
      <c r="G168" s="1"/>
    </row>
    <row r="169" spans="1:7" ht="12">
      <c r="A169" s="1"/>
      <c r="B169" s="1"/>
      <c r="C169" s="1"/>
      <c r="D169" s="1"/>
      <c r="E169" s="1"/>
      <c r="F169" s="1"/>
      <c r="G169" s="1"/>
    </row>
  </sheetData>
  <printOptions/>
  <pageMargins left="0.75" right="0.75" top="1" bottom="1" header="0.5" footer="0.5"/>
  <pageSetup horizontalDpi="300" verticalDpi="300" orientation="portrait" scale="98" r:id="rId1"/>
  <rowBreaks count="2" manualBreakCount="2">
    <brk id="55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45"/>
  <sheetViews>
    <sheetView workbookViewId="0" topLeftCell="A21">
      <selection activeCell="E49" sqref="E49"/>
    </sheetView>
  </sheetViews>
  <sheetFormatPr defaultColWidth="8.796875" defaultRowHeight="12"/>
  <sheetData>
    <row r="1" spans="1:8" ht="11.25">
      <c r="A1" s="212" t="s">
        <v>489</v>
      </c>
      <c r="B1" s="208"/>
      <c r="C1" s="208"/>
      <c r="D1" s="208"/>
      <c r="E1" s="208"/>
      <c r="F1" s="208"/>
      <c r="G1" s="208"/>
      <c r="H1" s="208"/>
    </row>
    <row r="2" spans="1:8" ht="11.25">
      <c r="A2" s="208"/>
      <c r="B2" s="208"/>
      <c r="C2" s="208"/>
      <c r="D2" s="208"/>
      <c r="E2" s="208"/>
      <c r="F2" s="208"/>
      <c r="G2" s="208"/>
      <c r="H2" s="208"/>
    </row>
    <row r="3" spans="1:8" ht="11.25">
      <c r="A3" s="212" t="s">
        <v>453</v>
      </c>
      <c r="B3" s="208"/>
      <c r="C3" s="208"/>
      <c r="D3" s="208"/>
      <c r="E3" s="208"/>
      <c r="F3" s="208"/>
      <c r="G3" s="208"/>
      <c r="H3" s="208"/>
    </row>
    <row r="4" spans="1:8" ht="11.25">
      <c r="A4" s="208"/>
      <c r="B4" s="208"/>
      <c r="C4" s="208"/>
      <c r="D4" s="208"/>
      <c r="E4" s="208"/>
      <c r="F4" s="208"/>
      <c r="G4" s="208"/>
      <c r="H4" s="208"/>
    </row>
    <row r="5" spans="1:8" ht="11.25">
      <c r="A5" s="208" t="s">
        <v>490</v>
      </c>
      <c r="B5" s="208"/>
      <c r="C5" s="208"/>
      <c r="D5" s="208"/>
      <c r="E5" s="208"/>
      <c r="F5" s="208"/>
      <c r="G5" s="208"/>
      <c r="H5" s="208"/>
    </row>
    <row r="6" spans="1:8" ht="11.25">
      <c r="A6" s="208"/>
      <c r="B6" s="208"/>
      <c r="C6" s="208"/>
      <c r="D6" s="208"/>
      <c r="E6" s="208"/>
      <c r="F6" s="208"/>
      <c r="G6" s="208"/>
      <c r="H6" s="208"/>
    </row>
    <row r="7" spans="1:8" ht="11.25">
      <c r="A7" s="208"/>
      <c r="B7" s="208"/>
      <c r="C7" s="209" t="s">
        <v>491</v>
      </c>
      <c r="D7" s="209" t="s">
        <v>492</v>
      </c>
      <c r="E7" s="209" t="s">
        <v>493</v>
      </c>
      <c r="F7" s="209" t="s">
        <v>494</v>
      </c>
      <c r="G7" s="209" t="s">
        <v>495</v>
      </c>
      <c r="H7" s="208"/>
    </row>
    <row r="8" spans="1:8" ht="11.25">
      <c r="A8" s="208" t="s">
        <v>496</v>
      </c>
      <c r="B8" s="208"/>
      <c r="C8" s="210">
        <v>16.9</v>
      </c>
      <c r="D8" s="210">
        <f>C8*1.5</f>
        <v>25.349999999999998</v>
      </c>
      <c r="E8" s="210">
        <v>89.51</v>
      </c>
      <c r="F8" s="210">
        <v>19.5</v>
      </c>
      <c r="G8" s="210">
        <f>C8*E8+D8*F8</f>
        <v>2007.0439999999999</v>
      </c>
      <c r="H8" s="208"/>
    </row>
    <row r="9" spans="1:8" ht="11.25">
      <c r="A9" s="208" t="s">
        <v>497</v>
      </c>
      <c r="B9" s="208"/>
      <c r="C9" s="210">
        <v>19</v>
      </c>
      <c r="D9" s="210">
        <f>C9*1.5</f>
        <v>28.5</v>
      </c>
      <c r="E9" s="210">
        <v>88.12</v>
      </c>
      <c r="F9" s="210">
        <v>22.17</v>
      </c>
      <c r="G9" s="210">
        <f>C9*E9+D9*F9</f>
        <v>2306.125</v>
      </c>
      <c r="H9" s="208"/>
    </row>
    <row r="10" spans="1:8" ht="11.25">
      <c r="A10" s="208" t="s">
        <v>498</v>
      </c>
      <c r="B10" s="208"/>
      <c r="C10" s="210">
        <v>19</v>
      </c>
      <c r="D10" s="210">
        <f>C10*1.5</f>
        <v>28.5</v>
      </c>
      <c r="E10" s="210">
        <v>87.43</v>
      </c>
      <c r="F10" s="210">
        <v>28.53</v>
      </c>
      <c r="G10" s="210">
        <f>C10*E10+D10*F10</f>
        <v>2474.275</v>
      </c>
      <c r="H10" s="208"/>
    </row>
    <row r="11" spans="1:8" ht="11.25">
      <c r="A11" s="115" t="s">
        <v>499</v>
      </c>
      <c r="B11" s="208"/>
      <c r="C11" s="208"/>
      <c r="D11" s="208"/>
      <c r="E11" s="210">
        <f>SUM(E8:E10)</f>
        <v>265.06</v>
      </c>
      <c r="F11" s="210">
        <f>SUM(F8:F10)</f>
        <v>70.2</v>
      </c>
      <c r="G11" s="211">
        <f>SUM(G8:G10)</f>
        <v>6787.4439999999995</v>
      </c>
      <c r="H11" s="208"/>
    </row>
    <row r="12" spans="1:8" ht="11.25">
      <c r="A12" s="208"/>
      <c r="B12" s="208"/>
      <c r="C12" s="208"/>
      <c r="D12" s="210"/>
      <c r="E12" s="210"/>
      <c r="F12" s="210"/>
      <c r="G12" s="208"/>
      <c r="H12" s="208"/>
    </row>
    <row r="13" spans="1:8" ht="11.25">
      <c r="A13" s="208" t="s">
        <v>500</v>
      </c>
      <c r="B13" s="208"/>
      <c r="C13" s="210">
        <v>21.4</v>
      </c>
      <c r="D13" s="210">
        <f>C13*1.5</f>
        <v>32.099999999999994</v>
      </c>
      <c r="E13" s="210">
        <v>7.5</v>
      </c>
      <c r="F13" s="210"/>
      <c r="G13" s="210">
        <f>C13*E13+D13*F13</f>
        <v>160.5</v>
      </c>
      <c r="H13" s="208"/>
    </row>
    <row r="14" spans="1:8" ht="11.25">
      <c r="A14" s="208" t="s">
        <v>501</v>
      </c>
      <c r="B14" s="208"/>
      <c r="C14" s="210">
        <v>18.5</v>
      </c>
      <c r="D14" s="210">
        <f>C14*1.5</f>
        <v>27.75</v>
      </c>
      <c r="E14" s="210">
        <v>20</v>
      </c>
      <c r="F14" s="210"/>
      <c r="G14" s="210">
        <f>C14*E14+D14*F14</f>
        <v>370</v>
      </c>
      <c r="H14" s="208"/>
    </row>
    <row r="15" spans="1:8" ht="11.25">
      <c r="A15" s="208" t="s">
        <v>502</v>
      </c>
      <c r="B15" s="208"/>
      <c r="C15" s="210">
        <v>16.9</v>
      </c>
      <c r="D15" s="210">
        <f>C15*1.5</f>
        <v>25.349999999999998</v>
      </c>
      <c r="E15" s="210">
        <v>0</v>
      </c>
      <c r="F15" s="210"/>
      <c r="G15" s="210">
        <f>C15*E15+D15*F15</f>
        <v>0</v>
      </c>
      <c r="H15" s="208"/>
    </row>
    <row r="16" spans="1:8" ht="11.25">
      <c r="A16" s="208" t="s">
        <v>3</v>
      </c>
      <c r="B16" s="208"/>
      <c r="C16" s="208"/>
      <c r="D16" s="208"/>
      <c r="E16" s="210">
        <f>SUM(E13:E15)</f>
        <v>27.5</v>
      </c>
      <c r="F16" s="208">
        <f>SUM(F13:F15)</f>
        <v>0</v>
      </c>
      <c r="G16" s="115">
        <f>SUM(G13:G15)</f>
        <v>530.5</v>
      </c>
      <c r="H16" s="208"/>
    </row>
    <row r="17" spans="1:8" ht="11.25">
      <c r="A17" s="208"/>
      <c r="B17" s="208"/>
      <c r="C17" s="208"/>
      <c r="D17" s="208"/>
      <c r="E17" s="210"/>
      <c r="F17" s="210"/>
      <c r="G17" s="208"/>
      <c r="H17" s="208"/>
    </row>
    <row r="18" spans="1:8" ht="11.25">
      <c r="A18" s="208"/>
      <c r="B18" s="208"/>
      <c r="C18" s="208"/>
      <c r="D18" s="208"/>
      <c r="E18" s="210">
        <f>E11+E16</f>
        <v>292.56</v>
      </c>
      <c r="F18" s="210">
        <f>F11+F16</f>
        <v>70.2</v>
      </c>
      <c r="G18" s="211">
        <f>G11+G16</f>
        <v>7317.9439999999995</v>
      </c>
      <c r="H18" s="208"/>
    </row>
    <row r="19" spans="1:8" ht="11.25">
      <c r="A19" s="208"/>
      <c r="B19" s="208"/>
      <c r="C19" s="208"/>
      <c r="D19" s="208"/>
      <c r="E19" s="210"/>
      <c r="F19" s="210"/>
      <c r="G19" s="211"/>
      <c r="H19" s="208"/>
    </row>
    <row r="20" spans="1:8" ht="11.25">
      <c r="A20" s="213"/>
      <c r="B20" s="213"/>
      <c r="C20" s="213"/>
      <c r="D20" s="213"/>
      <c r="E20" s="214"/>
      <c r="F20" s="214"/>
      <c r="G20" s="213"/>
      <c r="H20" s="213"/>
    </row>
    <row r="21" spans="1:8" ht="11.25">
      <c r="A21" s="212" t="s">
        <v>453</v>
      </c>
      <c r="B21" s="208"/>
      <c r="C21" s="208"/>
      <c r="D21" s="208"/>
      <c r="E21" s="208"/>
      <c r="F21" s="208"/>
      <c r="G21" s="208"/>
      <c r="H21" s="208"/>
    </row>
    <row r="22" spans="1:8" ht="11.25">
      <c r="A22" s="208"/>
      <c r="B22" s="208"/>
      <c r="C22" s="208"/>
      <c r="D22" s="208"/>
      <c r="E22" s="208"/>
      <c r="F22" s="208"/>
      <c r="G22" s="208"/>
      <c r="H22" s="208"/>
    </row>
    <row r="23" spans="1:8" ht="11.25">
      <c r="A23" s="208" t="s">
        <v>503</v>
      </c>
      <c r="B23" s="208"/>
      <c r="C23" s="208"/>
      <c r="D23" s="208"/>
      <c r="E23" s="208"/>
      <c r="F23" s="208"/>
      <c r="G23" s="208"/>
      <c r="H23" s="208"/>
    </row>
    <row r="24" spans="1:8" ht="11.25">
      <c r="A24" s="208"/>
      <c r="B24" s="208"/>
      <c r="C24" s="208"/>
      <c r="D24" s="208"/>
      <c r="E24" s="208"/>
      <c r="F24" s="208"/>
      <c r="G24" s="208"/>
      <c r="H24" s="208"/>
    </row>
    <row r="25" spans="1:8" ht="11.25">
      <c r="A25" s="208"/>
      <c r="B25" s="208"/>
      <c r="C25" s="209" t="s">
        <v>491</v>
      </c>
      <c r="D25" s="209" t="s">
        <v>492</v>
      </c>
      <c r="E25" s="209" t="s">
        <v>493</v>
      </c>
      <c r="F25" s="209" t="s">
        <v>494</v>
      </c>
      <c r="G25" s="209" t="s">
        <v>504</v>
      </c>
      <c r="H25" s="209" t="s">
        <v>495</v>
      </c>
    </row>
    <row r="26" spans="1:8" ht="11.25">
      <c r="A26" s="208" t="s">
        <v>496</v>
      </c>
      <c r="B26" s="208"/>
      <c r="C26" s="210">
        <v>16.9</v>
      </c>
      <c r="D26" s="210">
        <f>C26*1.5</f>
        <v>25.349999999999998</v>
      </c>
      <c r="E26" s="210">
        <v>166.56</v>
      </c>
      <c r="F26" s="210">
        <v>32.38</v>
      </c>
      <c r="G26" s="210">
        <v>8</v>
      </c>
      <c r="H26" s="210">
        <f>C26*E26+D26*F26+G26*C26</f>
        <v>3770.8969999999995</v>
      </c>
    </row>
    <row r="27" spans="1:8" ht="11.25">
      <c r="A27" s="208" t="s">
        <v>497</v>
      </c>
      <c r="B27" s="208"/>
      <c r="C27" s="210">
        <v>19</v>
      </c>
      <c r="D27" s="210">
        <f>C27*1.5</f>
        <v>28.5</v>
      </c>
      <c r="E27" s="210">
        <v>168.34</v>
      </c>
      <c r="F27" s="210">
        <v>24.46</v>
      </c>
      <c r="G27" s="210">
        <v>8</v>
      </c>
      <c r="H27" s="210">
        <f>C27*E27+D27*F27+G27*C27</f>
        <v>4047.57</v>
      </c>
    </row>
    <row r="28" spans="1:8" ht="11.25">
      <c r="A28" s="208" t="s">
        <v>498</v>
      </c>
      <c r="B28" s="208"/>
      <c r="C28" s="210">
        <v>19</v>
      </c>
      <c r="D28" s="210">
        <f>C28*1.5</f>
        <v>28.5</v>
      </c>
      <c r="E28" s="210">
        <v>168.52</v>
      </c>
      <c r="F28" s="210">
        <v>19.36</v>
      </c>
      <c r="G28" s="210">
        <v>8</v>
      </c>
      <c r="H28" s="210">
        <f>C28*E28+D28*F28+G28*C28</f>
        <v>3905.6400000000003</v>
      </c>
    </row>
    <row r="29" spans="1:8" ht="11.25">
      <c r="A29" s="115" t="s">
        <v>499</v>
      </c>
      <c r="B29" s="208"/>
      <c r="C29" s="208"/>
      <c r="D29" s="208"/>
      <c r="E29" s="211">
        <f>SUM(E26:E28)</f>
        <v>503.41999999999996</v>
      </c>
      <c r="F29" s="211">
        <f>SUM(F26:F28)</f>
        <v>76.2</v>
      </c>
      <c r="G29" s="211">
        <f>SUM(G26:G28)</f>
        <v>24</v>
      </c>
      <c r="H29" s="211">
        <f>SUM(H26:H28)</f>
        <v>11724.107</v>
      </c>
    </row>
    <row r="30" spans="1:8" ht="11.25">
      <c r="A30" s="208"/>
      <c r="B30" s="208"/>
      <c r="C30" s="208"/>
      <c r="D30" s="210"/>
      <c r="E30" s="210"/>
      <c r="F30" s="210"/>
      <c r="G30" s="208"/>
      <c r="H30" s="208"/>
    </row>
    <row r="31" spans="1:8" ht="11.25">
      <c r="A31" s="208" t="s">
        <v>500</v>
      </c>
      <c r="B31" s="208"/>
      <c r="C31" s="210">
        <v>21.4</v>
      </c>
      <c r="D31" s="210">
        <f>C31*1.5</f>
        <v>32.099999999999994</v>
      </c>
      <c r="E31" s="210">
        <v>50.26</v>
      </c>
      <c r="F31" s="210"/>
      <c r="G31" s="210"/>
      <c r="H31" s="210">
        <f aca="true" t="shared" si="0" ref="H31:H40">C31*E31+D31*F31+G31*C31</f>
        <v>1075.5639999999999</v>
      </c>
    </row>
    <row r="32" spans="1:8" ht="11.25">
      <c r="A32" s="208" t="s">
        <v>501</v>
      </c>
      <c r="B32" s="208"/>
      <c r="C32" s="210">
        <v>18.5</v>
      </c>
      <c r="D32" s="210">
        <f>C32*1.5</f>
        <v>27.75</v>
      </c>
      <c r="E32" s="210">
        <v>12.5</v>
      </c>
      <c r="F32" s="210"/>
      <c r="G32" s="210"/>
      <c r="H32" s="210">
        <f t="shared" si="0"/>
        <v>231.25</v>
      </c>
    </row>
    <row r="33" spans="1:8" ht="11.25">
      <c r="A33" s="208" t="s">
        <v>505</v>
      </c>
      <c r="B33" s="208"/>
      <c r="C33" s="210">
        <v>18.6</v>
      </c>
      <c r="D33" s="210">
        <f aca="true" t="shared" si="1" ref="D33:D40">C33*1.5</f>
        <v>27.900000000000002</v>
      </c>
      <c r="E33" s="210">
        <v>4</v>
      </c>
      <c r="F33" s="210"/>
      <c r="G33" s="210"/>
      <c r="H33" s="210">
        <f t="shared" si="0"/>
        <v>74.4</v>
      </c>
    </row>
    <row r="34" spans="1:8" ht="11.25">
      <c r="A34" s="208"/>
      <c r="B34" s="208"/>
      <c r="C34" s="210"/>
      <c r="D34" s="210"/>
      <c r="E34" s="211">
        <f>SUM(E31:E33)</f>
        <v>66.75999999999999</v>
      </c>
      <c r="F34" s="211">
        <f>SUM(F31:F33)</f>
        <v>0</v>
      </c>
      <c r="G34" s="211">
        <f>SUM(G31:G33)</f>
        <v>0</v>
      </c>
      <c r="H34" s="211">
        <f>SUM(H31:H33)</f>
        <v>1381.214</v>
      </c>
    </row>
    <row r="35" spans="1:8" ht="11.25">
      <c r="A35" s="208"/>
      <c r="B35" s="208"/>
      <c r="C35" s="210"/>
      <c r="D35" s="210"/>
      <c r="E35" s="210"/>
      <c r="F35" s="210"/>
      <c r="G35" s="210"/>
      <c r="H35" s="210"/>
    </row>
    <row r="36" spans="1:8" ht="11.25">
      <c r="A36" s="208" t="s">
        <v>506</v>
      </c>
      <c r="B36" s="208"/>
      <c r="C36" s="210">
        <v>16.1</v>
      </c>
      <c r="D36" s="210">
        <f t="shared" si="1"/>
        <v>24.150000000000002</v>
      </c>
      <c r="E36" s="210">
        <v>40.25</v>
      </c>
      <c r="F36" s="210"/>
      <c r="G36" s="210"/>
      <c r="H36" s="210">
        <f t="shared" si="0"/>
        <v>648.0250000000001</v>
      </c>
    </row>
    <row r="37" spans="1:8" ht="11.25">
      <c r="A37" s="208" t="s">
        <v>507</v>
      </c>
      <c r="B37" s="208"/>
      <c r="C37" s="210">
        <v>19</v>
      </c>
      <c r="D37" s="210">
        <f t="shared" si="1"/>
        <v>28.5</v>
      </c>
      <c r="E37" s="210">
        <v>31.18</v>
      </c>
      <c r="F37" s="210"/>
      <c r="G37" s="210"/>
      <c r="H37" s="210">
        <f t="shared" si="0"/>
        <v>592.42</v>
      </c>
    </row>
    <row r="38" spans="1:8" ht="11.25">
      <c r="A38" s="208" t="s">
        <v>508</v>
      </c>
      <c r="B38" s="208"/>
      <c r="C38" s="210">
        <v>16.1</v>
      </c>
      <c r="D38" s="210">
        <f t="shared" si="1"/>
        <v>24.150000000000002</v>
      </c>
      <c r="E38" s="210"/>
      <c r="F38" s="210">
        <v>5.2</v>
      </c>
      <c r="G38" s="210"/>
      <c r="H38" s="210">
        <f t="shared" si="0"/>
        <v>125.58000000000001</v>
      </c>
    </row>
    <row r="39" spans="1:8" ht="11.25">
      <c r="A39" s="208" t="s">
        <v>509</v>
      </c>
      <c r="B39" s="208"/>
      <c r="C39" s="210">
        <v>13.5</v>
      </c>
      <c r="D39" s="210">
        <f t="shared" si="1"/>
        <v>20.25</v>
      </c>
      <c r="E39" s="210"/>
      <c r="F39" s="210">
        <v>9.17</v>
      </c>
      <c r="G39" s="210"/>
      <c r="H39" s="210">
        <f t="shared" si="0"/>
        <v>185.6925</v>
      </c>
    </row>
    <row r="40" spans="1:8" ht="11.25">
      <c r="A40" s="208" t="s">
        <v>510</v>
      </c>
      <c r="B40" s="208"/>
      <c r="C40" s="210">
        <v>21.9</v>
      </c>
      <c r="D40" s="210">
        <f t="shared" si="1"/>
        <v>32.849999999999994</v>
      </c>
      <c r="E40" s="210">
        <v>4.3</v>
      </c>
      <c r="F40" s="210"/>
      <c r="G40" s="210"/>
      <c r="H40" s="210">
        <f t="shared" si="0"/>
        <v>94.16999999999999</v>
      </c>
    </row>
    <row r="41" spans="1:8" ht="11.25">
      <c r="A41" s="208"/>
      <c r="B41" s="208"/>
      <c r="C41" s="210"/>
      <c r="D41" s="210"/>
      <c r="E41" s="211">
        <f>SUM(E36:E40)</f>
        <v>75.73</v>
      </c>
      <c r="F41" s="211">
        <f>SUM(F36:F40)</f>
        <v>14.370000000000001</v>
      </c>
      <c r="G41" s="211">
        <f>SUM(G36:G40)</f>
        <v>0</v>
      </c>
      <c r="H41" s="211">
        <f>SUM(H36:H40)</f>
        <v>1645.8875000000003</v>
      </c>
    </row>
    <row r="42" spans="1:8" ht="11.25" customHeight="1">
      <c r="A42" s="208"/>
      <c r="B42" s="208"/>
      <c r="C42" s="210"/>
      <c r="D42" s="210"/>
      <c r="E42" s="210"/>
      <c r="F42" s="210"/>
      <c r="G42" s="210"/>
      <c r="H42" s="210"/>
    </row>
    <row r="43" spans="1:8" ht="11.25">
      <c r="A43" s="115" t="s">
        <v>511</v>
      </c>
      <c r="B43" s="208"/>
      <c r="C43" s="210"/>
      <c r="D43" s="210"/>
      <c r="E43" s="210"/>
      <c r="F43" s="210"/>
      <c r="G43" s="210"/>
      <c r="H43" s="211">
        <f>H29+H34+H41</f>
        <v>14751.2085</v>
      </c>
    </row>
    <row r="44" ht="11.25" customHeight="1"/>
    <row r="45" spans="1:8" ht="11.25" customHeight="1">
      <c r="A45" s="215"/>
      <c r="B45" s="215"/>
      <c r="C45" s="215"/>
      <c r="D45" s="215"/>
      <c r="E45" s="215"/>
      <c r="F45" s="215"/>
      <c r="G45" s="215"/>
      <c r="H45" s="215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64"/>
  <sheetViews>
    <sheetView workbookViewId="0" topLeftCell="A29">
      <selection activeCell="C49" sqref="C49"/>
    </sheetView>
  </sheetViews>
  <sheetFormatPr defaultColWidth="8.796875" defaultRowHeight="12"/>
  <sheetData>
    <row r="1" spans="1:9" ht="11.25">
      <c r="A1" s="208" t="s">
        <v>512</v>
      </c>
      <c r="B1" s="208"/>
      <c r="C1" s="208"/>
      <c r="D1" s="208"/>
      <c r="E1" s="208"/>
      <c r="F1" s="208"/>
      <c r="G1" s="208"/>
      <c r="H1" s="208"/>
      <c r="I1" s="208"/>
    </row>
    <row r="2" spans="1:9" ht="11.25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1.25">
      <c r="A3" s="208" t="s">
        <v>513</v>
      </c>
      <c r="B3" s="208"/>
      <c r="C3" s="208">
        <v>58.58</v>
      </c>
      <c r="D3" s="208"/>
      <c r="E3" s="208"/>
      <c r="F3" s="208"/>
      <c r="G3" s="208"/>
      <c r="H3" s="208"/>
      <c r="I3" s="208"/>
    </row>
    <row r="4" spans="1:9" ht="11.25">
      <c r="A4" s="208"/>
      <c r="B4" s="208"/>
      <c r="C4" s="208"/>
      <c r="D4" s="208"/>
      <c r="E4" s="208"/>
      <c r="F4" s="208"/>
      <c r="G4" s="208"/>
      <c r="H4" s="208"/>
      <c r="I4" s="208"/>
    </row>
    <row r="5" spans="1:9" ht="11.25">
      <c r="A5" s="208" t="s">
        <v>514</v>
      </c>
      <c r="B5" s="208"/>
      <c r="C5" s="208"/>
      <c r="D5" s="208"/>
      <c r="E5" s="208"/>
      <c r="F5" s="208"/>
      <c r="G5" s="208"/>
      <c r="H5" s="208"/>
      <c r="I5" s="208"/>
    </row>
    <row r="6" spans="1:9" ht="11.25">
      <c r="A6" s="208" t="s">
        <v>515</v>
      </c>
      <c r="B6" s="208">
        <v>5</v>
      </c>
      <c r="C6" s="208">
        <v>5</v>
      </c>
      <c r="D6" s="208"/>
      <c r="E6" s="208"/>
      <c r="F6" s="208"/>
      <c r="G6" s="208"/>
      <c r="H6" s="208"/>
      <c r="I6" s="208"/>
    </row>
    <row r="7" spans="1:9" ht="11.25">
      <c r="A7" s="208" t="s">
        <v>516</v>
      </c>
      <c r="B7" s="208">
        <v>3</v>
      </c>
      <c r="C7" s="208">
        <v>2</v>
      </c>
      <c r="D7" s="208"/>
      <c r="E7" s="208"/>
      <c r="F7" s="208"/>
      <c r="G7" s="208"/>
      <c r="H7" s="208"/>
      <c r="I7" s="208"/>
    </row>
    <row r="8" spans="1:9" ht="11.25">
      <c r="A8" s="208"/>
      <c r="B8" s="208"/>
      <c r="C8" s="208"/>
      <c r="D8" s="208"/>
      <c r="E8" s="208"/>
      <c r="F8" s="208"/>
      <c r="G8" s="208"/>
      <c r="H8" s="208"/>
      <c r="I8" s="208"/>
    </row>
    <row r="9" spans="1:9" ht="11.25">
      <c r="A9" s="208" t="s">
        <v>517</v>
      </c>
      <c r="B9" s="208"/>
      <c r="C9" s="210">
        <f>C3/(C6+C7)</f>
        <v>8.368571428571428</v>
      </c>
      <c r="D9" s="208"/>
      <c r="E9" s="208"/>
      <c r="F9" s="208"/>
      <c r="G9" s="208"/>
      <c r="H9" s="208"/>
      <c r="I9" s="208"/>
    </row>
    <row r="10" spans="1:9" ht="11.25">
      <c r="A10" s="208"/>
      <c r="B10" s="208"/>
      <c r="C10" s="208"/>
      <c r="D10" s="208"/>
      <c r="E10" s="208"/>
      <c r="F10" s="208"/>
      <c r="G10" s="208"/>
      <c r="H10" s="208"/>
      <c r="I10" s="208"/>
    </row>
    <row r="11" spans="1:9" ht="11.25">
      <c r="A11" s="208" t="s">
        <v>518</v>
      </c>
      <c r="B11" s="208"/>
      <c r="C11" s="208">
        <f>(210+525)</f>
        <v>735</v>
      </c>
      <c r="D11" s="208"/>
      <c r="E11" s="208"/>
      <c r="F11" s="208"/>
      <c r="G11" s="208"/>
      <c r="H11" s="208"/>
      <c r="I11" s="208"/>
    </row>
    <row r="12" spans="1:9" ht="11.25">
      <c r="A12" s="208" t="s">
        <v>519</v>
      </c>
      <c r="B12" s="208"/>
      <c r="C12" s="208">
        <f>C11/7</f>
        <v>105</v>
      </c>
      <c r="D12" s="208"/>
      <c r="E12" s="208"/>
      <c r="F12" s="208"/>
      <c r="G12" s="208"/>
      <c r="H12" s="208"/>
      <c r="I12" s="208"/>
    </row>
    <row r="13" spans="1:9" ht="11.25">
      <c r="A13" s="208" t="s">
        <v>520</v>
      </c>
      <c r="B13" s="208"/>
      <c r="C13" s="136">
        <v>336</v>
      </c>
      <c r="D13" s="208"/>
      <c r="E13" s="208"/>
      <c r="F13" s="208"/>
      <c r="G13" s="208"/>
      <c r="H13" s="208"/>
      <c r="I13" s="208"/>
    </row>
    <row r="14" spans="1:9" ht="11.25">
      <c r="A14" s="208" t="s">
        <v>521</v>
      </c>
      <c r="B14" s="208"/>
      <c r="C14" s="208">
        <v>2.85</v>
      </c>
      <c r="D14" s="208"/>
      <c r="E14" s="208"/>
      <c r="F14" s="208"/>
      <c r="G14" s="208"/>
      <c r="H14" s="208"/>
      <c r="I14" s="208"/>
    </row>
    <row r="15" spans="1:9" ht="11.25">
      <c r="A15" s="208"/>
      <c r="B15" s="208"/>
      <c r="C15" s="208"/>
      <c r="D15" s="208"/>
      <c r="E15" s="216"/>
      <c r="F15" s="208"/>
      <c r="G15" s="208"/>
      <c r="H15" s="208"/>
      <c r="I15" s="208"/>
    </row>
    <row r="16" spans="1:9" ht="11.25">
      <c r="A16" s="208" t="s">
        <v>522</v>
      </c>
      <c r="B16" s="208"/>
      <c r="C16" s="211">
        <f>C13*C14</f>
        <v>957.6</v>
      </c>
      <c r="D16" s="208"/>
      <c r="E16" s="208"/>
      <c r="F16" s="208"/>
      <c r="G16" s="208"/>
      <c r="H16" s="208"/>
      <c r="I16" s="208"/>
    </row>
    <row r="17" spans="1:9" ht="11.25">
      <c r="A17" s="208"/>
      <c r="B17" s="208"/>
      <c r="C17" s="208"/>
      <c r="D17" s="208"/>
      <c r="E17" s="208"/>
      <c r="F17" s="208"/>
      <c r="G17" s="208"/>
      <c r="H17" s="208"/>
      <c r="I17" s="208"/>
    </row>
    <row r="18" spans="1:9" ht="11.25">
      <c r="A18" s="208"/>
      <c r="B18" s="208"/>
      <c r="C18" s="208"/>
      <c r="D18" s="208"/>
      <c r="E18" s="208"/>
      <c r="F18" s="208"/>
      <c r="G18" s="208"/>
      <c r="H18" s="208"/>
      <c r="I18" s="208"/>
    </row>
    <row r="19" spans="1:9" ht="11.25">
      <c r="A19" s="115" t="s">
        <v>523</v>
      </c>
      <c r="B19" s="208"/>
      <c r="C19" s="209" t="s">
        <v>524</v>
      </c>
      <c r="D19" s="209" t="s">
        <v>525</v>
      </c>
      <c r="E19" s="209" t="s">
        <v>526</v>
      </c>
      <c r="F19" s="208"/>
      <c r="G19" s="208"/>
      <c r="H19" s="208"/>
      <c r="I19" s="208"/>
    </row>
    <row r="20" spans="1:9" ht="11.25">
      <c r="A20" s="136" t="s">
        <v>527</v>
      </c>
      <c r="B20" s="136"/>
      <c r="C20" s="217">
        <v>977</v>
      </c>
      <c r="D20" s="217">
        <v>901</v>
      </c>
      <c r="E20" s="217">
        <v>774</v>
      </c>
      <c r="F20" s="218">
        <f>SUM(C20:E20)</f>
        <v>2652</v>
      </c>
      <c r="G20" s="136"/>
      <c r="H20" s="136"/>
      <c r="I20" s="136"/>
    </row>
    <row r="21" spans="1:9" ht="11.25">
      <c r="A21" s="115"/>
      <c r="B21" s="208"/>
      <c r="C21" s="209"/>
      <c r="D21" s="209"/>
      <c r="E21" s="209"/>
      <c r="F21" s="208"/>
      <c r="G21" s="208"/>
      <c r="H21" s="208"/>
      <c r="I21" s="208"/>
    </row>
    <row r="22" spans="1:9" ht="11.25">
      <c r="A22" s="208" t="s">
        <v>520</v>
      </c>
      <c r="B22" s="208"/>
      <c r="C22" s="210">
        <v>310.01</v>
      </c>
      <c r="D22" s="210">
        <v>365.04</v>
      </c>
      <c r="E22" s="210">
        <v>334</v>
      </c>
      <c r="F22" s="218">
        <f>SUM(C22:E22)</f>
        <v>1009.05</v>
      </c>
      <c r="G22" s="208"/>
      <c r="H22" s="208"/>
      <c r="I22" s="208"/>
    </row>
    <row r="23" spans="1:9" ht="11.25">
      <c r="A23" s="208" t="s">
        <v>528</v>
      </c>
      <c r="B23" s="208"/>
      <c r="C23" s="210">
        <f>C20/C22</f>
        <v>3.1515112415728526</v>
      </c>
      <c r="D23" s="210">
        <f>D20/D22</f>
        <v>2.4682226605303526</v>
      </c>
      <c r="E23" s="210">
        <f>E20/E22</f>
        <v>2.317365269461078</v>
      </c>
      <c r="F23" s="210"/>
      <c r="G23" s="208"/>
      <c r="H23" s="208"/>
      <c r="I23" s="208"/>
    </row>
    <row r="24" spans="1:9" ht="11.25">
      <c r="A24" s="208" t="s">
        <v>529</v>
      </c>
      <c r="B24" s="208"/>
      <c r="C24" s="219">
        <v>2.85</v>
      </c>
      <c r="D24" s="219">
        <v>2.85</v>
      </c>
      <c r="E24" s="219">
        <v>2.85</v>
      </c>
      <c r="F24" s="208"/>
      <c r="G24" s="208"/>
      <c r="H24" s="208"/>
      <c r="I24" s="208"/>
    </row>
    <row r="25" spans="1:9" ht="11.25">
      <c r="A25" s="208" t="s">
        <v>522</v>
      </c>
      <c r="B25" s="208"/>
      <c r="C25" s="219">
        <f>C22*C24</f>
        <v>883.5285</v>
      </c>
      <c r="D25" s="219">
        <f>D22*D24</f>
        <v>1040.364</v>
      </c>
      <c r="E25" s="219">
        <f>E22*E24</f>
        <v>951.9</v>
      </c>
      <c r="F25" s="218">
        <f>SUM(C25:E25)</f>
        <v>2875.7925</v>
      </c>
      <c r="G25" s="219"/>
      <c r="H25" s="219"/>
      <c r="I25" s="208"/>
    </row>
    <row r="26" spans="1:9" ht="11.25">
      <c r="A26" s="208"/>
      <c r="B26" s="208"/>
      <c r="C26" s="219"/>
      <c r="D26" s="219"/>
      <c r="E26" s="219"/>
      <c r="F26" s="218"/>
      <c r="G26" s="219"/>
      <c r="H26" s="219"/>
      <c r="I26" s="208"/>
    </row>
    <row r="27" spans="1:9" ht="11.25">
      <c r="A27" s="212" t="s">
        <v>532</v>
      </c>
      <c r="B27" s="208"/>
      <c r="C27" s="208"/>
      <c r="D27" s="208"/>
      <c r="E27" s="208"/>
      <c r="F27" s="222">
        <f>F25+C16</f>
        <v>3833.3925</v>
      </c>
      <c r="G27" s="208"/>
      <c r="H27" s="208"/>
      <c r="I27" s="208"/>
    </row>
    <row r="28" spans="1:9" ht="11.25">
      <c r="A28" s="213"/>
      <c r="B28" s="213"/>
      <c r="C28" s="213"/>
      <c r="D28" s="213"/>
      <c r="E28" s="213"/>
      <c r="F28" s="213"/>
      <c r="G28" s="213"/>
      <c r="H28" s="213"/>
      <c r="I28" s="208"/>
    </row>
    <row r="29" spans="1:9" ht="11.25">
      <c r="A29" s="220" t="s">
        <v>462</v>
      </c>
      <c r="B29" s="208"/>
      <c r="C29" s="208"/>
      <c r="D29" s="208"/>
      <c r="E29" s="208"/>
      <c r="F29" s="208"/>
      <c r="G29" s="208"/>
      <c r="H29" s="208"/>
      <c r="I29" s="208"/>
    </row>
    <row r="30" spans="1:9" ht="11.25">
      <c r="A30" s="208"/>
      <c r="B30" s="208"/>
      <c r="C30" s="208"/>
      <c r="D30" s="208"/>
      <c r="E30" s="208"/>
      <c r="F30" s="208"/>
      <c r="G30" s="208"/>
      <c r="H30" s="208"/>
      <c r="I30" s="208"/>
    </row>
    <row r="31" spans="1:9" ht="11.25">
      <c r="A31" s="208" t="s">
        <v>513</v>
      </c>
      <c r="B31" s="208"/>
      <c r="C31" s="208">
        <v>186.37</v>
      </c>
      <c r="D31" s="208"/>
      <c r="E31" s="208"/>
      <c r="F31" s="208"/>
      <c r="G31" s="208"/>
      <c r="H31" s="208"/>
      <c r="I31" s="208"/>
    </row>
    <row r="32" spans="1:9" ht="11.25">
      <c r="A32" s="208"/>
      <c r="B32" s="208"/>
      <c r="C32" s="208"/>
      <c r="D32" s="208"/>
      <c r="E32" s="208"/>
      <c r="F32" s="208"/>
      <c r="G32" s="208"/>
      <c r="H32" s="208"/>
      <c r="I32" s="208"/>
    </row>
    <row r="33" spans="1:9" ht="11.25">
      <c r="A33" s="208" t="s">
        <v>514</v>
      </c>
      <c r="B33" s="208"/>
      <c r="C33" s="208"/>
      <c r="D33" s="208"/>
      <c r="E33" s="208"/>
      <c r="F33" s="208"/>
      <c r="G33" s="208"/>
      <c r="H33" s="208"/>
      <c r="I33" s="208"/>
    </row>
    <row r="34" spans="1:9" ht="11.25">
      <c r="A34" s="208" t="s">
        <v>515</v>
      </c>
      <c r="B34" s="208">
        <v>18</v>
      </c>
      <c r="C34" s="208">
        <v>18</v>
      </c>
      <c r="D34" s="208"/>
      <c r="E34" s="208"/>
      <c r="F34" s="208"/>
      <c r="G34" s="208"/>
      <c r="H34" s="208"/>
      <c r="I34" s="208"/>
    </row>
    <row r="35" spans="1:9" ht="11.25">
      <c r="A35" s="208" t="s">
        <v>516</v>
      </c>
      <c r="B35" s="208">
        <v>2</v>
      </c>
      <c r="C35" s="208">
        <v>1</v>
      </c>
      <c r="D35" s="208"/>
      <c r="E35" s="208"/>
      <c r="F35" s="208"/>
      <c r="G35" s="208"/>
      <c r="H35" s="208"/>
      <c r="I35" s="208"/>
    </row>
    <row r="36" spans="1:9" ht="11.25">
      <c r="A36" s="208"/>
      <c r="B36" s="208"/>
      <c r="C36" s="208"/>
      <c r="D36" s="208"/>
      <c r="E36" s="208"/>
      <c r="F36" s="208"/>
      <c r="G36" s="208"/>
      <c r="H36" s="208"/>
      <c r="I36" s="208"/>
    </row>
    <row r="37" spans="1:9" ht="11.25">
      <c r="A37" s="208" t="s">
        <v>517</v>
      </c>
      <c r="B37" s="208"/>
      <c r="C37" s="210">
        <f>C31/(C34+C35)</f>
        <v>9.808947368421054</v>
      </c>
      <c r="D37" s="208"/>
      <c r="E37" s="208"/>
      <c r="F37" s="208"/>
      <c r="G37" s="208"/>
      <c r="H37" s="208"/>
      <c r="I37" s="208"/>
    </row>
    <row r="38" spans="1:9" ht="11.25">
      <c r="A38" s="208"/>
      <c r="B38" s="208"/>
      <c r="C38" s="208"/>
      <c r="D38" s="208"/>
      <c r="E38" s="208"/>
      <c r="F38" s="208"/>
      <c r="G38" s="208"/>
      <c r="H38" s="208"/>
      <c r="I38" s="208"/>
    </row>
    <row r="39" spans="1:9" ht="11.25">
      <c r="A39" s="208" t="s">
        <v>518</v>
      </c>
      <c r="B39" s="208"/>
      <c r="C39" s="208">
        <f>(C34+C35)*C40</f>
        <v>1995</v>
      </c>
      <c r="D39" s="208"/>
      <c r="E39" s="208"/>
      <c r="F39" s="208"/>
      <c r="G39" s="208"/>
      <c r="H39" s="208"/>
      <c r="I39" s="208"/>
    </row>
    <row r="40" spans="1:9" ht="11.25">
      <c r="A40" s="208" t="s">
        <v>519</v>
      </c>
      <c r="B40" s="208"/>
      <c r="C40" s="208">
        <v>105</v>
      </c>
      <c r="D40" s="208"/>
      <c r="E40" s="208"/>
      <c r="F40" s="208"/>
      <c r="G40" s="208"/>
      <c r="H40" s="208"/>
      <c r="I40" s="208"/>
    </row>
    <row r="41" spans="1:9" ht="11.25">
      <c r="A41" s="208" t="s">
        <v>520</v>
      </c>
      <c r="B41" s="208"/>
      <c r="C41" s="136">
        <f>C39/2.5</f>
        <v>798</v>
      </c>
      <c r="D41" s="208"/>
      <c r="E41" s="208"/>
      <c r="F41" s="208"/>
      <c r="G41" s="208"/>
      <c r="H41" s="208"/>
      <c r="I41" s="208"/>
    </row>
    <row r="42" spans="1:9" ht="11.25">
      <c r="A42" s="208" t="s">
        <v>521</v>
      </c>
      <c r="B42" s="208"/>
      <c r="C42" s="210">
        <v>2.99</v>
      </c>
      <c r="D42" s="208"/>
      <c r="E42" s="208"/>
      <c r="F42" s="208"/>
      <c r="G42" s="208"/>
      <c r="H42" s="208"/>
      <c r="I42" s="208"/>
    </row>
    <row r="43" spans="1:9" ht="11.25">
      <c r="A43" s="208"/>
      <c r="B43" s="208"/>
      <c r="C43" s="208"/>
      <c r="D43" s="208"/>
      <c r="E43" s="208"/>
      <c r="F43" s="208"/>
      <c r="G43" s="208"/>
      <c r="H43" s="208"/>
      <c r="I43" s="208"/>
    </row>
    <row r="44" spans="1:9" ht="11.25">
      <c r="A44" s="208" t="s">
        <v>522</v>
      </c>
      <c r="B44" s="208"/>
      <c r="C44" s="218">
        <f>C41*C42</f>
        <v>2386.02</v>
      </c>
      <c r="D44" s="208"/>
      <c r="E44" s="208"/>
      <c r="F44" s="208"/>
      <c r="G44" s="208"/>
      <c r="H44" s="208"/>
      <c r="I44" s="208"/>
    </row>
    <row r="45" spans="1:9" ht="11.25">
      <c r="A45" s="208"/>
      <c r="B45" s="208"/>
      <c r="C45" s="208"/>
      <c r="D45" s="208"/>
      <c r="E45" s="208"/>
      <c r="F45" s="208"/>
      <c r="G45" s="208"/>
      <c r="H45" s="208"/>
      <c r="I45" s="208"/>
    </row>
    <row r="46" spans="1:9" ht="11.25">
      <c r="A46" s="208" t="s">
        <v>530</v>
      </c>
      <c r="B46" s="208"/>
      <c r="C46" s="208"/>
      <c r="D46" s="208"/>
      <c r="E46" s="208"/>
      <c r="F46" s="208"/>
      <c r="G46" s="208"/>
      <c r="H46" s="208"/>
      <c r="I46" s="208"/>
    </row>
    <row r="47" spans="1:9" ht="11.25">
      <c r="A47" s="208" t="s">
        <v>518</v>
      </c>
      <c r="B47" s="208"/>
      <c r="C47" s="208">
        <v>1554</v>
      </c>
      <c r="D47" s="208"/>
      <c r="E47" s="208"/>
      <c r="F47" s="208"/>
      <c r="G47" s="208"/>
      <c r="H47" s="208"/>
      <c r="I47" s="208"/>
    </row>
    <row r="48" spans="1:9" ht="11.25">
      <c r="A48" s="208" t="s">
        <v>520</v>
      </c>
      <c r="B48" s="208"/>
      <c r="C48" s="221">
        <v>203.14</v>
      </c>
      <c r="D48" s="208"/>
      <c r="E48" s="208"/>
      <c r="F48" s="208"/>
      <c r="G48" s="208"/>
      <c r="H48" s="208"/>
      <c r="I48" s="208"/>
    </row>
    <row r="49" spans="1:9" ht="11.25">
      <c r="A49" s="208" t="s">
        <v>521</v>
      </c>
      <c r="B49" s="208"/>
      <c r="C49" s="210">
        <v>2.99</v>
      </c>
      <c r="D49" s="208"/>
      <c r="E49" s="208"/>
      <c r="F49" s="208"/>
      <c r="G49" s="208"/>
      <c r="H49" s="208"/>
      <c r="I49" s="208"/>
    </row>
    <row r="50" spans="1:9" ht="11.25">
      <c r="A50" s="208"/>
      <c r="B50" s="208"/>
      <c r="C50" s="208"/>
      <c r="D50" s="208"/>
      <c r="E50" s="208"/>
      <c r="F50" s="208"/>
      <c r="G50" s="208"/>
      <c r="H50" s="208"/>
      <c r="I50" s="208"/>
    </row>
    <row r="51" spans="1:9" ht="11.25">
      <c r="A51" s="208" t="s">
        <v>522</v>
      </c>
      <c r="B51" s="208"/>
      <c r="C51" s="211">
        <f>C48*C49</f>
        <v>607.3886</v>
      </c>
      <c r="D51" s="208"/>
      <c r="E51" s="208"/>
      <c r="F51" s="208"/>
      <c r="G51" s="208"/>
      <c r="H51" s="208"/>
      <c r="I51" s="208"/>
    </row>
    <row r="52" spans="1:9" ht="11.25">
      <c r="A52" s="208"/>
      <c r="B52" s="208"/>
      <c r="C52" s="208"/>
      <c r="D52" s="208"/>
      <c r="E52" s="208"/>
      <c r="F52" s="208"/>
      <c r="G52" s="208"/>
      <c r="H52" s="208"/>
      <c r="I52" s="208"/>
    </row>
    <row r="53" spans="1:9" ht="11.25">
      <c r="A53" s="208"/>
      <c r="B53" s="208"/>
      <c r="C53" s="208"/>
      <c r="D53" s="208"/>
      <c r="E53" s="208"/>
      <c r="F53" s="208"/>
      <c r="G53" s="208"/>
      <c r="H53" s="208"/>
      <c r="I53" s="208"/>
    </row>
    <row r="54" spans="1:9" ht="11.25">
      <c r="A54" s="115" t="s">
        <v>523</v>
      </c>
      <c r="B54" s="208"/>
      <c r="C54" s="209" t="s">
        <v>524</v>
      </c>
      <c r="D54" s="209" t="s">
        <v>525</v>
      </c>
      <c r="E54" s="209" t="s">
        <v>526</v>
      </c>
      <c r="F54" s="208"/>
      <c r="G54" s="208"/>
      <c r="H54" s="208"/>
      <c r="I54" s="208"/>
    </row>
    <row r="55" spans="1:9" ht="11.25">
      <c r="A55" s="136" t="s">
        <v>527</v>
      </c>
      <c r="B55" s="136"/>
      <c r="C55" s="217">
        <v>1929</v>
      </c>
      <c r="D55" s="217">
        <v>1801</v>
      </c>
      <c r="E55" s="217">
        <v>1717</v>
      </c>
      <c r="F55" s="218">
        <f>SUM(C55:E55)</f>
        <v>5447</v>
      </c>
      <c r="G55" s="136"/>
      <c r="H55" s="136"/>
      <c r="I55" s="208"/>
    </row>
    <row r="56" spans="1:9" ht="11.25">
      <c r="A56" s="115"/>
      <c r="B56" s="208"/>
      <c r="C56" s="209"/>
      <c r="D56" s="209"/>
      <c r="E56" s="209"/>
      <c r="F56" s="208"/>
      <c r="G56" s="208"/>
      <c r="H56" s="208"/>
      <c r="I56" s="208"/>
    </row>
    <row r="57" spans="1:9" ht="11.25">
      <c r="A57" s="208" t="s">
        <v>520</v>
      </c>
      <c r="B57" s="208"/>
      <c r="C57" s="210">
        <v>519.02</v>
      </c>
      <c r="D57" s="210">
        <v>571.04</v>
      </c>
      <c r="E57" s="210">
        <v>591.05</v>
      </c>
      <c r="F57" s="218">
        <f>SUM(C57:E57)</f>
        <v>1681.11</v>
      </c>
      <c r="G57" s="208"/>
      <c r="H57" s="208"/>
      <c r="I57" s="208"/>
    </row>
    <row r="58" spans="1:9" ht="11.25">
      <c r="A58" s="208" t="s">
        <v>528</v>
      </c>
      <c r="B58" s="208"/>
      <c r="C58" s="210">
        <f>C55/C57</f>
        <v>3.716619783438018</v>
      </c>
      <c r="D58" s="210">
        <f>D55/D57</f>
        <v>3.1538946483608856</v>
      </c>
      <c r="E58" s="210">
        <f>E55/E57</f>
        <v>2.9049995770239407</v>
      </c>
      <c r="F58" s="210"/>
      <c r="G58" s="208"/>
      <c r="H58" s="208"/>
      <c r="I58" s="208"/>
    </row>
    <row r="59" spans="1:9" ht="11.25">
      <c r="A59" s="208" t="s">
        <v>529</v>
      </c>
      <c r="B59" s="208"/>
      <c r="C59" s="219">
        <v>2.99</v>
      </c>
      <c r="D59" s="219">
        <v>2.99</v>
      </c>
      <c r="E59" s="219">
        <v>2.99</v>
      </c>
      <c r="F59" s="208"/>
      <c r="G59" s="208"/>
      <c r="H59" s="208"/>
      <c r="I59" s="208"/>
    </row>
    <row r="60" spans="1:9" ht="11.25">
      <c r="A60" s="208" t="s">
        <v>522</v>
      </c>
      <c r="B60" s="208"/>
      <c r="C60" s="219">
        <f>C57*C59</f>
        <v>1551.8698000000002</v>
      </c>
      <c r="D60" s="219">
        <f>D57*D59</f>
        <v>1707.4096</v>
      </c>
      <c r="E60" s="219">
        <f>E57*E59</f>
        <v>1767.2395</v>
      </c>
      <c r="F60" s="218">
        <f>SUM(C60:E60)</f>
        <v>5026.5189</v>
      </c>
      <c r="G60" s="208"/>
      <c r="H60" s="208"/>
      <c r="I60" s="208"/>
    </row>
    <row r="61" spans="1:9" ht="11.25">
      <c r="A61" s="208"/>
      <c r="B61" s="208"/>
      <c r="C61" s="208"/>
      <c r="D61" s="208"/>
      <c r="E61" s="208"/>
      <c r="F61" s="208"/>
      <c r="G61" s="208"/>
      <c r="H61" s="208"/>
      <c r="I61" s="208"/>
    </row>
    <row r="62" spans="1:9" ht="11.25">
      <c r="A62" s="115" t="s">
        <v>531</v>
      </c>
      <c r="B62" s="208"/>
      <c r="C62" s="208"/>
      <c r="D62" s="208"/>
      <c r="E62" s="208"/>
      <c r="F62" s="218">
        <f>C44+C51+F60</f>
        <v>8019.9275</v>
      </c>
      <c r="G62" s="208"/>
      <c r="H62" s="208"/>
      <c r="I62" s="208"/>
    </row>
    <row r="63" spans="1:9" ht="11.25">
      <c r="A63" s="213"/>
      <c r="B63" s="213"/>
      <c r="C63" s="213"/>
      <c r="D63" s="213"/>
      <c r="E63" s="213"/>
      <c r="F63" s="213"/>
      <c r="G63" s="213"/>
      <c r="H63" s="208"/>
      <c r="I63" s="208"/>
    </row>
    <row r="64" spans="1:9" ht="11.25">
      <c r="A64" s="208"/>
      <c r="B64" s="208"/>
      <c r="C64" s="208"/>
      <c r="D64" s="208"/>
      <c r="E64" s="208"/>
      <c r="F64" s="208"/>
      <c r="G64" s="208"/>
      <c r="H64" s="208"/>
      <c r="I64" s="208"/>
    </row>
    <row r="65" ht="11.25"/>
  </sheetData>
  <printOptions/>
  <pageMargins left="0.75" right="0.75" top="1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BX322"/>
  <sheetViews>
    <sheetView workbookViewId="0" topLeftCell="A1">
      <selection activeCell="H6" sqref="H6"/>
    </sheetView>
  </sheetViews>
  <sheetFormatPr defaultColWidth="8.796875" defaultRowHeight="12"/>
  <cols>
    <col min="1" max="1" width="2.3984375" style="0" customWidth="1"/>
  </cols>
  <sheetData>
    <row r="1" spans="1:76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</row>
    <row r="2" spans="1:76" ht="12.75">
      <c r="A2" s="86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52</v>
      </c>
      <c r="AF2" s="88" t="s">
        <v>53</v>
      </c>
      <c r="AG2" s="87"/>
      <c r="AH2" s="87"/>
      <c r="AI2" s="87" t="s">
        <v>54</v>
      </c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</row>
    <row r="3" spans="1:76" ht="12.75">
      <c r="A3" s="86"/>
      <c r="B3" s="87" t="s">
        <v>201</v>
      </c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8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</row>
    <row r="4" spans="1:76" ht="12.75">
      <c r="A4" s="86"/>
      <c r="B4" s="89"/>
      <c r="C4" s="87"/>
      <c r="D4" s="87"/>
      <c r="E4" s="90"/>
      <c r="F4" s="87"/>
      <c r="G4" s="87"/>
      <c r="H4" s="87"/>
      <c r="I4" s="106"/>
      <c r="J4" s="87"/>
      <c r="K4" s="87"/>
      <c r="L4" s="87"/>
      <c r="M4" s="87"/>
      <c r="N4" s="87" t="s">
        <v>55</v>
      </c>
      <c r="O4" s="87"/>
      <c r="P4" s="87"/>
      <c r="Q4" s="87"/>
      <c r="R4" s="87"/>
      <c r="S4" s="87"/>
      <c r="T4" s="87"/>
      <c r="U4" s="88" t="s">
        <v>56</v>
      </c>
      <c r="V4" s="88" t="s">
        <v>57</v>
      </c>
      <c r="W4" s="88" t="s">
        <v>27</v>
      </c>
      <c r="X4" s="88" t="s">
        <v>58</v>
      </c>
      <c r="Y4" s="88" t="s">
        <v>59</v>
      </c>
      <c r="Z4" s="87"/>
      <c r="AA4" s="88" t="s">
        <v>60</v>
      </c>
      <c r="AB4" s="87" t="s">
        <v>61</v>
      </c>
      <c r="AC4" s="88" t="s">
        <v>62</v>
      </c>
      <c r="AD4" s="88" t="s">
        <v>63</v>
      </c>
      <c r="AE4" s="88" t="s">
        <v>64</v>
      </c>
      <c r="AF4" s="87"/>
      <c r="AG4" s="87"/>
      <c r="AH4" s="87"/>
      <c r="AI4" s="87" t="s">
        <v>65</v>
      </c>
      <c r="AJ4" s="87"/>
      <c r="AK4" s="87"/>
      <c r="AL4" s="87"/>
      <c r="AM4" s="87"/>
      <c r="AN4" s="87"/>
      <c r="AO4" s="87"/>
      <c r="AP4" s="87"/>
      <c r="AQ4" s="87"/>
      <c r="AR4" s="87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</row>
    <row r="5" spans="1:76" ht="12.75">
      <c r="A5" s="86"/>
      <c r="B5" s="91" t="s">
        <v>66</v>
      </c>
      <c r="C5" s="91" t="s">
        <v>67</v>
      </c>
      <c r="D5" s="87"/>
      <c r="E5" s="90">
        <f>E7+E6</f>
        <v>130846.1710258852</v>
      </c>
      <c r="F5" s="91" t="s">
        <v>68</v>
      </c>
      <c r="G5" s="87"/>
      <c r="H5" s="87"/>
      <c r="I5" s="87"/>
      <c r="J5" s="91"/>
      <c r="K5" s="87"/>
      <c r="L5" s="92"/>
      <c r="M5" s="87"/>
      <c r="N5" s="91" t="s">
        <v>69</v>
      </c>
      <c r="O5" s="87"/>
      <c r="P5" s="87"/>
      <c r="Q5" s="91" t="s">
        <v>70</v>
      </c>
      <c r="R5" s="87"/>
      <c r="S5" s="87"/>
      <c r="T5" s="87"/>
      <c r="U5" s="93">
        <f>$E$8*1.25</f>
        <v>125129.55032477432</v>
      </c>
      <c r="V5" s="94">
        <f>100*(+U5/$E$9)</f>
        <v>55.42435446562266</v>
      </c>
      <c r="W5" s="95">
        <f>EXP(5.7226-(0.68367*LN(+V5)))</f>
        <v>19.6416416427101</v>
      </c>
      <c r="X5" s="95">
        <f>(+W5*V5)/100</f>
        <v>10.886253086922995</v>
      </c>
      <c r="Y5" s="94">
        <f>100*((((X5/100)-((X5/100)-0.03574)*$E$21)-0.03574-0.00619)/0.344)</f>
        <v>12.229904178398769</v>
      </c>
      <c r="Z5" s="87">
        <f>$E$20</f>
        <v>0.25</v>
      </c>
      <c r="AA5" s="94">
        <f>Y5+Z5</f>
        <v>12.479904178398769</v>
      </c>
      <c r="AB5" s="94">
        <f>100*($E$17*$E$19+($E$18*(AA5/100))/(1-$E$21))</f>
        <v>13.465367434907973</v>
      </c>
      <c r="AC5" s="95">
        <f>AB5/V5</f>
        <v>0.24295037018897458</v>
      </c>
      <c r="AD5" s="93">
        <f>$E$8/(1-AC5)</f>
        <v>132228.63643009416</v>
      </c>
      <c r="AE5" s="87" t="str">
        <f>IF(AD5=$U$5,"yes","not yet")</f>
        <v>not yet</v>
      </c>
      <c r="AF5" s="94">
        <f>100*(1-AC5)</f>
        <v>75.70496298110254</v>
      </c>
      <c r="AG5" s="87"/>
      <c r="AH5" s="87"/>
      <c r="AI5" s="87">
        <v>0</v>
      </c>
      <c r="AJ5" s="87">
        <v>1</v>
      </c>
      <c r="AK5" s="87"/>
      <c r="AL5" s="87"/>
      <c r="AM5" s="87"/>
      <c r="AN5" s="87"/>
      <c r="AO5" s="87"/>
      <c r="AP5" s="87"/>
      <c r="AQ5" s="87"/>
      <c r="AR5" s="87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</row>
    <row r="6" spans="1:76" ht="12.75">
      <c r="A6" s="86"/>
      <c r="B6" s="91" t="s">
        <v>66</v>
      </c>
      <c r="C6" s="91" t="s">
        <v>71</v>
      </c>
      <c r="D6" s="87"/>
      <c r="E6" s="90">
        <f>(+E8-((H15/100)*E7))/H25</f>
        <v>13058.261025885195</v>
      </c>
      <c r="F6" s="96" t="s">
        <v>68</v>
      </c>
      <c r="G6" s="87"/>
      <c r="H6" s="223"/>
      <c r="I6" s="87"/>
      <c r="J6" s="91"/>
      <c r="K6" s="87"/>
      <c r="L6" s="92"/>
      <c r="M6" s="87"/>
      <c r="N6" s="91" t="s">
        <v>72</v>
      </c>
      <c r="O6" s="87"/>
      <c r="P6" s="87"/>
      <c r="Q6" s="91" t="s">
        <v>73</v>
      </c>
      <c r="R6" s="87"/>
      <c r="S6" s="87"/>
      <c r="T6" s="87"/>
      <c r="U6" s="93">
        <f>$E$8*1.25</f>
        <v>125129.55032477432</v>
      </c>
      <c r="V6" s="94">
        <f>100*(+U6/$E$9)</f>
        <v>55.42435446562266</v>
      </c>
      <c r="W6" s="95">
        <f>EXP(5.70827-(0.68367*LN(+V6)))</f>
        <v>19.36218401405605</v>
      </c>
      <c r="X6" s="95">
        <f>(+W6*V6)/100</f>
        <v>10.731365500236553</v>
      </c>
      <c r="Y6" s="94">
        <f>100*((((X6/100)-((X6/100)-0.03574)*$E$21)-0.03574-0.00619)/0.344)</f>
        <v>11.932736134174785</v>
      </c>
      <c r="Z6" s="87">
        <f>$E$20</f>
        <v>0.25</v>
      </c>
      <c r="AA6" s="94">
        <f>Y6+Z6</f>
        <v>12.182736134174785</v>
      </c>
      <c r="AB6" s="94">
        <f>100*($E$17*$E$19+($E$18*(AA6/100))/(1-$E$21))</f>
        <v>13.195214667431623</v>
      </c>
      <c r="AC6" s="95">
        <f>AB6/V6</f>
        <v>0.23807610922407849</v>
      </c>
      <c r="AD6" s="93">
        <f>$E$8/(1-AC6)</f>
        <v>131382.72926168094</v>
      </c>
      <c r="AE6" s="87" t="str">
        <f>IF(AD6=$U$6,"yes","not yet")</f>
        <v>not yet</v>
      </c>
      <c r="AF6" s="94">
        <f>100*(1-AC6)</f>
        <v>76.19238907759215</v>
      </c>
      <c r="AG6" s="87"/>
      <c r="AH6" s="87"/>
      <c r="AI6" s="87">
        <v>50</v>
      </c>
      <c r="AJ6" s="87">
        <v>2</v>
      </c>
      <c r="AK6" s="87"/>
      <c r="AL6" s="87"/>
      <c r="AM6" s="87"/>
      <c r="AN6" s="87"/>
      <c r="AO6" s="87"/>
      <c r="AP6" s="87"/>
      <c r="AQ6" s="87"/>
      <c r="AR6" s="87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</row>
    <row r="7" spans="1:76" ht="12.75">
      <c r="A7" s="86"/>
      <c r="B7" s="97" t="s">
        <v>74</v>
      </c>
      <c r="C7" s="91" t="s">
        <v>75</v>
      </c>
      <c r="D7" s="97" t="s">
        <v>92</v>
      </c>
      <c r="E7" s="90">
        <f>'Prof-Monthly Reporting'!H13</f>
        <v>117787.91</v>
      </c>
      <c r="F7" s="91" t="s">
        <v>76</v>
      </c>
      <c r="G7" s="87"/>
      <c r="H7" s="87"/>
      <c r="I7" s="87"/>
      <c r="J7" s="91"/>
      <c r="K7" s="87"/>
      <c r="L7" s="92"/>
      <c r="M7" s="87"/>
      <c r="N7" s="91" t="s">
        <v>77</v>
      </c>
      <c r="O7" s="87"/>
      <c r="P7" s="87"/>
      <c r="Q7" s="91" t="s">
        <v>78</v>
      </c>
      <c r="R7" s="87"/>
      <c r="S7" s="87"/>
      <c r="T7" s="87"/>
      <c r="U7" s="93">
        <f>$E$8*1.25</f>
        <v>125129.55032477432</v>
      </c>
      <c r="V7" s="94">
        <f>100*(+U7/$E$9)</f>
        <v>55.42435446562266</v>
      </c>
      <c r="W7" s="95">
        <f>EXP(5.6985-(0.68367*LN(V7)))</f>
        <v>19.173936562434616</v>
      </c>
      <c r="X7" s="95">
        <f>(+W7*V7)/100</f>
        <v>10.627030565377385</v>
      </c>
      <c r="Y7" s="94">
        <f>100*((((X7/100)-((X7/100)-0.03574)*$E$21)-0.03574-0.00619)/0.344)</f>
        <v>11.732558642875212</v>
      </c>
      <c r="Z7" s="87">
        <f>$E$20</f>
        <v>0.25</v>
      </c>
      <c r="AA7" s="94">
        <f>Y7+Z7</f>
        <v>11.982558642875212</v>
      </c>
      <c r="AB7" s="94">
        <f>100*($E$17*$E$19+($E$18*(AA7/100))/(1-$E$21))</f>
        <v>13.013235129886558</v>
      </c>
      <c r="AC7" s="95">
        <f>AB7/V7</f>
        <v>0.23479272343998353</v>
      </c>
      <c r="AD7" s="93">
        <f>$E$8/(1-AC7)</f>
        <v>130818.98634032157</v>
      </c>
      <c r="AE7" s="87" t="str">
        <f>IF(AD7=$U$7,"yes","not yet")</f>
        <v>not yet</v>
      </c>
      <c r="AF7" s="94">
        <f>100*(1-AC7)</f>
        <v>76.52072765600164</v>
      </c>
      <c r="AG7" s="87"/>
      <c r="AH7" s="87"/>
      <c r="AI7" s="87">
        <v>125</v>
      </c>
      <c r="AJ7" s="87">
        <v>3</v>
      </c>
      <c r="AK7" s="87"/>
      <c r="AL7" s="87"/>
      <c r="AM7" s="87"/>
      <c r="AN7" s="87"/>
      <c r="AO7" s="87"/>
      <c r="AP7" s="87"/>
      <c r="AQ7" s="87"/>
      <c r="AR7" s="87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</row>
    <row r="8" spans="1:76" ht="12.75">
      <c r="A8" s="86"/>
      <c r="B8" s="97" t="s">
        <v>74</v>
      </c>
      <c r="C8" s="91" t="s">
        <v>79</v>
      </c>
      <c r="D8" s="97" t="s">
        <v>92</v>
      </c>
      <c r="E8" s="90">
        <f>'Prof-Monthly Reporting'!H39</f>
        <v>100103.64025981945</v>
      </c>
      <c r="F8" s="91" t="s">
        <v>76</v>
      </c>
      <c r="G8" s="87"/>
      <c r="H8" s="87"/>
      <c r="I8" s="87"/>
      <c r="J8" s="91"/>
      <c r="K8" s="87"/>
      <c r="L8" s="92"/>
      <c r="M8" s="87"/>
      <c r="N8" s="91" t="s">
        <v>80</v>
      </c>
      <c r="O8" s="87"/>
      <c r="P8" s="87"/>
      <c r="Q8" s="91" t="s">
        <v>81</v>
      </c>
      <c r="R8" s="87"/>
      <c r="S8" s="87"/>
      <c r="T8" s="87"/>
      <c r="U8" s="93">
        <f>$E$8*1.25</f>
        <v>125129.55032477432</v>
      </c>
      <c r="V8" s="94">
        <f>100*(+U8/$E$9)</f>
        <v>55.42435446562266</v>
      </c>
      <c r="W8" s="95">
        <f>EXP(5.6922-(0.68367*LN(V8)))</f>
        <v>19.053520471055077</v>
      </c>
      <c r="X8" s="95">
        <f>(+W8*V8)/100</f>
        <v>10.560290724057543</v>
      </c>
      <c r="Y8" s="94">
        <f>100*((((X8/100)-((X8/100)-0.03574)*$E$21)-0.03574-0.00619)/0.344)</f>
        <v>11.604511272901101</v>
      </c>
      <c r="Z8" s="87">
        <f>$E$20</f>
        <v>0.25</v>
      </c>
      <c r="AA8" s="94">
        <f>Y8+Z8</f>
        <v>11.854511272901101</v>
      </c>
      <c r="AB8" s="94">
        <f>100*($E$17*$E$19+($E$18*(AA8/100))/(1-$E$21))</f>
        <v>12.896828429910093</v>
      </c>
      <c r="AC8" s="95">
        <f>AB8/V8</f>
        <v>0.23269244277638704</v>
      </c>
      <c r="AD8" s="93">
        <f>$E$8/(1-AC8)</f>
        <v>130460.90751670611</v>
      </c>
      <c r="AE8" s="87" t="str">
        <f>IF(AD8=$U$8,"yes","not yet")</f>
        <v>not yet</v>
      </c>
      <c r="AF8" s="94">
        <f>100*(1-AC8)</f>
        <v>76.7307557223613</v>
      </c>
      <c r="AG8" s="87"/>
      <c r="AH8" s="87"/>
      <c r="AI8" s="87">
        <v>401</v>
      </c>
      <c r="AJ8" s="87">
        <v>4</v>
      </c>
      <c r="AK8" s="87"/>
      <c r="AL8" s="87"/>
      <c r="AM8" s="87"/>
      <c r="AN8" s="87"/>
      <c r="AO8" s="87"/>
      <c r="AP8" s="87"/>
      <c r="AQ8" s="87"/>
      <c r="AR8" s="87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</row>
    <row r="9" spans="1:76" ht="12.75">
      <c r="A9" s="86"/>
      <c r="B9" s="97" t="s">
        <v>74</v>
      </c>
      <c r="C9" s="91" t="s">
        <v>82</v>
      </c>
      <c r="D9" s="87"/>
      <c r="E9" s="90">
        <f>'Depr-Revised'!AB36/12*2</f>
        <v>225766.36486111316</v>
      </c>
      <c r="F9" s="91" t="s">
        <v>76</v>
      </c>
      <c r="G9" s="87"/>
      <c r="H9" s="87"/>
      <c r="I9" s="87"/>
      <c r="J9" s="91"/>
      <c r="K9" s="87"/>
      <c r="L9" s="9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94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</row>
    <row r="10" spans="1:76" ht="12.75">
      <c r="A10" s="86"/>
      <c r="B10" s="89"/>
      <c r="C10" s="91" t="s">
        <v>83</v>
      </c>
      <c r="D10" s="87"/>
      <c r="E10" s="94">
        <f>V5</f>
        <v>55.42435446562266</v>
      </c>
      <c r="F10" s="91" t="s">
        <v>84</v>
      </c>
      <c r="G10" s="87"/>
      <c r="H10" s="94"/>
      <c r="I10" s="94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8" t="s">
        <v>85</v>
      </c>
      <c r="W10" s="98" t="s">
        <v>27</v>
      </c>
      <c r="X10" s="98" t="s">
        <v>58</v>
      </c>
      <c r="Y10" s="98" t="s">
        <v>59</v>
      </c>
      <c r="Z10" s="87"/>
      <c r="AA10" s="94"/>
      <c r="AB10" s="87"/>
      <c r="AC10" s="87"/>
      <c r="AD10" s="87"/>
      <c r="AE10" s="87"/>
      <c r="AF10" s="87"/>
      <c r="AG10" s="87"/>
      <c r="AH10" s="87"/>
      <c r="AI10" s="87" t="s">
        <v>86</v>
      </c>
      <c r="AJ10" s="87"/>
      <c r="AK10" s="87"/>
      <c r="AL10" s="87"/>
      <c r="AM10" s="87"/>
      <c r="AN10" s="87"/>
      <c r="AO10" s="87"/>
      <c r="AP10" s="87"/>
      <c r="AQ10" s="87"/>
      <c r="AR10" s="87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</row>
    <row r="11" spans="1:76" ht="12.75">
      <c r="A11" s="86"/>
      <c r="B11" s="89"/>
      <c r="C11" s="91" t="s">
        <v>87</v>
      </c>
      <c r="D11" s="87"/>
      <c r="E11" s="94">
        <f>HLOOKUP($AJ$34,$AJ$28:$AR$32,($E$12)+1)</f>
        <v>57.783186649726694</v>
      </c>
      <c r="F11" s="91" t="s">
        <v>84</v>
      </c>
      <c r="G11" s="87"/>
      <c r="H11" s="87"/>
      <c r="I11" s="87"/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>
        <f>100*(+AD5/$E$9)</f>
        <v>58.56879367811876</v>
      </c>
      <c r="W11" s="99">
        <f>EXP(5.7226-(0.68367*LN(+V11)))</f>
        <v>18.914427345840686</v>
      </c>
      <c r="X11" s="95">
        <f>(+W11*V11)/100</f>
        <v>11.077951927583106</v>
      </c>
      <c r="Y11" s="94">
        <f>100*((((X11/100)-((X11/100)-0.03574)*$E$21)-0.03574-0.00619)/0.344)</f>
        <v>12.597698465711774</v>
      </c>
      <c r="Z11" s="87">
        <f>$E$20</f>
        <v>0.25</v>
      </c>
      <c r="AA11" s="94">
        <f>Y11+Z11</f>
        <v>12.847698465711774</v>
      </c>
      <c r="AB11" s="94">
        <f>100*($E$17*$E$19+($E$18*(AA11/100))/(1-$E$21))</f>
        <v>13.799725877919794</v>
      </c>
      <c r="AC11" s="95">
        <f>AB11/V11</f>
        <v>0.2356156753673306</v>
      </c>
      <c r="AD11" s="93">
        <f>$E$8/(1-AC11)</f>
        <v>130959.82875881843</v>
      </c>
      <c r="AE11" s="87" t="str">
        <f>IF(AD11=AD5,"yes","not yet")</f>
        <v>not yet</v>
      </c>
      <c r="AF11" s="94">
        <f>100*(1-AC11)</f>
        <v>76.43843246326693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</row>
    <row r="12" spans="1:76" ht="12.75">
      <c r="A12" s="86"/>
      <c r="B12" s="89"/>
      <c r="C12" s="91" t="s">
        <v>88</v>
      </c>
      <c r="D12" s="87"/>
      <c r="E12" s="87">
        <f>VLOOKUP(E10,AI5:AJ8,2)</f>
        <v>2</v>
      </c>
      <c r="F12" s="91" t="s">
        <v>84</v>
      </c>
      <c r="G12" s="87"/>
      <c r="H12" s="87"/>
      <c r="I12" s="87"/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>
        <f>100*(+AD6/$E$9)</f>
        <v>58.19411113010784</v>
      </c>
      <c r="W12" s="99">
        <f>EXP(5.70827-(0.68367*LN(+V12)))</f>
        <v>18.727306118847682</v>
      </c>
      <c r="X12" s="95">
        <f>(+W12*V12)/100</f>
        <v>10.898189334477706</v>
      </c>
      <c r="Y12" s="94">
        <f>100*((((X12/100)-((X12/100)-0.03574)*$E$21)-0.03574-0.00619)/0.344)</f>
        <v>12.252805118474669</v>
      </c>
      <c r="Z12" s="87">
        <f>$E$20</f>
        <v>0.25</v>
      </c>
      <c r="AA12" s="94">
        <f>Y12+Z12</f>
        <v>12.502805118474669</v>
      </c>
      <c r="AB12" s="94">
        <f>100*($E$17*$E$19+($E$18*(AA12/100))/(1-$E$21))</f>
        <v>13.486186471340611</v>
      </c>
      <c r="AC12" s="95">
        <f>AB12/V12</f>
        <v>0.231744865750914</v>
      </c>
      <c r="AD12" s="93">
        <f>$E$8/(1-AC12)</f>
        <v>130299.99514115001</v>
      </c>
      <c r="AE12" s="87" t="str">
        <f>IF(AD12=AD6,"yes","not yet")</f>
        <v>not yet</v>
      </c>
      <c r="AF12" s="94">
        <f>100*(1-AC12)</f>
        <v>76.82551342490859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</row>
    <row r="13" spans="1:76" ht="12.75">
      <c r="A13" s="86"/>
      <c r="B13" s="89"/>
      <c r="C13" s="87"/>
      <c r="D13" s="87"/>
      <c r="E13" s="87"/>
      <c r="F13" s="87"/>
      <c r="G13" s="87"/>
      <c r="H13" s="87"/>
      <c r="I13" s="87"/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>
        <f>100*(+AD7/$E$9)</f>
        <v>57.94440922180713</v>
      </c>
      <c r="W13" s="99">
        <f>EXP(5.6985-(0.68367*LN(V13)))</f>
        <v>18.59983133584069</v>
      </c>
      <c r="X13" s="95">
        <f>(+W13*V13)/100</f>
        <v>10.777562383805446</v>
      </c>
      <c r="Y13" s="94">
        <f>100*((((X13/100)-((X13/100)-0.03574)*$E$21)-0.03574-0.00619)/0.344)</f>
        <v>12.021369689859288</v>
      </c>
      <c r="Z13" s="87">
        <f>$E$20</f>
        <v>0.25</v>
      </c>
      <c r="AA13" s="94">
        <f>Y13+Z13</f>
        <v>12.271369689859288</v>
      </c>
      <c r="AB13" s="94">
        <f>100*($E$17*$E$19+($E$18*(AA13/100))/(1-$E$21))</f>
        <v>13.27579062714481</v>
      </c>
      <c r="AC13" s="95">
        <f>AB13/V13</f>
        <v>0.22911253743784005</v>
      </c>
      <c r="AD13" s="93">
        <f>$E$8/(1-AC13)</f>
        <v>129855.06331509142</v>
      </c>
      <c r="AE13" s="87" t="str">
        <f>IF(AD13=AD7,"yes","not yet")</f>
        <v>not yet</v>
      </c>
      <c r="AF13" s="94">
        <f>100*(1-AC13)</f>
        <v>77.088746256216</v>
      </c>
      <c r="AG13" s="87"/>
      <c r="AH13" s="87"/>
      <c r="AI13" s="87"/>
      <c r="AJ13" s="87">
        <v>1</v>
      </c>
      <c r="AK13" s="87">
        <v>2</v>
      </c>
      <c r="AL13" s="87">
        <v>3</v>
      </c>
      <c r="AM13" s="87">
        <v>4</v>
      </c>
      <c r="AN13" s="87">
        <v>5</v>
      </c>
      <c r="AO13" s="87">
        <v>6</v>
      </c>
      <c r="AP13" s="87">
        <v>7</v>
      </c>
      <c r="AQ13" s="87">
        <v>8</v>
      </c>
      <c r="AR13" s="87">
        <v>9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</row>
    <row r="14" spans="1:76" ht="12.75">
      <c r="A14" s="86"/>
      <c r="B14" s="89"/>
      <c r="C14" s="91" t="s">
        <v>89</v>
      </c>
      <c r="D14" s="87"/>
      <c r="E14" s="87"/>
      <c r="F14" s="87"/>
      <c r="G14" s="87"/>
      <c r="H14" s="87"/>
      <c r="I14" s="87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>
        <f>100*(+AD8/$E$9)</f>
        <v>57.785803300222774</v>
      </c>
      <c r="W14" s="99">
        <f>EXP(5.6922-(0.68367*LN(V14)))</f>
        <v>18.51768878440135</v>
      </c>
      <c r="X14" s="95">
        <f>(+W14*V14)/100</f>
        <v>10.70059521670158</v>
      </c>
      <c r="Y14" s="94">
        <f>100*((((X14/100)-((X14/100)-0.03574)*$E$21)-0.03574-0.00619)/0.344)</f>
        <v>11.873700125066984</v>
      </c>
      <c r="Z14" s="87">
        <f>$E$20</f>
        <v>0.25</v>
      </c>
      <c r="AA14" s="94">
        <f>Y14+Z14</f>
        <v>12.123700125066984</v>
      </c>
      <c r="AB14" s="94">
        <f>100*($E$17*$E$19+($E$18*(AA14/100))/(1-$E$21))</f>
        <v>13.141545568242712</v>
      </c>
      <c r="AC14" s="95">
        <f>AB14/V14</f>
        <v>0.22741823800504388</v>
      </c>
      <c r="AD14" s="93">
        <f>$E$8/(1-AC14)</f>
        <v>129570.28651741975</v>
      </c>
      <c r="AE14" s="87" t="str">
        <f>IF(AD14=AD8,"yes","not yet")</f>
        <v>not yet</v>
      </c>
      <c r="AF14" s="94">
        <f>100*(1-AC14)</f>
        <v>77.25817619949561</v>
      </c>
      <c r="AG14" s="87"/>
      <c r="AH14" s="87"/>
      <c r="AI14" s="87"/>
      <c r="AJ14" s="87" t="str">
        <f>AE5</f>
        <v>not yet</v>
      </c>
      <c r="AK14" s="87" t="str">
        <f>AE11</f>
        <v>not yet</v>
      </c>
      <c r="AL14" s="87" t="str">
        <f>AE17</f>
        <v>not yet</v>
      </c>
      <c r="AM14" s="87" t="str">
        <f>AE23</f>
        <v>not yet</v>
      </c>
      <c r="AN14" s="87" t="str">
        <f>AE29</f>
        <v>not yet</v>
      </c>
      <c r="AO14" s="87" t="str">
        <f>AE35</f>
        <v>not yet</v>
      </c>
      <c r="AP14" s="87" t="str">
        <f>AE41</f>
        <v>yes</v>
      </c>
      <c r="AQ14" s="87" t="str">
        <f>AE47</f>
        <v>yes</v>
      </c>
      <c r="AR14" s="87" t="str">
        <f>AE53</f>
        <v>yes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</row>
    <row r="15" spans="1:76" ht="12.75">
      <c r="A15" s="86"/>
      <c r="B15" s="89"/>
      <c r="C15" s="91" t="s">
        <v>90</v>
      </c>
      <c r="D15" s="87"/>
      <c r="E15" s="97" t="s">
        <v>66</v>
      </c>
      <c r="F15" s="91" t="s">
        <v>91</v>
      </c>
      <c r="G15" s="87"/>
      <c r="H15" s="94">
        <f>HLOOKUP($AJ$25,$AJ$19:$AR$23,($E$12)+1)</f>
        <v>76.73436637557546</v>
      </c>
      <c r="I15" s="91" t="s">
        <v>68</v>
      </c>
      <c r="J15" s="86"/>
      <c r="K15" s="10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94"/>
      <c r="AB15" s="87"/>
      <c r="AC15" s="87"/>
      <c r="AD15" s="87"/>
      <c r="AE15" s="87"/>
      <c r="AF15" s="87"/>
      <c r="AG15" s="87"/>
      <c r="AH15" s="87"/>
      <c r="AI15" s="87"/>
      <c r="AJ15" s="87" t="str">
        <f>AE6</f>
        <v>not yet</v>
      </c>
      <c r="AK15" s="87" t="str">
        <f>AE12</f>
        <v>not yet</v>
      </c>
      <c r="AL15" s="87" t="str">
        <f>AE18</f>
        <v>not yet</v>
      </c>
      <c r="AM15" s="87" t="str">
        <f>AE24</f>
        <v>not yet</v>
      </c>
      <c r="AN15" s="87" t="str">
        <f>AE30</f>
        <v>not yet</v>
      </c>
      <c r="AO15" s="87" t="str">
        <f>AE36</f>
        <v>not yet</v>
      </c>
      <c r="AP15" s="87" t="str">
        <f>AE42</f>
        <v>yes</v>
      </c>
      <c r="AQ15" s="87" t="str">
        <f>AE48</f>
        <v>yes</v>
      </c>
      <c r="AR15" s="87" t="str">
        <f>AE54</f>
        <v>yes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</row>
    <row r="16" spans="1:76" ht="12.75">
      <c r="A16" s="86"/>
      <c r="B16" s="89"/>
      <c r="C16" s="101"/>
      <c r="D16" s="101"/>
      <c r="E16" s="102"/>
      <c r="F16" s="87"/>
      <c r="G16" s="87"/>
      <c r="H16" s="101"/>
      <c r="I16" s="8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1" t="s">
        <v>93</v>
      </c>
      <c r="W16" s="98" t="s">
        <v>27</v>
      </c>
      <c r="X16" s="98" t="s">
        <v>58</v>
      </c>
      <c r="Y16" s="98" t="s">
        <v>59</v>
      </c>
      <c r="Z16" s="87"/>
      <c r="AA16" s="94"/>
      <c r="AB16" s="87"/>
      <c r="AC16" s="87"/>
      <c r="AD16" s="87"/>
      <c r="AE16" s="87"/>
      <c r="AF16" s="87"/>
      <c r="AG16" s="87"/>
      <c r="AH16" s="87"/>
      <c r="AI16" s="87"/>
      <c r="AJ16" s="87" t="str">
        <f>AE7</f>
        <v>not yet</v>
      </c>
      <c r="AK16" s="87" t="str">
        <f>AE13</f>
        <v>not yet</v>
      </c>
      <c r="AL16" s="87" t="str">
        <f>AE19</f>
        <v>not yet</v>
      </c>
      <c r="AM16" s="87" t="str">
        <f>AE25</f>
        <v>not yet</v>
      </c>
      <c r="AN16" s="87" t="str">
        <f>AE31</f>
        <v>not yet</v>
      </c>
      <c r="AO16" s="87" t="str">
        <f>AE37</f>
        <v>not yet</v>
      </c>
      <c r="AP16" s="87" t="str">
        <f>AE43</f>
        <v>yes</v>
      </c>
      <c r="AQ16" s="87" t="str">
        <f>AE49</f>
        <v>yes</v>
      </c>
      <c r="AR16" s="87" t="str">
        <f>AE55</f>
        <v>yes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</row>
    <row r="17" spans="1:76" ht="12.75">
      <c r="A17" s="86"/>
      <c r="B17" s="97" t="s">
        <v>74</v>
      </c>
      <c r="C17" s="91" t="s">
        <v>94</v>
      </c>
      <c r="D17" s="87"/>
      <c r="E17" s="92">
        <v>0.4</v>
      </c>
      <c r="F17" s="91" t="s">
        <v>95</v>
      </c>
      <c r="G17" s="87"/>
      <c r="H17" s="87"/>
      <c r="I17" s="89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4">
        <f>100*(+AD11/$E$9)</f>
        <v>58.006793367728726</v>
      </c>
      <c r="W17" s="99">
        <f>EXP(5.7226-(0.68367*LN(+V17)))</f>
        <v>19.039520694391033</v>
      </c>
      <c r="X17" s="95">
        <f>(+W17*V17)/100</f>
        <v>11.044215427401356</v>
      </c>
      <c r="Y17" s="94">
        <f>100*((((X17/100)-((X17/100)-0.03574)*$E$21)-0.03574-0.00619)/0.344)</f>
        <v>12.532971459549113</v>
      </c>
      <c r="Z17" s="87">
        <f>$E$20</f>
        <v>0.25</v>
      </c>
      <c r="AA17" s="94">
        <f>Y17+Z17</f>
        <v>12.782971459549113</v>
      </c>
      <c r="AB17" s="94">
        <f>100*($E$17*$E$19+($E$18*(AA17/100))/(1-$E$21))</f>
        <v>13.74088314504465</v>
      </c>
      <c r="AC17" s="95">
        <f>AB17/V17</f>
        <v>0.23688403283966392</v>
      </c>
      <c r="AD17" s="93">
        <f>$E$8/(1-AC17)</f>
        <v>131177.49407382924</v>
      </c>
      <c r="AE17" s="87" t="str">
        <f>IF(AD17=AD11,"yes","not yet")</f>
        <v>not yet</v>
      </c>
      <c r="AF17" s="94">
        <f>100*(1-AC17)</f>
        <v>76.3115967160336</v>
      </c>
      <c r="AG17" s="87"/>
      <c r="AH17" s="87"/>
      <c r="AI17" s="87"/>
      <c r="AJ17" s="87" t="str">
        <f>AE8</f>
        <v>not yet</v>
      </c>
      <c r="AK17" s="87" t="str">
        <f>AE14</f>
        <v>not yet</v>
      </c>
      <c r="AL17" s="87" t="str">
        <f>AE20</f>
        <v>not yet</v>
      </c>
      <c r="AM17" s="87" t="str">
        <f>AE26</f>
        <v>not yet</v>
      </c>
      <c r="AN17" s="87" t="str">
        <f>AE32</f>
        <v>not yet</v>
      </c>
      <c r="AO17" s="87" t="str">
        <f>AE38</f>
        <v>not yet</v>
      </c>
      <c r="AP17" s="87" t="str">
        <f>AE44</f>
        <v>yes</v>
      </c>
      <c r="AQ17" s="87" t="str">
        <f>AE50</f>
        <v>yes</v>
      </c>
      <c r="AR17" s="87" t="str">
        <f>AE56</f>
        <v>yes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</row>
    <row r="18" spans="1:76" ht="12.75">
      <c r="A18" s="86"/>
      <c r="B18" s="97" t="s">
        <v>74</v>
      </c>
      <c r="C18" s="91" t="s">
        <v>96</v>
      </c>
      <c r="D18" s="87"/>
      <c r="E18" s="92">
        <v>0.6</v>
      </c>
      <c r="F18" s="91" t="s">
        <v>97</v>
      </c>
      <c r="G18" s="87"/>
      <c r="H18" s="103">
        <v>0.015</v>
      </c>
      <c r="I18" s="91" t="s">
        <v>74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4">
        <f>100*(+AD12/$E$9)</f>
        <v>57.71452945229812</v>
      </c>
      <c r="W18" s="99">
        <f>EXP(5.70827-(0.68367*LN(+V18)))</f>
        <v>18.833556420139264</v>
      </c>
      <c r="X18" s="95">
        <f>(+W18*V18)/100</f>
        <v>10.86969846701646</v>
      </c>
      <c r="Y18" s="94">
        <f>100*((((X18/100)-((X18/100)-0.03574)*$E$21)-0.03574-0.00619)/0.344)</f>
        <v>12.19814240764786</v>
      </c>
      <c r="Z18" s="87">
        <f>$E$20</f>
        <v>0.25</v>
      </c>
      <c r="AA18" s="94">
        <f>Y18+Z18</f>
        <v>12.44814240764786</v>
      </c>
      <c r="AB18" s="94">
        <f>100*($E$17*$E$19+($E$18*(AA18/100))/(1-$E$21))</f>
        <v>13.436493097861693</v>
      </c>
      <c r="AC18" s="95">
        <f>AB18/V18</f>
        <v>0.23280954077546703</v>
      </c>
      <c r="AD18" s="93">
        <f>$E$8/(1-AC18)</f>
        <v>130480.82005738579</v>
      </c>
      <c r="AE18" s="87" t="str">
        <f>IF(AD18=AD12,"yes","not yet")</f>
        <v>not yet</v>
      </c>
      <c r="AF18" s="94">
        <f>100*(1-AC18)</f>
        <v>76.7190459224533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</row>
    <row r="19" spans="1:76" ht="12.75">
      <c r="A19" s="86"/>
      <c r="B19" s="97" t="s">
        <v>74</v>
      </c>
      <c r="C19" s="91" t="s">
        <v>98</v>
      </c>
      <c r="D19" s="87"/>
      <c r="E19" s="92">
        <v>0.053</v>
      </c>
      <c r="F19" s="91" t="s">
        <v>99</v>
      </c>
      <c r="G19" s="87"/>
      <c r="H19" s="103">
        <v>0.004</v>
      </c>
      <c r="I19" s="91" t="s">
        <v>74</v>
      </c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4">
        <f>100*(+AD13/$E$9)</f>
        <v>57.51745322868425</v>
      </c>
      <c r="W19" s="99">
        <f>EXP(5.6985-(0.68367*LN(V19)))</f>
        <v>18.694113698964255</v>
      </c>
      <c r="X19" s="95">
        <f>(+W19*V19)/100</f>
        <v>10.752378103318822</v>
      </c>
      <c r="Y19" s="94">
        <f>100*((((X19/100)-((X19/100)-0.03574)*$E$21)-0.03574-0.00619)/0.344)</f>
        <v>11.97305101218146</v>
      </c>
      <c r="Z19" s="87">
        <f>$E$20</f>
        <v>0.25</v>
      </c>
      <c r="AA19" s="94">
        <f>Y19+Z19</f>
        <v>12.22305101218146</v>
      </c>
      <c r="AB19" s="94">
        <f>100*($E$17*$E$19+($E$18*(AA19/100))/(1-$E$21))</f>
        <v>13.231864556528599</v>
      </c>
      <c r="AC19" s="95">
        <f>AB19/V19</f>
        <v>0.2300495556352241</v>
      </c>
      <c r="AD19" s="93">
        <f>$E$8/(1-AC19)</f>
        <v>130013.09498873906</v>
      </c>
      <c r="AE19" s="87" t="str">
        <f>IF(AD19=AD13,"yes","not yet")</f>
        <v>not yet</v>
      </c>
      <c r="AF19" s="94">
        <f>100*(1-AC19)</f>
        <v>76.99504443647758</v>
      </c>
      <c r="AG19" s="87"/>
      <c r="AH19" s="87"/>
      <c r="AI19" s="87"/>
      <c r="AJ19" s="87" t="str">
        <f>HLOOKUP(1,$AJ$13:$AR$17,($E$12)+1)</f>
        <v>not yet</v>
      </c>
      <c r="AK19" s="87" t="str">
        <f>HLOOKUP(2,$AJ$13:$AR$17,($E$12)+1)</f>
        <v>not yet</v>
      </c>
      <c r="AL19" s="87" t="str">
        <f>HLOOKUP(3,$AJ$13:$AR$17,($E$12)+1)</f>
        <v>not yet</v>
      </c>
      <c r="AM19" s="87" t="str">
        <f>HLOOKUP(4,$AJ$13:$AR$17,($E$12)+1)</f>
        <v>not yet</v>
      </c>
      <c r="AN19" s="87" t="str">
        <f>HLOOKUP(5,$AJ$13:$AR$17,($E$12)+1)</f>
        <v>not yet</v>
      </c>
      <c r="AO19" s="87" t="str">
        <f>HLOOKUP(6,$AJ$13:$AR$17,($E$12)+1)</f>
        <v>not yet</v>
      </c>
      <c r="AP19" s="87" t="str">
        <f>HLOOKUP(7,$AJ$13:$AR$17,($E$12)+1)</f>
        <v>yes</v>
      </c>
      <c r="AQ19" s="87" t="str">
        <f>HLOOKUP(8,$AJ$13:$AR$17,($E$12)+1)</f>
        <v>yes</v>
      </c>
      <c r="AR19" s="87" t="str">
        <f>HLOOKUP(9,$AJ$13:$AR$17,($E$12)+1)</f>
        <v>yes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</row>
    <row r="20" spans="1:76" ht="12.75">
      <c r="A20" s="86"/>
      <c r="B20" s="97" t="s">
        <v>74</v>
      </c>
      <c r="C20" s="91" t="s">
        <v>199</v>
      </c>
      <c r="D20" s="87"/>
      <c r="E20" s="104">
        <v>0.25</v>
      </c>
      <c r="F20" s="91" t="s">
        <v>200</v>
      </c>
      <c r="G20" s="87"/>
      <c r="H20" s="92">
        <v>0</v>
      </c>
      <c r="I20" s="91" t="s">
        <v>74</v>
      </c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4">
        <f>100*(+AD14/$E$9)</f>
        <v>57.39131539683899</v>
      </c>
      <c r="W20" s="99">
        <f>EXP(5.6922-(0.68367*LN(V20)))</f>
        <v>18.60461481059278</v>
      </c>
      <c r="X20" s="95">
        <f>(+W20*V20)/100</f>
        <v>10.677433164314321</v>
      </c>
      <c r="Y20" s="94">
        <f>100*((((X20/100)-((X20/100)-0.03574)*$E$21)-0.03574-0.00619)/0.344)</f>
        <v>11.82926130362631</v>
      </c>
      <c r="Z20" s="87">
        <f>$E$20</f>
        <v>0.25</v>
      </c>
      <c r="AA20" s="94">
        <f>Y20+Z20</f>
        <v>12.07926130362631</v>
      </c>
      <c r="AB20" s="94">
        <f>100*($E$17*$E$19+($E$18*(AA20/100))/(1-$E$21))</f>
        <v>13.101146639660282</v>
      </c>
      <c r="AC20" s="95">
        <f>AB20/V20</f>
        <v>0.22827751113684824</v>
      </c>
      <c r="AD20" s="93">
        <f>$E$8/(1-AC20)</f>
        <v>129714.55633913846</v>
      </c>
      <c r="AE20" s="87" t="str">
        <f>IF(AD20=AD14,"yes","not yet")</f>
        <v>not yet</v>
      </c>
      <c r="AF20" s="94">
        <f>100*(1-AC20)</f>
        <v>77.17224888631517</v>
      </c>
      <c r="AG20" s="87"/>
      <c r="AH20" s="87"/>
      <c r="AI20" s="87">
        <v>1</v>
      </c>
      <c r="AJ20" s="94">
        <f>AF5</f>
        <v>75.70496298110254</v>
      </c>
      <c r="AK20" s="94">
        <f>AF11</f>
        <v>76.43843246326693</v>
      </c>
      <c r="AL20" s="94">
        <f>AF17</f>
        <v>76.3115967160336</v>
      </c>
      <c r="AM20" s="94">
        <f>AF23</f>
        <v>76.33348235768335</v>
      </c>
      <c r="AN20" s="94">
        <f>AF29</f>
        <v>76.32970455366528</v>
      </c>
      <c r="AO20" s="94">
        <f>AF35</f>
        <v>76.33035661959505</v>
      </c>
      <c r="AP20" s="94">
        <f>AF41</f>
        <v>76.33021852625701</v>
      </c>
      <c r="AQ20" s="94">
        <f>AF47</f>
        <v>76.33021852625701</v>
      </c>
      <c r="AR20" s="94">
        <f>AF53</f>
        <v>76.33021852625701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</row>
    <row r="21" spans="1:76" ht="12.75">
      <c r="A21" s="86"/>
      <c r="B21" s="97" t="s">
        <v>74</v>
      </c>
      <c r="C21" s="91" t="s">
        <v>100</v>
      </c>
      <c r="D21" s="87"/>
      <c r="E21" s="104">
        <v>0.34</v>
      </c>
      <c r="F21" s="91" t="s">
        <v>101</v>
      </c>
      <c r="G21" s="87"/>
      <c r="H21" s="105">
        <v>0.004</v>
      </c>
      <c r="I21" s="91" t="s">
        <v>74</v>
      </c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94"/>
      <c r="AB21" s="87"/>
      <c r="AC21" s="87"/>
      <c r="AD21" s="87"/>
      <c r="AE21" s="87"/>
      <c r="AF21" s="87"/>
      <c r="AG21" s="87"/>
      <c r="AH21" s="87"/>
      <c r="AI21" s="87">
        <v>2</v>
      </c>
      <c r="AJ21" s="94">
        <f>AF6</f>
        <v>76.19238907759215</v>
      </c>
      <c r="AK21" s="94">
        <f>AF12</f>
        <v>76.82551342490859</v>
      </c>
      <c r="AL21" s="94">
        <f>AF18</f>
        <v>76.7190459224533</v>
      </c>
      <c r="AM21" s="94">
        <f>AF24</f>
        <v>76.73691582958325</v>
      </c>
      <c r="AN21" s="94">
        <f>AF30</f>
        <v>76.73391552308576</v>
      </c>
      <c r="AO21" s="94">
        <f>AF36</f>
        <v>76.73441923910559</v>
      </c>
      <c r="AP21" s="94">
        <f>AF42</f>
        <v>76.73436637557546</v>
      </c>
      <c r="AQ21" s="94">
        <f>AF48</f>
        <v>76.73436637557546</v>
      </c>
      <c r="AR21" s="94">
        <f>AF54</f>
        <v>76.73436637557546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</row>
    <row r="22" spans="1:76" ht="12.75">
      <c r="A22" s="86"/>
      <c r="B22" s="89"/>
      <c r="C22" s="87"/>
      <c r="D22" s="87"/>
      <c r="E22" s="87"/>
      <c r="F22" s="87"/>
      <c r="G22" s="87"/>
      <c r="H22" s="101"/>
      <c r="I22" s="101"/>
      <c r="J22" s="8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1" t="s">
        <v>102</v>
      </c>
      <c r="W22" s="98" t="s">
        <v>27</v>
      </c>
      <c r="X22" s="98" t="s">
        <v>58</v>
      </c>
      <c r="Y22" s="98" t="s">
        <v>59</v>
      </c>
      <c r="Z22" s="87"/>
      <c r="AA22" s="94"/>
      <c r="AB22" s="87"/>
      <c r="AC22" s="87"/>
      <c r="AD22" s="87"/>
      <c r="AE22" s="87"/>
      <c r="AF22" s="87"/>
      <c r="AG22" s="87"/>
      <c r="AH22" s="87"/>
      <c r="AI22" s="87">
        <v>3</v>
      </c>
      <c r="AJ22" s="94">
        <f>AF7</f>
        <v>76.52072765600164</v>
      </c>
      <c r="AK22" s="94">
        <f>AF13</f>
        <v>77.088746256216</v>
      </c>
      <c r="AL22" s="94">
        <f>AF19</f>
        <v>76.99504443647758</v>
      </c>
      <c r="AM22" s="94">
        <f>AF25</f>
        <v>77.01047526291832</v>
      </c>
      <c r="AN22" s="94">
        <f>AF31</f>
        <v>77.00793339536831</v>
      </c>
      <c r="AO22" s="94">
        <f>AF37</f>
        <v>77.00835208909777</v>
      </c>
      <c r="AP22" s="94">
        <f>AF43</f>
        <v>77.00831945195857</v>
      </c>
      <c r="AQ22" s="94">
        <f>AF49</f>
        <v>77.00831945195857</v>
      </c>
      <c r="AR22" s="94">
        <f>AF55</f>
        <v>77.00831945195857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1:76" ht="12.75">
      <c r="A23" s="86"/>
      <c r="B23" s="89"/>
      <c r="C23" s="87"/>
      <c r="D23" s="87"/>
      <c r="E23" s="87"/>
      <c r="F23" s="91" t="s">
        <v>103</v>
      </c>
      <c r="G23" s="87"/>
      <c r="H23" s="92">
        <f>SUM(H18:H21)</f>
        <v>0.023</v>
      </c>
      <c r="I23" s="92"/>
      <c r="J23" s="8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4">
        <f>100*(+AD17/$E$9)</f>
        <v>58.103205122927385</v>
      </c>
      <c r="W23" s="99">
        <f>EXP(5.7226-(0.68367*LN(+V23)))</f>
        <v>19.017916081911675</v>
      </c>
      <c r="X23" s="95">
        <f>(+W23*V23)/100</f>
        <v>11.050018791179337</v>
      </c>
      <c r="Y23" s="94">
        <f>100*((((X23/100)-((X23/100)-0.03574)*$E$21)-0.03574-0.00619)/0.344)</f>
        <v>12.544105820285933</v>
      </c>
      <c r="Z23" s="87">
        <f>$E$20</f>
        <v>0.25</v>
      </c>
      <c r="AA23" s="94">
        <f>Y23+Z23</f>
        <v>12.794105820285933</v>
      </c>
      <c r="AB23" s="94">
        <f>100*($E$17*$E$19+($E$18*(AA23/100))/(1-$E$21))</f>
        <v>13.751005291169033</v>
      </c>
      <c r="AC23" s="95">
        <f>AB23/V23</f>
        <v>0.23666517642316637</v>
      </c>
      <c r="AD23" s="93">
        <f>$E$8/(1-AC23)</f>
        <v>131139.88405606063</v>
      </c>
      <c r="AE23" s="87" t="str">
        <f>IF(AD23=AD17,"yes","not yet")</f>
        <v>not yet</v>
      </c>
      <c r="AF23" s="94">
        <f>100*(1-AC23)</f>
        <v>76.33348235768335</v>
      </c>
      <c r="AG23" s="87"/>
      <c r="AH23" s="87"/>
      <c r="AI23" s="87">
        <v>4</v>
      </c>
      <c r="AJ23" s="94">
        <f>AF8</f>
        <v>76.7307557223613</v>
      </c>
      <c r="AK23" s="94">
        <f>AF14</f>
        <v>77.25817619949561</v>
      </c>
      <c r="AL23" s="94">
        <f>AF20</f>
        <v>77.17224888631517</v>
      </c>
      <c r="AM23" s="94">
        <f>AF26</f>
        <v>77.18622577949851</v>
      </c>
      <c r="AN23" s="94">
        <f>AF32</f>
        <v>77.18395171342341</v>
      </c>
      <c r="AO23" s="94">
        <f>AF38</f>
        <v>77.1843216924659</v>
      </c>
      <c r="AP23" s="94">
        <f>AF44</f>
        <v>77.18423564595037</v>
      </c>
      <c r="AQ23" s="94">
        <f>AF50</f>
        <v>77.18423564595037</v>
      </c>
      <c r="AR23" s="94">
        <f>AF56</f>
        <v>77.18423564595037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</row>
    <row r="24" spans="1:76" ht="12.75">
      <c r="A24" s="86"/>
      <c r="B24" s="89"/>
      <c r="C24" s="87"/>
      <c r="D24" s="87"/>
      <c r="E24" s="87"/>
      <c r="F24" s="87"/>
      <c r="G24" s="87"/>
      <c r="H24" s="87"/>
      <c r="I24" s="8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4">
        <f>100*(+AD18/$E$9)</f>
        <v>57.79462327687958</v>
      </c>
      <c r="W24" s="99">
        <f>EXP(5.70827-(0.68367*LN(+V24)))</f>
        <v>18.815708578808465</v>
      </c>
      <c r="X24" s="95">
        <f>(+W24*V24)/100</f>
        <v>10.874467889997863</v>
      </c>
      <c r="Y24" s="94">
        <f>100*((((X24/100)-((X24/100)-0.03574)*$E$21)-0.03574-0.00619)/0.344)</f>
        <v>12.207293044763341</v>
      </c>
      <c r="Z24" s="87">
        <f>$E$20</f>
        <v>0.25</v>
      </c>
      <c r="AA24" s="94">
        <f>Y24+Z24</f>
        <v>12.457293044763341</v>
      </c>
      <c r="AB24" s="94">
        <f>100*($E$17*$E$19+($E$18*(AA24/100))/(1-$E$21))</f>
        <v>13.444811858875767</v>
      </c>
      <c r="AC24" s="95">
        <f>AB24/V24</f>
        <v>0.23263084170416748</v>
      </c>
      <c r="AD24" s="93">
        <f>$E$8/(1-AC24)</f>
        <v>130450.4346801334</v>
      </c>
      <c r="AE24" s="87" t="str">
        <f>IF(AD24=AD18,"yes","not yet")</f>
        <v>not yet</v>
      </c>
      <c r="AF24" s="94">
        <f>100*(1-AC24)</f>
        <v>76.73691582958325</v>
      </c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</row>
    <row r="25" spans="1:76" ht="12.75">
      <c r="A25" s="86"/>
      <c r="B25" s="89"/>
      <c r="C25" s="87"/>
      <c r="D25" s="87"/>
      <c r="E25" s="87"/>
      <c r="F25" s="91" t="s">
        <v>104</v>
      </c>
      <c r="G25" s="87"/>
      <c r="H25" s="95">
        <f>((+H15/100)-H23)</f>
        <v>0.7443436637557546</v>
      </c>
      <c r="I25" s="95"/>
      <c r="J25" s="8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4">
        <f>100*(+AD19/$E$9)</f>
        <v>57.58745111067384</v>
      </c>
      <c r="W25" s="99">
        <f>EXP(5.6985-(0.68367*LN(V25)))</f>
        <v>18.678575811365942</v>
      </c>
      <c r="X25" s="95">
        <f>(+W25*V25)/100</f>
        <v>10.756515713540512</v>
      </c>
      <c r="Y25" s="94">
        <f>100*((((X25/100)-((X25/100)-0.03574)*$E$21)-0.03574-0.00619)/0.344)</f>
        <v>11.980989450397495</v>
      </c>
      <c r="Z25" s="87">
        <f>$E$20</f>
        <v>0.25</v>
      </c>
      <c r="AA25" s="94">
        <f>Y25+Z25</f>
        <v>12.230989450397495</v>
      </c>
      <c r="AB25" s="94">
        <f>100*($E$17*$E$19+($E$18*(AA25/100))/(1-$E$21))</f>
        <v>13.239081318543178</v>
      </c>
      <c r="AC25" s="95">
        <f>AB25/V25</f>
        <v>0.22989524737081676</v>
      </c>
      <c r="AD25" s="93">
        <f>$E$8/(1-AC25)</f>
        <v>129987.04386391553</v>
      </c>
      <c r="AE25" s="87" t="str">
        <f>IF(AD25=AD19,"yes","not yet")</f>
        <v>not yet</v>
      </c>
      <c r="AF25" s="94">
        <f>100*(1-AC25)</f>
        <v>77.01047526291832</v>
      </c>
      <c r="AG25" s="87"/>
      <c r="AH25" s="87"/>
      <c r="AI25" s="87"/>
      <c r="AJ25" s="87" t="s">
        <v>105</v>
      </c>
      <c r="AK25" s="87"/>
      <c r="AL25" s="87"/>
      <c r="AM25" s="87"/>
      <c r="AN25" s="87"/>
      <c r="AO25" s="87"/>
      <c r="AP25" s="87"/>
      <c r="AQ25" s="87"/>
      <c r="AR25" s="87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</row>
    <row r="26" spans="1:76" ht="12.75">
      <c r="A26" s="86"/>
      <c r="B26" s="89"/>
      <c r="C26" s="87"/>
      <c r="D26" s="87"/>
      <c r="E26" s="87"/>
      <c r="F26" s="87"/>
      <c r="G26" s="87"/>
      <c r="H26" s="87"/>
      <c r="I26" s="87"/>
      <c r="J26" s="89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94">
        <f>100*(+AD20/$E$9)</f>
        <v>57.45521766226612</v>
      </c>
      <c r="W26" s="99">
        <f>EXP(5.6922-(0.68367*LN(V26)))</f>
        <v>18.590465658499202</v>
      </c>
      <c r="X26" s="95">
        <f>(+W26*V26)/100</f>
        <v>10.681192508519551</v>
      </c>
      <c r="Y26" s="94">
        <f>100*((((X26/100)-((X26/100)-0.03574)*$E$21)-0.03574-0.00619)/0.344)</f>
        <v>11.83647399890379</v>
      </c>
      <c r="Z26" s="87">
        <f>$E$20</f>
        <v>0.25</v>
      </c>
      <c r="AA26" s="94">
        <f>Y26+Z26</f>
        <v>12.08647399890379</v>
      </c>
      <c r="AB26" s="94">
        <f>100*($E$17*$E$19+($E$18*(AA26/100))/(1-$E$21))</f>
        <v>13.107703635367082</v>
      </c>
      <c r="AC26" s="95">
        <f>AB26/V26</f>
        <v>0.22813774220501482</v>
      </c>
      <c r="AD26" s="93">
        <f>$E$8/(1-AC26)</f>
        <v>129691.06760808616</v>
      </c>
      <c r="AE26" s="87" t="str">
        <f>IF(AD26=AD20,"yes","not yet")</f>
        <v>not yet</v>
      </c>
      <c r="AF26" s="94">
        <f>100*(1-AC26)</f>
        <v>77.18622577949851</v>
      </c>
      <c r="AG26" s="87"/>
      <c r="AH26" s="87"/>
      <c r="AI26" s="87"/>
      <c r="AJ26" s="94">
        <f>HLOOKUP($AJ$25,$AJ$19:$AR$23,($E$12)+1)</f>
        <v>76.73436637557546</v>
      </c>
      <c r="AK26" s="87"/>
      <c r="AL26" s="87"/>
      <c r="AM26" s="87"/>
      <c r="AN26" s="87"/>
      <c r="AO26" s="87"/>
      <c r="AP26" s="87"/>
      <c r="AQ26" s="87"/>
      <c r="AR26" s="87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</row>
    <row r="27" spans="1:76" ht="12.75">
      <c r="A27" s="86"/>
      <c r="B27" s="89"/>
      <c r="C27" s="87"/>
      <c r="D27" s="87"/>
      <c r="E27" s="93"/>
      <c r="F27" s="87"/>
      <c r="G27" s="87"/>
      <c r="H27" s="87"/>
      <c r="I27" s="87"/>
      <c r="J27" s="89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</row>
    <row r="28" spans="1:76" ht="12.75">
      <c r="A28" s="86"/>
      <c r="B28" s="89"/>
      <c r="C28" s="89"/>
      <c r="D28" s="89" t="s">
        <v>0</v>
      </c>
      <c r="E28" s="90" t="s">
        <v>0</v>
      </c>
      <c r="F28" s="89"/>
      <c r="G28" s="89" t="s">
        <v>0</v>
      </c>
      <c r="H28" s="89"/>
      <c r="I28" s="8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1" t="s">
        <v>106</v>
      </c>
      <c r="W28" s="98" t="s">
        <v>27</v>
      </c>
      <c r="X28" s="98" t="s">
        <v>58</v>
      </c>
      <c r="Y28" s="98" t="s">
        <v>59</v>
      </c>
      <c r="Z28" s="87"/>
      <c r="AA28" s="94"/>
      <c r="AB28" s="87"/>
      <c r="AC28" s="87"/>
      <c r="AD28" s="87"/>
      <c r="AE28" s="87"/>
      <c r="AF28" s="87"/>
      <c r="AG28" s="87"/>
      <c r="AH28" s="87"/>
      <c r="AI28" s="87"/>
      <c r="AJ28" s="87" t="str">
        <f>HLOOKUP(1,$AJ$13:$AR$17,($E$12)+1)</f>
        <v>not yet</v>
      </c>
      <c r="AK28" s="87" t="str">
        <f>HLOOKUP(2,$AJ$13:$AR$17,($E$12)+1)</f>
        <v>not yet</v>
      </c>
      <c r="AL28" s="87" t="str">
        <f>HLOOKUP(3,$AJ$13:$AR$17,($E$12)+1)</f>
        <v>not yet</v>
      </c>
      <c r="AM28" s="87" t="str">
        <f>HLOOKUP(4,$AJ$13:$AR$17,($E$12)+1)</f>
        <v>not yet</v>
      </c>
      <c r="AN28" s="87" t="str">
        <f>HLOOKUP(5,$AJ$13:$AR$17,($E$12)+1)</f>
        <v>not yet</v>
      </c>
      <c r="AO28" s="87" t="str">
        <f>HLOOKUP(6,$AJ$13:$AR$17,($E$12)+1)</f>
        <v>not yet</v>
      </c>
      <c r="AP28" s="87" t="str">
        <f>HLOOKUP(7,$AJ$13:$AR$17,($E$12)+1)</f>
        <v>yes</v>
      </c>
      <c r="AQ28" s="87" t="str">
        <f>HLOOKUP(8,$AJ$13:$AR$17,($E$12)+1)</f>
        <v>yes</v>
      </c>
      <c r="AR28" s="87" t="str">
        <f>HLOOKUP(9,$AJ$13:$AR$17,($E$12)+1)</f>
        <v>yes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</row>
    <row r="29" spans="1:76" ht="12.75">
      <c r="A29" s="86"/>
      <c r="B29" s="87"/>
      <c r="C29" s="87"/>
      <c r="D29" s="87" t="s">
        <v>0</v>
      </c>
      <c r="E29" s="93" t="s">
        <v>0</v>
      </c>
      <c r="F29" s="87"/>
      <c r="G29" s="87" t="s"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4">
        <f>100*(+AD23/$E$9)</f>
        <v>58.08654630052408</v>
      </c>
      <c r="W29" s="99">
        <f>EXP(5.7226-(0.68367*LN(+V29)))</f>
        <v>19.021644790947995</v>
      </c>
      <c r="X29" s="95">
        <f>(+W29*V29)/100</f>
        <v>11.049016508615233</v>
      </c>
      <c r="Y29" s="94">
        <f>100*((((X29/100)-((X29/100)-0.03574)*$E$21)-0.03574-0.00619)/0.344)</f>
        <v>12.54218283629667</v>
      </c>
      <c r="Z29" s="87">
        <f>$E$20</f>
        <v>0.25</v>
      </c>
      <c r="AA29" s="94">
        <f>Y29+Z29</f>
        <v>12.79218283629667</v>
      </c>
      <c r="AB29" s="94">
        <f>100*($E$17*$E$19+($E$18*(AA29/100))/(1-$E$21))</f>
        <v>13.749257123906064</v>
      </c>
      <c r="AC29" s="95">
        <f>AB29/V29</f>
        <v>0.23670295446334727</v>
      </c>
      <c r="AD29" s="93">
        <f>$E$8/(1-AC29)</f>
        <v>131146.37459318264</v>
      </c>
      <c r="AE29" s="87" t="str">
        <f>IF(AD29=AD23,"yes","not yet")</f>
        <v>not yet</v>
      </c>
      <c r="AF29" s="94">
        <f>100*(1-AC29)</f>
        <v>76.32970455366528</v>
      </c>
      <c r="AG29" s="87"/>
      <c r="AH29" s="87"/>
      <c r="AI29" s="87">
        <v>1</v>
      </c>
      <c r="AJ29" s="94">
        <f>V5</f>
        <v>55.42435446562266</v>
      </c>
      <c r="AK29" s="94">
        <f>V11</f>
        <v>58.56879367811876</v>
      </c>
      <c r="AL29" s="94">
        <f>V17</f>
        <v>58.006793367728726</v>
      </c>
      <c r="AM29" s="94">
        <f>V23</f>
        <v>58.103205122927385</v>
      </c>
      <c r="AN29" s="94">
        <f>V29</f>
        <v>58.08654630052408</v>
      </c>
      <c r="AO29" s="94">
        <f>V35</f>
        <v>58.08942119162046</v>
      </c>
      <c r="AP29" s="94">
        <f>V41</f>
        <v>58.08881233512251</v>
      </c>
      <c r="AQ29" s="94">
        <f>V47</f>
        <v>58.08881233512251</v>
      </c>
      <c r="AR29" s="94">
        <f>V53</f>
        <v>58.08881233512251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</row>
    <row r="30" spans="1:76" ht="12.75">
      <c r="A30" s="86"/>
      <c r="B30" s="87"/>
      <c r="C30" s="87"/>
      <c r="D30" s="87" t="s">
        <v>0</v>
      </c>
      <c r="E30" s="93" t="s">
        <v>0</v>
      </c>
      <c r="F30" s="87"/>
      <c r="G30" s="87" t="s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4">
        <f>100*(+AD24/$E$9)</f>
        <v>57.78116450622919</v>
      </c>
      <c r="W30" s="99">
        <f>EXP(5.70827-(0.68367*LN(+V30)))</f>
        <v>18.818704774704866</v>
      </c>
      <c r="X30" s="95">
        <f>(+W30*V30)/100</f>
        <v>10.873666763813826</v>
      </c>
      <c r="Y30" s="94">
        <f>100*((((X30/100)-((X30/100)-0.03574)*$E$21)-0.03574-0.00619)/0.344)</f>
        <v>12.20575600034048</v>
      </c>
      <c r="Z30" s="87">
        <f>$E$20</f>
        <v>0.25</v>
      </c>
      <c r="AA30" s="94">
        <f>Y30+Z30</f>
        <v>12.45575600034048</v>
      </c>
      <c r="AB30" s="94">
        <f>100*($E$17*$E$19+($E$18*(AA30/100))/(1-$E$21))</f>
        <v>13.443414545764076</v>
      </c>
      <c r="AC30" s="95">
        <f>AB30/V30</f>
        <v>0.2326608447691425</v>
      </c>
      <c r="AD30" s="93">
        <f>$E$8/(1-AC30)</f>
        <v>130455.53530981072</v>
      </c>
      <c r="AE30" s="87" t="str">
        <f>IF(AD30=AD24,"yes","not yet")</f>
        <v>not yet</v>
      </c>
      <c r="AF30" s="94">
        <f>100*(1-AC30)</f>
        <v>76.73391552308576</v>
      </c>
      <c r="AG30" s="87"/>
      <c r="AH30" s="87"/>
      <c r="AI30" s="87">
        <v>2</v>
      </c>
      <c r="AJ30" s="94">
        <f>V6</f>
        <v>55.42435446562266</v>
      </c>
      <c r="AK30" s="94">
        <f>V12</f>
        <v>58.19411113010784</v>
      </c>
      <c r="AL30" s="94">
        <f>V18</f>
        <v>57.71452945229812</v>
      </c>
      <c r="AM30" s="94">
        <f>V24</f>
        <v>57.79462327687958</v>
      </c>
      <c r="AN30" s="94">
        <f>V30</f>
        <v>57.78116450622919</v>
      </c>
      <c r="AO30" s="94">
        <f>V36</f>
        <v>57.78342375759307</v>
      </c>
      <c r="AP30" s="94">
        <f>V42</f>
        <v>57.783186649726694</v>
      </c>
      <c r="AQ30" s="94">
        <f>V48</f>
        <v>57.783186649726694</v>
      </c>
      <c r="AR30" s="94">
        <f>V54</f>
        <v>57.783186649726694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</row>
    <row r="31" spans="1:76" ht="12.75">
      <c r="A31" s="86"/>
      <c r="B31" s="87"/>
      <c r="C31" s="87"/>
      <c r="D31" s="87" t="s">
        <v>0</v>
      </c>
      <c r="E31" s="93" t="s">
        <v>0</v>
      </c>
      <c r="F31" s="87"/>
      <c r="G31" s="87" t="s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4">
        <f>100*(+AD25/$E$9)</f>
        <v>57.57591213548612</v>
      </c>
      <c r="W31" s="99">
        <f>EXP(5.6985-(0.68367*LN(V31)))</f>
        <v>18.68113500372074</v>
      </c>
      <c r="X31" s="95">
        <f>(+W31*V31)/100</f>
        <v>10.755833875653796</v>
      </c>
      <c r="Y31" s="94">
        <f>100*((((X31/100)-((X31/100)-0.03574)*$E$21)-0.03574-0.00619)/0.344)</f>
        <v>11.979681273056704</v>
      </c>
      <c r="Z31" s="87">
        <f>$E$20</f>
        <v>0.25</v>
      </c>
      <c r="AA31" s="94">
        <f>Y31+Z31</f>
        <v>12.229681273056704</v>
      </c>
      <c r="AB31" s="94">
        <f>100*($E$17*$E$19+($E$18*(AA31/100))/(1-$E$21))</f>
        <v>13.237892066415185</v>
      </c>
      <c r="AC31" s="95">
        <f>AB31/V31</f>
        <v>0.22992066604631684</v>
      </c>
      <c r="AD31" s="93">
        <f>$E$8/(1-AC31)</f>
        <v>129991.33445884714</v>
      </c>
      <c r="AE31" s="87" t="str">
        <f>IF(AD31=AD25,"yes","not yet")</f>
        <v>not yet</v>
      </c>
      <c r="AF31" s="94">
        <f>100*(1-AC31)</f>
        <v>77.00793339536831</v>
      </c>
      <c r="AG31" s="87"/>
      <c r="AH31" s="87"/>
      <c r="AI31" s="87">
        <v>3</v>
      </c>
      <c r="AJ31" s="94">
        <f>V7</f>
        <v>55.42435446562266</v>
      </c>
      <c r="AK31" s="94">
        <f>V13</f>
        <v>57.94440922180713</v>
      </c>
      <c r="AL31" s="94">
        <f>V19</f>
        <v>57.51745322868425</v>
      </c>
      <c r="AM31" s="94">
        <f>V25</f>
        <v>57.58745111067384</v>
      </c>
      <c r="AN31" s="94">
        <f>V31</f>
        <v>57.57591213548612</v>
      </c>
      <c r="AO31" s="94">
        <f>V37</f>
        <v>57.57781259348138</v>
      </c>
      <c r="AP31" s="94">
        <f>V43</f>
        <v>57.5776644496924</v>
      </c>
      <c r="AQ31" s="94">
        <f>V49</f>
        <v>57.5776644496924</v>
      </c>
      <c r="AR31" s="94">
        <f>V55</f>
        <v>57.5776644496924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</row>
    <row r="32" spans="1:76" ht="12.75">
      <c r="A32" s="86"/>
      <c r="B32" s="87"/>
      <c r="C32" s="87"/>
      <c r="D32" s="87"/>
      <c r="E32" s="93" t="s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4">
        <f>100*(+AD26/$E$9)</f>
        <v>57.444813662951724</v>
      </c>
      <c r="W32" s="99">
        <f>EXP(5.6922-(0.68367*LN(V32)))</f>
        <v>18.592767491654776</v>
      </c>
      <c r="X32" s="95">
        <f>(+W32*V32)/100</f>
        <v>10.68058064036695</v>
      </c>
      <c r="Y32" s="94">
        <f>100*((((X32/100)-((X32/100)-0.03574)*$E$21)-0.03574-0.00619)/0.344)</f>
        <v>11.835300065820308</v>
      </c>
      <c r="Z32" s="87">
        <f>$E$20</f>
        <v>0.25</v>
      </c>
      <c r="AA32" s="94">
        <f>Y32+Z32</f>
        <v>12.085300065820308</v>
      </c>
      <c r="AB32" s="94">
        <f>100*($E$17*$E$19+($E$18*(AA32/100))/(1-$E$21))</f>
        <v>13.10663642347301</v>
      </c>
      <c r="AC32" s="95">
        <f>AB32/V32</f>
        <v>0.22816048286576587</v>
      </c>
      <c r="AD32" s="93">
        <f>$E$8/(1-AC32)</f>
        <v>129694.88868812345</v>
      </c>
      <c r="AE32" s="87" t="str">
        <f>IF(AD32=AD26,"yes","not yet")</f>
        <v>not yet</v>
      </c>
      <c r="AF32" s="94">
        <f>100*(1-AC32)</f>
        <v>77.18395171342341</v>
      </c>
      <c r="AG32" s="87"/>
      <c r="AH32" s="87"/>
      <c r="AI32" s="87">
        <v>4</v>
      </c>
      <c r="AJ32" s="94">
        <f>V8</f>
        <v>55.42435446562266</v>
      </c>
      <c r="AK32" s="94">
        <f>V14</f>
        <v>57.785803300222774</v>
      </c>
      <c r="AL32" s="94">
        <f>V20</f>
        <v>57.39131539683899</v>
      </c>
      <c r="AM32" s="94">
        <f>V26</f>
        <v>57.45521766226612</v>
      </c>
      <c r="AN32" s="94">
        <f>V32</f>
        <v>57.444813662951724</v>
      </c>
      <c r="AO32" s="94">
        <f>V38</f>
        <v>57.446506156002954</v>
      </c>
      <c r="AP32" s="94">
        <f>V44</f>
        <v>57.446112524239425</v>
      </c>
      <c r="AQ32" s="94">
        <f>V50</f>
        <v>57.446112524239425</v>
      </c>
      <c r="AR32" s="94">
        <f>V56</f>
        <v>57.446112524239425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</row>
    <row r="33" spans="1:76" ht="12.75">
      <c r="A33" s="86"/>
      <c r="B33" s="87"/>
      <c r="C33" s="87"/>
      <c r="D33" s="87"/>
      <c r="E33" s="93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4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</row>
    <row r="34" spans="1:76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1" t="s">
        <v>107</v>
      </c>
      <c r="W34" s="98" t="s">
        <v>27</v>
      </c>
      <c r="X34" s="98" t="s">
        <v>58</v>
      </c>
      <c r="Y34" s="98" t="s">
        <v>59</v>
      </c>
      <c r="Z34" s="87"/>
      <c r="AA34" s="94"/>
      <c r="AB34" s="87"/>
      <c r="AC34" s="87"/>
      <c r="AD34" s="87"/>
      <c r="AE34" s="87"/>
      <c r="AF34" s="87"/>
      <c r="AG34" s="87"/>
      <c r="AH34" s="87"/>
      <c r="AI34" s="87"/>
      <c r="AJ34" s="87" t="s">
        <v>105</v>
      </c>
      <c r="AK34" s="87"/>
      <c r="AL34" s="87"/>
      <c r="AM34" s="87"/>
      <c r="AN34" s="87"/>
      <c r="AO34" s="87"/>
      <c r="AP34" s="87"/>
      <c r="AQ34" s="87"/>
      <c r="AR34" s="8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</row>
    <row r="35" spans="1:76" ht="12.7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4">
        <f>100*(+AD29/$E$9)</f>
        <v>58.08942119162046</v>
      </c>
      <c r="W35" s="99">
        <f>EXP(5.7226-(0.68367*LN(+V35)))</f>
        <v>19.021001181606625</v>
      </c>
      <c r="X35" s="95">
        <f>(+W35*V35)/100</f>
        <v>11.049189491246578</v>
      </c>
      <c r="Y35" s="94">
        <f>100*((((X35/100)-((X35/100)-0.03574)*$E$21)-0.03574-0.00619)/0.344)</f>
        <v>12.542514721577733</v>
      </c>
      <c r="Z35" s="87">
        <f>$E$20</f>
        <v>0.25</v>
      </c>
      <c r="AA35" s="94">
        <f>Y35+Z35</f>
        <v>12.792514721577733</v>
      </c>
      <c r="AB35" s="94">
        <f>100*($E$17*$E$19+($E$18*(AA35/100))/(1-$E$21))</f>
        <v>13.74955883779794</v>
      </c>
      <c r="AC35" s="95">
        <f>AB35/V35</f>
        <v>0.23669643380404945</v>
      </c>
      <c r="AD35" s="93">
        <f>ROUND($E$8/(1-AC35),0)</f>
        <v>131145</v>
      </c>
      <c r="AE35" s="87" t="str">
        <f>IF(AD35=AD29,"yes","not yet")</f>
        <v>not yet</v>
      </c>
      <c r="AF35" s="94">
        <f>100*(1-AC35)</f>
        <v>76.33035661959505</v>
      </c>
      <c r="AG35" s="87"/>
      <c r="AH35" s="87"/>
      <c r="AI35" s="87"/>
      <c r="AJ35" s="94">
        <f>HLOOKUP($AJ$34,$AJ$28:$AR$32,($E$12)+1)</f>
        <v>57.783186649726694</v>
      </c>
      <c r="AK35" s="87"/>
      <c r="AL35" s="87"/>
      <c r="AM35" s="87"/>
      <c r="AN35" s="87"/>
      <c r="AO35" s="87"/>
      <c r="AP35" s="87"/>
      <c r="AQ35" s="87"/>
      <c r="AR35" s="8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</row>
    <row r="36" spans="1:76" ht="12.7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4">
        <f>100*(+AD30/$E$9)</f>
        <v>57.78342375759307</v>
      </c>
      <c r="W36" s="99">
        <f>EXP(5.70827-(0.68367*LN(+V36)))</f>
        <v>18.81820173736868</v>
      </c>
      <c r="X36" s="95">
        <f>(+W36*V36)/100</f>
        <v>10.873801253462483</v>
      </c>
      <c r="Y36" s="94">
        <f>100*((((X36/100)-((X36/100)-0.03574)*$E$21)-0.03574-0.00619)/0.344)</f>
        <v>12.20601403280593</v>
      </c>
      <c r="Z36" s="87">
        <f>$E$20</f>
        <v>0.25</v>
      </c>
      <c r="AA36" s="94">
        <f>Y36+Z36</f>
        <v>12.45601403280593</v>
      </c>
      <c r="AB36" s="94">
        <f>100*($E$17*$E$19+($E$18*(AA36/100))/(1-$E$21))</f>
        <v>13.443649120732665</v>
      </c>
      <c r="AC36" s="95">
        <f>AB36/V36</f>
        <v>0.23265580760894414</v>
      </c>
      <c r="AD36" s="93">
        <f>ROUND($E$8/(1-AC36),0)</f>
        <v>130455</v>
      </c>
      <c r="AE36" s="87" t="str">
        <f>IF(AD36=AD30,"yes","not yet")</f>
        <v>not yet</v>
      </c>
      <c r="AF36" s="94">
        <f>100*(1-AC36)</f>
        <v>76.73441923910559</v>
      </c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</row>
    <row r="37" spans="1:76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>100*(+AD31/$E$9)</f>
        <v>57.57781259348138</v>
      </c>
      <c r="W37" s="99">
        <f>EXP(5.6985-(0.68367*LN(V37)))</f>
        <v>18.680713447829792</v>
      </c>
      <c r="X37" s="95">
        <f>(+W37*V37)/100</f>
        <v>10.755946180116712</v>
      </c>
      <c r="Y37" s="94">
        <f>100*((((X37/100)-((X37/100)-0.03574)*$E$21)-0.03574-0.00619)/0.344)</f>
        <v>11.9798967409216</v>
      </c>
      <c r="Z37" s="87">
        <f>$E$20</f>
        <v>0.25</v>
      </c>
      <c r="AA37" s="94">
        <f>Y37+Z37</f>
        <v>12.2298967409216</v>
      </c>
      <c r="AB37" s="94">
        <f>100*($E$17*$E$19+($E$18*(AA37/100))/(1-$E$21))</f>
        <v>13.238087946292366</v>
      </c>
      <c r="AC37" s="95">
        <f>AB37/V37</f>
        <v>0.22991647910902233</v>
      </c>
      <c r="AD37" s="93">
        <f>ROUND($E$8/(1-AC37),0)</f>
        <v>129991</v>
      </c>
      <c r="AE37" s="87" t="str">
        <f>IF(AD37=AD31,"yes","not yet")</f>
        <v>not yet</v>
      </c>
      <c r="AF37" s="94">
        <f>100*(1-AC37)</f>
        <v>77.00835208909777</v>
      </c>
      <c r="AG37" s="87"/>
      <c r="AH37" s="87"/>
      <c r="AI37" s="87"/>
      <c r="AJ37" s="87" t="str">
        <f>HLOOKUP(1,$AJ$13:$AR$17,($E$12)+1)</f>
        <v>not yet</v>
      </c>
      <c r="AK37" s="87" t="str">
        <f>HLOOKUP(2,$AJ$13:$AR$17,($E$12)+1)</f>
        <v>not yet</v>
      </c>
      <c r="AL37" s="87" t="str">
        <f>HLOOKUP(3,$AJ$13:$AR$17,($E$12)+1)</f>
        <v>not yet</v>
      </c>
      <c r="AM37" s="87" t="str">
        <f>HLOOKUP(4,$AJ$13:$AR$17,($E$12)+1)</f>
        <v>not yet</v>
      </c>
      <c r="AN37" s="87" t="str">
        <f>HLOOKUP(5,$AJ$13:$AR$17,($E$12)+1)</f>
        <v>not yet</v>
      </c>
      <c r="AO37" s="87" t="str">
        <f>HLOOKUP(6,$AJ$13:$AR$17,($E$12)+1)</f>
        <v>not yet</v>
      </c>
      <c r="AP37" s="87" t="str">
        <f>HLOOKUP(7,$AJ$13:$AR$17,($E$12)+1)</f>
        <v>yes</v>
      </c>
      <c r="AQ37" s="87" t="str">
        <f>HLOOKUP(8,$AJ$13:$AR$17,($E$12)+1)</f>
        <v>yes</v>
      </c>
      <c r="AR37" s="87" t="str">
        <f>HLOOKUP(9,$AJ$13:$AR$17,($E$12)+1)</f>
        <v>yes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</row>
    <row r="38" spans="1:76" ht="12.7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4">
        <f>100*(+AD32/$E$9)</f>
        <v>57.446506156002954</v>
      </c>
      <c r="W38" s="99">
        <f>EXP(5.6922-(0.68367*LN(V38)))</f>
        <v>18.59239298817352</v>
      </c>
      <c r="X38" s="95">
        <f>(+W38*V38)/100</f>
        <v>10.680680182499362</v>
      </c>
      <c r="Y38" s="94">
        <f>100*((((X38/100)-((X38/100)-0.03574)*$E$21)-0.03574-0.00619)/0.344)</f>
        <v>11.835491047818543</v>
      </c>
      <c r="Z38" s="87">
        <f>$E$20</f>
        <v>0.25</v>
      </c>
      <c r="AA38" s="94">
        <f>Y38+Z38</f>
        <v>12.085491047818543</v>
      </c>
      <c r="AB38" s="94">
        <f>100*($E$17*$E$19+($E$18*(AA38/100))/(1-$E$21))</f>
        <v>13.106810043471404</v>
      </c>
      <c r="AC38" s="95">
        <f>AB38/V38</f>
        <v>0.22815678307534093</v>
      </c>
      <c r="AD38" s="93">
        <f>ROUND($E$8/(1-AC38),0)</f>
        <v>129694</v>
      </c>
      <c r="AE38" s="87" t="str">
        <f>IF(AD38=AD32,"yes","not yet")</f>
        <v>not yet</v>
      </c>
      <c r="AF38" s="94">
        <f>100*(1-AC38)</f>
        <v>77.1843216924659</v>
      </c>
      <c r="AG38" s="87"/>
      <c r="AH38" s="87"/>
      <c r="AI38" s="87">
        <v>1</v>
      </c>
      <c r="AJ38" s="93">
        <f>AD5</f>
        <v>132228.63643009416</v>
      </c>
      <c r="AK38" s="93">
        <f>AD11</f>
        <v>130959.82875881843</v>
      </c>
      <c r="AL38" s="93">
        <f>AD17</f>
        <v>131177.49407382924</v>
      </c>
      <c r="AM38" s="93">
        <f>AD23</f>
        <v>131139.88405606063</v>
      </c>
      <c r="AN38" s="93">
        <f>AD29</f>
        <v>131146.37459318264</v>
      </c>
      <c r="AO38" s="93">
        <f>AD35</f>
        <v>131145</v>
      </c>
      <c r="AP38" s="93">
        <f>AD41</f>
        <v>131145</v>
      </c>
      <c r="AQ38" s="93">
        <f>AD47</f>
        <v>131145</v>
      </c>
      <c r="AR38" s="93">
        <f>AD53</f>
        <v>131145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</row>
    <row r="39" spans="1:76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4"/>
      <c r="AB39" s="87"/>
      <c r="AC39" s="87"/>
      <c r="AD39" s="87"/>
      <c r="AE39" s="87"/>
      <c r="AF39" s="87"/>
      <c r="AG39" s="87"/>
      <c r="AH39" s="87"/>
      <c r="AI39" s="87">
        <v>2</v>
      </c>
      <c r="AJ39" s="93">
        <f>AD6</f>
        <v>131382.72926168094</v>
      </c>
      <c r="AK39" s="93">
        <f>AD12</f>
        <v>130299.99514115001</v>
      </c>
      <c r="AL39" s="93">
        <f>AD18</f>
        <v>130480.82005738579</v>
      </c>
      <c r="AM39" s="93">
        <f>AD24</f>
        <v>130450.4346801334</v>
      </c>
      <c r="AN39" s="93">
        <f>AD30</f>
        <v>130455.53530981072</v>
      </c>
      <c r="AO39" s="93">
        <f>AD36</f>
        <v>130455</v>
      </c>
      <c r="AP39" s="93">
        <f>AD42</f>
        <v>130455</v>
      </c>
      <c r="AQ39" s="93">
        <f>AD48</f>
        <v>130455</v>
      </c>
      <c r="AR39" s="93">
        <f>AD54</f>
        <v>130455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</row>
    <row r="40" spans="1:76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1" t="s">
        <v>108</v>
      </c>
      <c r="W40" s="98" t="s">
        <v>27</v>
      </c>
      <c r="X40" s="98" t="s">
        <v>58</v>
      </c>
      <c r="Y40" s="98" t="s">
        <v>59</v>
      </c>
      <c r="Z40" s="87"/>
      <c r="AA40" s="94"/>
      <c r="AB40" s="87"/>
      <c r="AC40" s="87"/>
      <c r="AD40" s="87"/>
      <c r="AE40" s="87"/>
      <c r="AF40" s="87"/>
      <c r="AG40" s="87"/>
      <c r="AH40" s="87"/>
      <c r="AI40" s="87">
        <v>3</v>
      </c>
      <c r="AJ40" s="93">
        <f>AD7</f>
        <v>130818.98634032157</v>
      </c>
      <c r="AK40" s="93">
        <f>AD13</f>
        <v>129855.06331509142</v>
      </c>
      <c r="AL40" s="93">
        <f>AD19</f>
        <v>130013.09498873906</v>
      </c>
      <c r="AM40" s="93">
        <f>AD25</f>
        <v>129987.04386391553</v>
      </c>
      <c r="AN40" s="93">
        <f>AD31</f>
        <v>129991.33445884714</v>
      </c>
      <c r="AO40" s="93">
        <f>AD37</f>
        <v>129991</v>
      </c>
      <c r="AP40" s="93">
        <f>AD43</f>
        <v>129991</v>
      </c>
      <c r="AQ40" s="93">
        <f>AD49</f>
        <v>129991</v>
      </c>
      <c r="AR40" s="93">
        <f>AD55</f>
        <v>129991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</row>
    <row r="41" spans="1:76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4">
        <f>100*(+AD35/$E$9)</f>
        <v>58.08881233512251</v>
      </c>
      <c r="W41" s="99">
        <f>EXP(5.7226-(0.68367*LN(+V41)))</f>
        <v>19.021137483416904</v>
      </c>
      <c r="X41" s="95">
        <f>(+W41*V41)/100</f>
        <v>11.049152856747689</v>
      </c>
      <c r="Y41" s="94">
        <f>100*((((X41/100)-((X41/100)-0.03574)*$E$21)-0.03574-0.00619)/0.344)</f>
        <v>12.542444434457778</v>
      </c>
      <c r="Z41" s="87">
        <f>$E$20</f>
        <v>0.25</v>
      </c>
      <c r="AA41" s="94">
        <f>Y41+Z41</f>
        <v>12.792444434457778</v>
      </c>
      <c r="AB41" s="94">
        <f>100*($E$17*$E$19+($E$18*(AA41/100))/(1-$E$21))</f>
        <v>13.749494940416163</v>
      </c>
      <c r="AC41" s="95">
        <f>AB41/V41</f>
        <v>0.23669781473742993</v>
      </c>
      <c r="AD41" s="93">
        <f>ROUND($E$8/(1-AC41),0)</f>
        <v>131145</v>
      </c>
      <c r="AE41" s="87" t="str">
        <f>IF(OR(OR(AD41=AD35,AD41=(AD35+1)),AD41=(AD27-1)),"yes","not yet")</f>
        <v>yes</v>
      </c>
      <c r="AF41" s="94">
        <f>100*(1-AC41)</f>
        <v>76.33021852625701</v>
      </c>
      <c r="AG41" s="87"/>
      <c r="AH41" s="87"/>
      <c r="AI41" s="87">
        <v>4</v>
      </c>
      <c r="AJ41" s="93">
        <f>AD8</f>
        <v>130460.90751670611</v>
      </c>
      <c r="AK41" s="93">
        <f>AD14</f>
        <v>129570.28651741975</v>
      </c>
      <c r="AL41" s="93">
        <f>AD20</f>
        <v>129714.55633913846</v>
      </c>
      <c r="AM41" s="93">
        <f>AD26</f>
        <v>129691.06760808616</v>
      </c>
      <c r="AN41" s="93">
        <f>AD32</f>
        <v>129694.88868812345</v>
      </c>
      <c r="AO41" s="93">
        <f>AD38</f>
        <v>129694</v>
      </c>
      <c r="AP41" s="93">
        <f>AD44</f>
        <v>129694</v>
      </c>
      <c r="AQ41" s="93">
        <f>AD50</f>
        <v>129694</v>
      </c>
      <c r="AR41" s="93">
        <f>AD56</f>
        <v>129694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</row>
    <row r="42" spans="1:76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4">
        <f>100*(+AD36/$E$9)</f>
        <v>57.783186649726694</v>
      </c>
      <c r="W42" s="99">
        <f>EXP(5.70827-(0.68367*LN(+V42)))</f>
        <v>18.818254529456155</v>
      </c>
      <c r="X42" s="95">
        <f>(+W42*V42)/100</f>
        <v>10.873787138976297</v>
      </c>
      <c r="Y42" s="94">
        <f>100*((((X42/100)-((X42/100)-0.03574)*$E$21)-0.03574-0.00619)/0.344)</f>
        <v>12.205986952687082</v>
      </c>
      <c r="Z42" s="87">
        <f>$E$20</f>
        <v>0.25</v>
      </c>
      <c r="AA42" s="94">
        <f>Y42+Z42</f>
        <v>12.455986952687082</v>
      </c>
      <c r="AB42" s="94">
        <f>100*($E$17*$E$19+($E$18*(AA42/100))/(1-$E$21))</f>
        <v>13.443624502442802</v>
      </c>
      <c r="AC42" s="95">
        <f>AB42/V42</f>
        <v>0.23265633624424534</v>
      </c>
      <c r="AD42" s="93">
        <f>ROUND($E$8/(1-AC42),0)</f>
        <v>130455</v>
      </c>
      <c r="AE42" s="87" t="str">
        <f>IF(OR(OR(AD42=AD36,AD42=(AD36+5)),AD42=(AD28-5)),"yes","not yet")</f>
        <v>yes</v>
      </c>
      <c r="AF42" s="94">
        <f>100*(1-AC42)</f>
        <v>76.73436637557546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</row>
    <row r="43" spans="1:76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4">
        <f>100*(+AD37/$E$9)</f>
        <v>57.5776644496924</v>
      </c>
      <c r="W43" s="99">
        <f>EXP(5.6985-(0.68367*LN(V43)))</f>
        <v>18.680746307954617</v>
      </c>
      <c r="X43" s="95">
        <f>(+W43*V43)/100</f>
        <v>10.755937425892412</v>
      </c>
      <c r="Y43" s="94">
        <f>100*((((X43/100)-((X43/100)-0.03574)*$E$21)-0.03574-0.00619)/0.344)</f>
        <v>11.979879945026141</v>
      </c>
      <c r="Z43" s="87">
        <f>$E$20</f>
        <v>0.25</v>
      </c>
      <c r="AA43" s="94">
        <f>Y43+Z43</f>
        <v>12.229879945026141</v>
      </c>
      <c r="AB43" s="94">
        <f>100*($E$17*$E$19+($E$18*(AA43/100))/(1-$E$21))</f>
        <v>13.238072677296492</v>
      </c>
      <c r="AC43" s="95">
        <f>AB43/V43</f>
        <v>0.22991680548041427</v>
      </c>
      <c r="AD43" s="93">
        <f>ROUND($E$8/(1-AC43),0)</f>
        <v>129991</v>
      </c>
      <c r="AE43" s="87" t="str">
        <f>IF(OR(OR(AD43=AD37,AD43=(AD37+5)),AD43=(AD29-5)),"yes","not yet")</f>
        <v>yes</v>
      </c>
      <c r="AF43" s="94">
        <f>100*(1-AC43)</f>
        <v>77.00831945195857</v>
      </c>
      <c r="AG43" s="87"/>
      <c r="AH43" s="87"/>
      <c r="AI43" s="87"/>
      <c r="AJ43" s="87" t="s">
        <v>105</v>
      </c>
      <c r="AK43" s="87"/>
      <c r="AL43" s="87"/>
      <c r="AM43" s="87"/>
      <c r="AN43" s="87"/>
      <c r="AO43" s="87"/>
      <c r="AP43" s="87"/>
      <c r="AQ43" s="87"/>
      <c r="AR43" s="87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</row>
    <row r="44" spans="1:76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4">
        <f>100*(+AD38/$E$9)</f>
        <v>57.446112524239425</v>
      </c>
      <c r="W44" s="99">
        <f>EXP(5.6922-(0.68367*LN(V44)))</f>
        <v>18.592480086705326</v>
      </c>
      <c r="X44" s="95">
        <f>(+W44*V44)/100</f>
        <v>10.68065703165555</v>
      </c>
      <c r="Y44" s="94">
        <f>100*((((X44/100)-((X44/100)-0.03574)*$E$21)-0.03574-0.00619)/0.344)</f>
        <v>11.835446630501924</v>
      </c>
      <c r="Z44" s="87">
        <f>$E$20</f>
        <v>0.25</v>
      </c>
      <c r="AA44" s="94">
        <f>Y44+Z44</f>
        <v>12.085446630501924</v>
      </c>
      <c r="AB44" s="94">
        <f>100*($E$17*$E$19+($E$18*(AA44/100))/(1-$E$21))</f>
        <v>13.10676966409266</v>
      </c>
      <c r="AC44" s="95">
        <f>AB44/V44</f>
        <v>0.2281576435404963</v>
      </c>
      <c r="AD44" s="93">
        <f>ROUND($E$8/(1-AC44),0)</f>
        <v>129694</v>
      </c>
      <c r="AE44" s="87" t="str">
        <f>IF(OR(OR(AD44=AD38,AD44=(AD38+5)),AD44=(AD30-5)),"yes","not yet")</f>
        <v>yes</v>
      </c>
      <c r="AF44" s="94">
        <f>100*(1-AC44)</f>
        <v>77.18423564595037</v>
      </c>
      <c r="AG44" s="87"/>
      <c r="AH44" s="87"/>
      <c r="AI44" s="87"/>
      <c r="AJ44" s="93">
        <f>HLOOKUP($AJ$34,$AJ$37:$AR$41,($E$12)+1)</f>
        <v>130455</v>
      </c>
      <c r="AK44" s="87"/>
      <c r="AL44" s="87"/>
      <c r="AM44" s="87"/>
      <c r="AN44" s="87"/>
      <c r="AO44" s="87"/>
      <c r="AP44" s="87"/>
      <c r="AQ44" s="87"/>
      <c r="AR44" s="87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</row>
    <row r="45" spans="1:76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4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</row>
    <row r="46" spans="1:76" ht="12.75">
      <c r="A46" s="86"/>
      <c r="B46" s="87"/>
      <c r="C46" s="87"/>
      <c r="D46" s="93"/>
      <c r="E46" s="93"/>
      <c r="F46" s="93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91" t="s">
        <v>109</v>
      </c>
      <c r="W46" s="98" t="s">
        <v>27</v>
      </c>
      <c r="X46" s="98" t="s">
        <v>58</v>
      </c>
      <c r="Y46" s="98" t="s">
        <v>59</v>
      </c>
      <c r="Z46" s="87"/>
      <c r="AA46" s="94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</row>
    <row r="47" spans="1:76" ht="12.75">
      <c r="A47" s="86"/>
      <c r="B47" s="87"/>
      <c r="C47" s="87"/>
      <c r="D47" s="93"/>
      <c r="E47" s="93"/>
      <c r="F47" s="93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4">
        <f>100*(+AD41/$E$9)</f>
        <v>58.08881233512251</v>
      </c>
      <c r="W47" s="99">
        <f>EXP(5.7226-(0.68367*LN(+V47)))</f>
        <v>19.021137483416904</v>
      </c>
      <c r="X47" s="95">
        <f>(+W47*V47)/100</f>
        <v>11.049152856747689</v>
      </c>
      <c r="Y47" s="94">
        <f>100*((((X47/100)-((X47/100)-0.03574)*$E$21)-0.03574-0.00619)/0.344)</f>
        <v>12.542444434457778</v>
      </c>
      <c r="Z47" s="87">
        <f>$E$20</f>
        <v>0.25</v>
      </c>
      <c r="AA47" s="94">
        <f>Y47+Z47</f>
        <v>12.792444434457778</v>
      </c>
      <c r="AB47" s="94">
        <f>100*($E$17*$E$19+($E$18*(AA47/100))/(1-$E$21))</f>
        <v>13.749494940416163</v>
      </c>
      <c r="AC47" s="95">
        <f>AB47/V47</f>
        <v>0.23669781473742993</v>
      </c>
      <c r="AD47" s="93">
        <f>ROUND($E$8/(1-AC47),0)</f>
        <v>131145</v>
      </c>
      <c r="AE47" s="87" t="str">
        <f>IF(OR(OR(AD47=AD41,AD47=(AD41+1)),AD47=(AD33-1)),"yes","not yet")</f>
        <v>yes</v>
      </c>
      <c r="AF47" s="94">
        <f>100*(1-AC47)</f>
        <v>76.33021852625701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</row>
    <row r="48" spans="1:76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4">
        <f>100*(+AD42/$E$9)</f>
        <v>57.783186649726694</v>
      </c>
      <c r="W48" s="99">
        <f>EXP(5.70827-(0.68367*LN(+V48)))</f>
        <v>18.818254529456155</v>
      </c>
      <c r="X48" s="95">
        <f>(+W48*V48)/100</f>
        <v>10.873787138976297</v>
      </c>
      <c r="Y48" s="94">
        <f>100*((((X48/100)-((X48/100)-0.03574)*$E$21)-0.03574-0.00619)/0.344)</f>
        <v>12.205986952687082</v>
      </c>
      <c r="Z48" s="87">
        <f>$E$20</f>
        <v>0.25</v>
      </c>
      <c r="AA48" s="94">
        <f>Y48+Z48</f>
        <v>12.455986952687082</v>
      </c>
      <c r="AB48" s="94">
        <f>100*($E$17*$E$19+($E$18*(AA48/100))/(1-$E$21))</f>
        <v>13.443624502442802</v>
      </c>
      <c r="AC48" s="95">
        <f>AB48/V48</f>
        <v>0.23265633624424534</v>
      </c>
      <c r="AD48" s="93">
        <f>ROUND($E$8/(1-AC48),0)</f>
        <v>130455</v>
      </c>
      <c r="AE48" s="87" t="str">
        <f>IF(OR(OR(AD48=AD42,AD48=(AD42+1)),AD48=(AD42-1)),"yes","not yet")</f>
        <v>yes</v>
      </c>
      <c r="AF48" s="94">
        <f>100*(1-AC48)</f>
        <v>76.73436637557546</v>
      </c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</row>
    <row r="49" spans="1:76" ht="12.7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4">
        <f>100*(+AD43/$E$9)</f>
        <v>57.5776644496924</v>
      </c>
      <c r="W49" s="99">
        <f>EXP(5.6985-(0.68367*LN(V49)))</f>
        <v>18.680746307954617</v>
      </c>
      <c r="X49" s="95">
        <f>(+W49*V49)/100</f>
        <v>10.755937425892412</v>
      </c>
      <c r="Y49" s="94">
        <f>100*((((X49/100)-((X49/100)-0.03574)*$E$21)-0.03574-0.00619)/0.344)</f>
        <v>11.979879945026141</v>
      </c>
      <c r="Z49" s="87">
        <f>$E$20</f>
        <v>0.25</v>
      </c>
      <c r="AA49" s="94">
        <f>Y49+Z49</f>
        <v>12.229879945026141</v>
      </c>
      <c r="AB49" s="94">
        <f>100*($E$17*$E$19+($E$18*(AA49/100))/(1-$E$21))</f>
        <v>13.238072677296492</v>
      </c>
      <c r="AC49" s="95">
        <f>AB49/V49</f>
        <v>0.22991680548041427</v>
      </c>
      <c r="AD49" s="93">
        <f>ROUND($E$8/(1-AC49),0)</f>
        <v>129991</v>
      </c>
      <c r="AE49" s="87" t="str">
        <f>IF(OR(OR(AD49=AD43,AD49=(AD43+1)),AD49=(AD43-1)),"yes","not yet")</f>
        <v>yes</v>
      </c>
      <c r="AF49" s="94">
        <f>100*(1-AC49)</f>
        <v>77.00831945195857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</row>
    <row r="50" spans="1:76" ht="12.7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4">
        <f>100*(+AD44/$E$9)</f>
        <v>57.446112524239425</v>
      </c>
      <c r="W50" s="99">
        <f>EXP(5.6922-(0.68367*LN(V50)))</f>
        <v>18.592480086705326</v>
      </c>
      <c r="X50" s="95">
        <f>(+W50*V50)/100</f>
        <v>10.68065703165555</v>
      </c>
      <c r="Y50" s="94">
        <f>100*((((X50/100)-((X50/100)-0.03574)*$E$21)-0.03574-0.00619)/0.344)</f>
        <v>11.835446630501924</v>
      </c>
      <c r="Z50" s="87">
        <f>$E$20</f>
        <v>0.25</v>
      </c>
      <c r="AA50" s="94">
        <f>Y50+Z50</f>
        <v>12.085446630501924</v>
      </c>
      <c r="AB50" s="94">
        <f>100*($E$17*$E$19+($E$18*(AA50/100))/(1-$E$21))</f>
        <v>13.10676966409266</v>
      </c>
      <c r="AC50" s="95">
        <f>AB50/V50</f>
        <v>0.2281576435404963</v>
      </c>
      <c r="AD50" s="93">
        <f>ROUND($E$8/(1-AC50),0)</f>
        <v>129694</v>
      </c>
      <c r="AE50" s="87" t="str">
        <f>IF(OR(OR(AD50=AD44,AD50=(AD44+1)),AD50=(AD44-1)),"yes","not yet")</f>
        <v>yes</v>
      </c>
      <c r="AF50" s="94">
        <f>100*(1-AC50)</f>
        <v>77.18423564595037</v>
      </c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</row>
    <row r="51" spans="1:76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4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</row>
    <row r="52" spans="1:76" ht="12.7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1" t="s">
        <v>110</v>
      </c>
      <c r="W52" s="98" t="s">
        <v>27</v>
      </c>
      <c r="X52" s="98" t="s">
        <v>58</v>
      </c>
      <c r="Y52" s="98" t="s">
        <v>59</v>
      </c>
      <c r="Z52" s="87"/>
      <c r="AA52" s="94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</row>
    <row r="53" spans="1:76" ht="12.7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4">
        <f>100*(+AD47/$E$9)</f>
        <v>58.08881233512251</v>
      </c>
      <c r="W53" s="99">
        <f>EXP(5.7226-(0.68367*LN(+V53)))</f>
        <v>19.021137483416904</v>
      </c>
      <c r="X53" s="95">
        <f>(+W53*V53)/100</f>
        <v>11.049152856747689</v>
      </c>
      <c r="Y53" s="94">
        <f>100*((((X53/100)-((X53/100)-0.03574)*$E$21)-0.03574-0.00619)/0.344)</f>
        <v>12.542444434457778</v>
      </c>
      <c r="Z53" s="87">
        <f>$E$20</f>
        <v>0.25</v>
      </c>
      <c r="AA53" s="94">
        <f>Y53+Z53</f>
        <v>12.792444434457778</v>
      </c>
      <c r="AB53" s="94">
        <f>100*($E$17*$E$19+($E$18*(AA53/100))/(1-$E$21))</f>
        <v>13.749494940416163</v>
      </c>
      <c r="AC53" s="95">
        <f>AB53/V53</f>
        <v>0.23669781473742993</v>
      </c>
      <c r="AD53" s="93">
        <f>ROUND($E$8/(1-AC53),0)</f>
        <v>131145</v>
      </c>
      <c r="AE53" s="87" t="str">
        <f>IF(OR(OR(AD53=AD47,AD53=(AD47+1)),AD53=(AD39-1)),"yes","not yet")</f>
        <v>yes</v>
      </c>
      <c r="AF53" s="94">
        <f>100*(1-AC53)</f>
        <v>76.33021852625701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</row>
    <row r="54" spans="1:76" ht="12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4">
        <f>100*(+AD48/$E$9)</f>
        <v>57.783186649726694</v>
      </c>
      <c r="W54" s="99">
        <f>EXP(5.70827-(0.68367*LN(+V54)))</f>
        <v>18.818254529456155</v>
      </c>
      <c r="X54" s="95">
        <f>(+W54*V54)/100</f>
        <v>10.873787138976297</v>
      </c>
      <c r="Y54" s="94">
        <f>100*((((X54/100)-((X54/100)-0.03574)*$E$21)-0.03574-0.00619)/0.344)</f>
        <v>12.205986952687082</v>
      </c>
      <c r="Z54" s="87">
        <f>$E$20</f>
        <v>0.25</v>
      </c>
      <c r="AA54" s="94">
        <f>Y54+Z54</f>
        <v>12.455986952687082</v>
      </c>
      <c r="AB54" s="94">
        <f>100*($E$17*$E$19+($E$18*(AA54/100))/(1-$E$21))</f>
        <v>13.443624502442802</v>
      </c>
      <c r="AC54" s="95">
        <f>AB54/V54</f>
        <v>0.23265633624424534</v>
      </c>
      <c r="AD54" s="93">
        <f>ROUND($E$8/(1-AC54),0)</f>
        <v>130455</v>
      </c>
      <c r="AE54" s="87" t="str">
        <f>IF(OR(OR(AD54=AD48,AD54=(AD48+1)),AD54=(AD48-1)),"yes","not yet")</f>
        <v>yes</v>
      </c>
      <c r="AF54" s="94">
        <f>100*(1-AC54)</f>
        <v>76.73436637557546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</row>
    <row r="55" spans="1:76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4">
        <f>100*(+AD49/$E$9)</f>
        <v>57.5776644496924</v>
      </c>
      <c r="W55" s="99">
        <f>EXP(5.6985-(0.68367*LN(V55)))</f>
        <v>18.680746307954617</v>
      </c>
      <c r="X55" s="95">
        <f>(+W55*V55)/100</f>
        <v>10.755937425892412</v>
      </c>
      <c r="Y55" s="94">
        <f>100*((((X55/100)-((X55/100)-0.03574)*$E$21)-0.03574-0.00619)/0.344)</f>
        <v>11.979879945026141</v>
      </c>
      <c r="Z55" s="87">
        <f>$E$20</f>
        <v>0.25</v>
      </c>
      <c r="AA55" s="94">
        <f>Y55+Z55</f>
        <v>12.229879945026141</v>
      </c>
      <c r="AB55" s="94">
        <f>100*($E$17*$E$19+($E$18*(AA55/100))/(1-$E$21))</f>
        <v>13.238072677296492</v>
      </c>
      <c r="AC55" s="95">
        <f>AB55/V55</f>
        <v>0.22991680548041427</v>
      </c>
      <c r="AD55" s="93">
        <f>ROUND($E$8/(1-AC55),0)</f>
        <v>129991</v>
      </c>
      <c r="AE55" s="87" t="str">
        <f>IF(OR(OR(AD55=AD49,AD55=(AD49+1)),AD55=(AD49-1)),"yes","not yet")</f>
        <v>yes</v>
      </c>
      <c r="AF55" s="94">
        <f>100*(1-AC55)</f>
        <v>77.00831945195857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</row>
    <row r="56" spans="1:76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4">
        <f>100*(+AD50/$E$9)</f>
        <v>57.446112524239425</v>
      </c>
      <c r="W56" s="99">
        <f>EXP(5.6922-(0.68367*LN(V56)))</f>
        <v>18.592480086705326</v>
      </c>
      <c r="X56" s="95">
        <f>(+W56*V56)/100</f>
        <v>10.68065703165555</v>
      </c>
      <c r="Y56" s="94">
        <f>100*((((X56/100)-((X56/100)-0.03574)*$E$21)-0.03574-0.00619)/0.344)</f>
        <v>11.835446630501924</v>
      </c>
      <c r="Z56" s="87">
        <f>$E$20</f>
        <v>0.25</v>
      </c>
      <c r="AA56" s="94">
        <f>Y56+Z56</f>
        <v>12.085446630501924</v>
      </c>
      <c r="AB56" s="94">
        <f>100*($E$17*$E$19+($E$18*(AA56/100))/(1-$E$21))</f>
        <v>13.10676966409266</v>
      </c>
      <c r="AC56" s="95">
        <f>AB56/V56</f>
        <v>0.2281576435404963</v>
      </c>
      <c r="AD56" s="93">
        <f>ROUND($E$8/(1-AC56),0)</f>
        <v>129694</v>
      </c>
      <c r="AE56" s="87" t="str">
        <f>IF(OR(OR(AD56=AD50,AD56=(AD50+1)),AD56=(AD50-1)),"yes","not yet")</f>
        <v>yes</v>
      </c>
      <c r="AF56" s="94">
        <f>100*(1-AC56)</f>
        <v>77.18423564595037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</row>
    <row r="57" spans="1:76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4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</row>
    <row r="58" spans="1:76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</row>
    <row r="59" spans="1:7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</row>
    <row r="60" spans="1:76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</row>
    <row r="61" spans="1:76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</row>
    <row r="62" spans="1:76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</row>
    <row r="63" spans="1:76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</row>
    <row r="64" spans="1:76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</row>
    <row r="65" spans="1:76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</row>
    <row r="66" spans="1:76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</row>
    <row r="67" spans="1:76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</row>
    <row r="68" spans="1:76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</row>
    <row r="69" spans="1:76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</row>
    <row r="70" spans="1:76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</row>
    <row r="71" spans="1:76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</row>
    <row r="72" spans="1:76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</row>
    <row r="73" spans="1:76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</row>
    <row r="74" spans="1:76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</row>
    <row r="75" spans="1:76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</row>
    <row r="76" spans="1:76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</row>
    <row r="77" spans="1:76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</row>
    <row r="78" spans="1:76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</row>
    <row r="79" spans="1:76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</row>
    <row r="80" spans="1:76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</row>
    <row r="81" spans="1:76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</row>
    <row r="82" spans="1:76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</row>
    <row r="83" spans="1:76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</row>
    <row r="84" spans="1:76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</row>
    <row r="85" spans="1:76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</row>
    <row r="86" spans="1:76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</row>
    <row r="87" spans="1:76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</row>
    <row r="88" spans="1:76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</row>
    <row r="89" spans="1:76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</row>
    <row r="90" spans="1:76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</row>
    <row r="91" spans="1:76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</row>
    <row r="92" spans="1:76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</row>
    <row r="93" spans="1:76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</row>
    <row r="94" spans="1:76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</row>
    <row r="95" spans="1:76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1:76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</row>
    <row r="97" spans="1:76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</row>
    <row r="98" spans="1:76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</row>
    <row r="99" spans="1:76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</row>
    <row r="100" spans="1:76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</row>
    <row r="101" spans="1:76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</row>
    <row r="102" spans="1:76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</row>
    <row r="103" spans="1:76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</row>
    <row r="104" spans="1:76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</row>
    <row r="105" spans="1:76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</row>
    <row r="106" spans="1:76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</row>
    <row r="107" spans="1:76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</row>
    <row r="108" spans="1:76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</row>
    <row r="109" spans="1:76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</row>
    <row r="110" spans="1:76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</row>
    <row r="111" spans="1:76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</row>
    <row r="112" spans="1:76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</row>
    <row r="113" spans="1:76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</row>
    <row r="114" spans="1:76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</row>
    <row r="115" spans="1:76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</row>
    <row r="116" spans="1:76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</row>
    <row r="117" spans="1:76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</row>
    <row r="118" spans="1:76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</row>
    <row r="119" spans="1:76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</row>
    <row r="120" spans="1:76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</row>
    <row r="121" spans="1:76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</row>
    <row r="122" spans="1:76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</row>
    <row r="123" spans="1:76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</row>
    <row r="124" spans="1:76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</row>
    <row r="125" spans="1:76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</row>
    <row r="126" spans="1:76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</row>
    <row r="127" spans="1:76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</row>
    <row r="128" spans="1:76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</row>
    <row r="129" spans="1:76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</row>
    <row r="130" spans="1:76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</row>
    <row r="131" spans="1:76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</row>
    <row r="132" spans="1:76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</row>
    <row r="133" spans="1:76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</row>
    <row r="134" spans="1:76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</row>
    <row r="135" spans="1:76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</row>
    <row r="136" spans="1:76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</row>
    <row r="137" spans="1:76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</row>
    <row r="138" spans="1:76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</row>
    <row r="139" spans="1:76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</row>
    <row r="140" spans="1:76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</row>
    <row r="141" spans="1:76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</row>
    <row r="142" spans="1:76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</row>
    <row r="143" spans="1:76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</row>
    <row r="144" spans="1:76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</row>
    <row r="145" spans="1:76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</row>
    <row r="146" spans="1:76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</row>
    <row r="147" spans="1:76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</row>
    <row r="148" spans="1:76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</row>
    <row r="149" spans="1:76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</row>
    <row r="150" spans="1:76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</row>
    <row r="151" spans="1:76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</row>
    <row r="152" spans="1:76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</row>
    <row r="153" spans="1:76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</row>
    <row r="154" spans="1:76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</row>
    <row r="155" spans="1:76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</row>
    <row r="156" spans="1:76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</row>
    <row r="157" spans="1:76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</row>
    <row r="158" spans="1:76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</row>
    <row r="159" spans="1:76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</row>
    <row r="160" spans="1:76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</row>
    <row r="161" spans="1:76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</row>
    <row r="162" spans="1:76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</row>
    <row r="163" spans="1:76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</row>
    <row r="164" spans="1:76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</row>
    <row r="165" spans="1:76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</row>
    <row r="166" spans="1:76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</row>
    <row r="167" spans="1:76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</row>
    <row r="168" spans="1:76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</row>
    <row r="169" spans="1:76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</row>
    <row r="170" spans="1:76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</row>
    <row r="171" spans="1:76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</row>
    <row r="172" spans="1:76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</row>
    <row r="173" spans="1:76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</row>
    <row r="174" spans="1:76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</row>
    <row r="175" spans="1:76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</row>
    <row r="176" spans="1:76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</row>
    <row r="177" spans="1:76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</row>
    <row r="178" spans="1:76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</row>
    <row r="179" spans="1:76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</row>
    <row r="180" spans="1:76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</row>
    <row r="181" spans="1:76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</row>
    <row r="182" spans="1:76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</row>
    <row r="183" spans="1:76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</row>
    <row r="184" spans="1:76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</row>
    <row r="185" spans="1:76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</row>
    <row r="186" spans="1:76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</row>
    <row r="187" spans="1:76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</row>
    <row r="188" spans="1:76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</row>
    <row r="189" spans="1:76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</row>
    <row r="190" spans="1:76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</row>
    <row r="191" spans="1:76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</row>
    <row r="192" spans="1:76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</row>
    <row r="193" spans="1:76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</row>
    <row r="194" spans="1:76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</row>
    <row r="195" spans="1:76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</row>
    <row r="196" spans="1:76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</row>
    <row r="197" spans="1:76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</row>
    <row r="198" spans="1:76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</row>
    <row r="199" spans="1:76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</row>
    <row r="200" spans="1:76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</row>
    <row r="201" spans="1:76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</row>
    <row r="202" spans="1:76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</row>
    <row r="203" spans="1:76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</row>
    <row r="204" spans="1:76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</row>
    <row r="205" spans="1:76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</row>
    <row r="206" spans="1:76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</row>
    <row r="207" spans="1:76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</row>
    <row r="208" spans="1:76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</row>
    <row r="209" spans="1:76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</row>
    <row r="210" spans="1:76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</row>
    <row r="211" spans="1:76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</row>
    <row r="212" spans="1:76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</row>
    <row r="213" spans="1:76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</row>
    <row r="214" spans="1:76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</row>
    <row r="215" spans="1:76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</row>
    <row r="216" spans="1:76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</row>
    <row r="217" spans="1:76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</row>
    <row r="218" spans="1:76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</row>
    <row r="219" spans="1:76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</row>
    <row r="220" spans="1:76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</row>
    <row r="221" spans="1:76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</row>
    <row r="222" spans="1:76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</row>
    <row r="223" spans="1:76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</row>
    <row r="224" spans="1:76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</row>
    <row r="225" spans="1:76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</row>
    <row r="226" spans="1:76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</row>
    <row r="227" spans="1:76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</row>
    <row r="228" spans="1:76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</row>
    <row r="229" spans="1:76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</row>
    <row r="230" spans="1:76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</row>
    <row r="231" spans="1:76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</row>
    <row r="232" spans="1:76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</row>
    <row r="233" spans="1:76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</row>
    <row r="234" spans="1:76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</row>
    <row r="235" spans="1:76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</row>
    <row r="236" spans="1:76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</row>
    <row r="237" spans="1:76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</row>
    <row r="238" spans="1:76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</row>
    <row r="239" spans="1:76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</row>
    <row r="240" spans="1:76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</row>
    <row r="241" spans="1:76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</row>
    <row r="242" spans="1:76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</row>
    <row r="243" spans="1:76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</row>
    <row r="244" spans="1:76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</row>
    <row r="245" spans="1:76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</row>
    <row r="246" spans="1:76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</row>
    <row r="247" spans="1:76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</row>
    <row r="248" spans="1:76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</row>
    <row r="249" spans="1:76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</row>
    <row r="250" spans="1:76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</row>
    <row r="251" spans="1:76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</row>
    <row r="252" spans="1:76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</row>
    <row r="253" spans="1:76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</row>
    <row r="254" spans="1:76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</row>
    <row r="255" spans="1:76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</row>
    <row r="256" spans="1:76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</row>
    <row r="257" spans="1:76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</row>
    <row r="258" spans="1:76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</row>
    <row r="259" spans="1:76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</row>
    <row r="260" spans="1:76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</row>
    <row r="261" spans="1:76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</row>
    <row r="262" spans="1:76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</row>
    <row r="263" spans="1:76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</row>
    <row r="264" spans="1:76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</row>
    <row r="265" spans="1:76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</row>
    <row r="266" spans="1:76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</row>
    <row r="267" spans="1:76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</row>
    <row r="268" spans="1:76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</row>
    <row r="269" spans="1:76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</row>
    <row r="270" spans="1:76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</row>
    <row r="271" spans="1:76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</row>
    <row r="272" spans="1:76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</row>
    <row r="273" spans="1:76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</row>
    <row r="274" spans="1:76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</row>
    <row r="275" spans="1:76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</row>
    <row r="276" spans="1:76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</row>
    <row r="277" spans="1:76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</row>
    <row r="278" spans="1:76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</row>
    <row r="279" spans="1:76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</row>
    <row r="280" spans="1:76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</row>
    <row r="281" spans="1:76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</row>
    <row r="282" spans="1:76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</row>
    <row r="283" spans="1:76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</row>
    <row r="284" spans="1:76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</row>
    <row r="285" spans="1:76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</row>
    <row r="286" spans="1:76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</row>
    <row r="287" spans="1:76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</row>
    <row r="288" spans="1:76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</row>
    <row r="289" spans="1:76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</row>
    <row r="290" spans="1:76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</row>
    <row r="291" spans="1:76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</row>
    <row r="292" spans="1:76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</row>
    <row r="293" spans="1:76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</row>
    <row r="294" spans="1:76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</row>
    <row r="295" spans="1:76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</row>
    <row r="296" spans="1:76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</row>
    <row r="297" spans="1:76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</row>
    <row r="298" spans="1:76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</row>
    <row r="299" spans="1:76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</row>
    <row r="300" spans="1:76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</row>
    <row r="301" spans="1:76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</row>
    <row r="302" spans="1:76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</row>
    <row r="303" spans="1:76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</row>
    <row r="304" spans="1:76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</row>
    <row r="305" spans="1:76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</row>
    <row r="306" spans="1:76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</row>
    <row r="307" spans="1:76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</row>
    <row r="308" spans="1:76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</row>
    <row r="309" spans="1:76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</row>
    <row r="310" spans="1:76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</row>
    <row r="311" spans="1:76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</row>
    <row r="312" spans="1:76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</row>
    <row r="313" spans="1:76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</row>
    <row r="314" spans="1:76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</row>
    <row r="315" spans="1:76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</row>
    <row r="316" spans="1:76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</row>
    <row r="317" spans="1:76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</row>
    <row r="318" spans="1:76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</row>
    <row r="319" spans="1:76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</row>
    <row r="320" spans="1:76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</row>
    <row r="321" spans="1:76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</row>
    <row r="322" spans="1:76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G57"/>
  <sheetViews>
    <sheetView workbookViewId="0" topLeftCell="A1">
      <selection activeCell="P36" sqref="P36"/>
    </sheetView>
  </sheetViews>
  <sheetFormatPr defaultColWidth="8.796875" defaultRowHeight="12"/>
  <cols>
    <col min="1" max="1" width="1.69921875" style="0" customWidth="1"/>
    <col min="2" max="2" width="7.296875" style="0" customWidth="1"/>
    <col min="3" max="3" width="20.09765625" style="0" customWidth="1"/>
    <col min="4" max="4" width="7.09765625" style="188" customWidth="1"/>
    <col min="5" max="5" width="6.09765625" style="0" customWidth="1"/>
    <col min="6" max="6" width="7.19921875" style="0" customWidth="1"/>
    <col min="7" max="7" width="0" style="0" hidden="1" customWidth="1"/>
    <col min="8" max="8" width="6.796875" style="0" customWidth="1"/>
    <col min="9" max="9" width="6.19921875" style="0" customWidth="1"/>
    <col min="10" max="10" width="5.8984375" style="188" customWidth="1"/>
    <col min="11" max="12" width="0" style="0" hidden="1" customWidth="1"/>
    <col min="13" max="13" width="7" style="0" customWidth="1"/>
    <col min="14" max="14" width="0" style="0" hidden="1" customWidth="1"/>
    <col min="15" max="15" width="7.19921875" style="0" customWidth="1"/>
    <col min="16" max="16" width="6.796875" style="0" customWidth="1"/>
    <col min="17" max="17" width="6.69921875" style="0" customWidth="1"/>
    <col min="18" max="25" width="0" style="0" hidden="1" customWidth="1"/>
  </cols>
  <sheetData>
    <row r="1" spans="1:33" ht="11.25">
      <c r="A1" s="15"/>
      <c r="B1" s="16"/>
      <c r="C1" s="17" t="s">
        <v>153</v>
      </c>
      <c r="D1" s="182"/>
      <c r="E1" s="19"/>
      <c r="F1" s="19"/>
      <c r="G1" s="16"/>
      <c r="H1" s="19"/>
      <c r="I1" s="18"/>
      <c r="J1" s="182"/>
      <c r="K1" s="16"/>
      <c r="L1" s="16"/>
      <c r="M1" s="20"/>
      <c r="N1" s="16"/>
      <c r="O1" s="21"/>
      <c r="P1" s="2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2">
        <v>40026</v>
      </c>
      <c r="AE1" s="16"/>
      <c r="AF1" s="16"/>
      <c r="AG1" s="16"/>
    </row>
    <row r="2" spans="1:33" ht="11.25">
      <c r="A2" s="15"/>
      <c r="B2" s="16"/>
      <c r="C2" s="23" t="s">
        <v>154</v>
      </c>
      <c r="D2" s="182"/>
      <c r="E2" s="19"/>
      <c r="F2" s="19"/>
      <c r="G2" s="16"/>
      <c r="H2" s="19"/>
      <c r="I2" s="18"/>
      <c r="J2" s="182"/>
      <c r="K2" s="16"/>
      <c r="L2" s="16"/>
      <c r="M2" s="20"/>
      <c r="N2" s="16"/>
      <c r="O2" s="24">
        <v>5</v>
      </c>
      <c r="P2" s="23" t="s">
        <v>155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1.25">
      <c r="A3" s="15"/>
      <c r="B3" s="16"/>
      <c r="C3" s="25">
        <v>40390</v>
      </c>
      <c r="D3" s="182"/>
      <c r="E3" s="19"/>
      <c r="F3" s="19"/>
      <c r="G3" s="16"/>
      <c r="H3" s="19"/>
      <c r="I3" s="18"/>
      <c r="J3" s="182"/>
      <c r="K3" s="16"/>
      <c r="L3" s="16"/>
      <c r="M3" s="20"/>
      <c r="N3" s="16"/>
      <c r="O3" s="24">
        <v>7</v>
      </c>
      <c r="P3" s="23" t="s">
        <v>156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157</v>
      </c>
      <c r="AE3" s="16" t="s">
        <v>158</v>
      </c>
      <c r="AF3" s="16"/>
      <c r="AG3" s="16"/>
    </row>
    <row r="4" spans="1:33" ht="11.25">
      <c r="A4" s="15"/>
      <c r="B4" s="16"/>
      <c r="C4" s="16"/>
      <c r="D4" s="182"/>
      <c r="E4" s="19"/>
      <c r="F4" s="19"/>
      <c r="G4" s="16"/>
      <c r="H4" s="19"/>
      <c r="I4" s="18"/>
      <c r="J4" s="182"/>
      <c r="K4" s="16"/>
      <c r="L4" s="16"/>
      <c r="M4" s="20"/>
      <c r="N4" s="16"/>
      <c r="O4" s="24">
        <v>2009</v>
      </c>
      <c r="P4" s="23" t="s">
        <v>159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">
        <v>160</v>
      </c>
      <c r="AE4" s="16" t="s">
        <v>161</v>
      </c>
      <c r="AF4" s="16"/>
      <c r="AG4" s="16"/>
    </row>
    <row r="5" spans="1:33" ht="11.25">
      <c r="A5" s="15"/>
      <c r="B5" s="16"/>
      <c r="C5" s="16"/>
      <c r="D5" s="182"/>
      <c r="E5" s="19"/>
      <c r="F5" s="19"/>
      <c r="G5" s="16"/>
      <c r="H5" s="19"/>
      <c r="I5" s="18"/>
      <c r="J5" s="182"/>
      <c r="K5" s="16"/>
      <c r="L5" s="16"/>
      <c r="M5" s="20"/>
      <c r="N5" s="16"/>
      <c r="O5" s="24">
        <v>2010</v>
      </c>
      <c r="P5" s="23" t="s">
        <v>162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163</v>
      </c>
      <c r="AE5" s="16" t="s">
        <v>164</v>
      </c>
      <c r="AF5" s="16"/>
      <c r="AG5" s="16"/>
    </row>
    <row r="6" spans="1:33" ht="11.25">
      <c r="A6" s="15"/>
      <c r="B6" s="16"/>
      <c r="C6" s="16"/>
      <c r="D6" s="182"/>
      <c r="E6" s="19"/>
      <c r="F6" s="19"/>
      <c r="G6" s="16"/>
      <c r="H6" s="19"/>
      <c r="I6" s="18"/>
      <c r="J6" s="182"/>
      <c r="K6" s="16"/>
      <c r="L6" s="16"/>
      <c r="M6" s="2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165</v>
      </c>
      <c r="AE6" s="16" t="s">
        <v>166</v>
      </c>
      <c r="AF6" s="16"/>
      <c r="AG6" s="16"/>
    </row>
    <row r="7" spans="1:33" ht="11.25">
      <c r="A7" s="15"/>
      <c r="B7" s="16"/>
      <c r="C7" s="16"/>
      <c r="D7" s="182"/>
      <c r="E7" s="19"/>
      <c r="F7" s="19"/>
      <c r="G7" s="16"/>
      <c r="H7" s="19"/>
      <c r="I7" s="18"/>
      <c r="J7" s="182"/>
      <c r="K7" s="16"/>
      <c r="L7" s="16"/>
      <c r="M7" s="2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">
        <v>167</v>
      </c>
      <c r="AE7" s="16" t="s">
        <v>168</v>
      </c>
      <c r="AF7" s="16"/>
      <c r="AG7" s="16"/>
    </row>
    <row r="8" spans="1:33" ht="11.25">
      <c r="A8" s="15"/>
      <c r="B8" s="21"/>
      <c r="C8" s="21"/>
      <c r="D8" s="183"/>
      <c r="E8" s="27"/>
      <c r="F8" s="27"/>
      <c r="G8" s="21"/>
      <c r="H8" s="27"/>
      <c r="I8" s="26"/>
      <c r="J8" s="183"/>
      <c r="K8" s="15"/>
      <c r="L8" s="15"/>
      <c r="M8" s="28"/>
      <c r="N8" s="16"/>
      <c r="O8" s="16"/>
      <c r="P8" s="16"/>
      <c r="Q8" s="16"/>
      <c r="R8" s="19" t="s">
        <v>169</v>
      </c>
      <c r="S8" s="16"/>
      <c r="T8" s="16"/>
      <c r="U8" s="29" t="s">
        <v>3</v>
      </c>
      <c r="V8" s="16"/>
      <c r="W8" s="19" t="s">
        <v>7</v>
      </c>
      <c r="X8" s="19" t="s">
        <v>170</v>
      </c>
      <c r="Y8" s="16"/>
      <c r="Z8" s="29" t="s">
        <v>170</v>
      </c>
      <c r="AA8" s="29" t="s">
        <v>170</v>
      </c>
      <c r="AB8" s="16"/>
      <c r="AC8" s="16"/>
      <c r="AD8" s="16"/>
      <c r="AE8" s="16"/>
      <c r="AF8" s="16"/>
      <c r="AG8" s="16"/>
    </row>
    <row r="9" spans="1:33" ht="11.25">
      <c r="A9" s="30"/>
      <c r="B9" s="31" t="s">
        <v>0</v>
      </c>
      <c r="C9" s="32" t="s">
        <v>171</v>
      </c>
      <c r="D9" s="33" t="s">
        <v>8</v>
      </c>
      <c r="E9" s="29"/>
      <c r="F9" s="34" t="s">
        <v>1</v>
      </c>
      <c r="G9" s="35"/>
      <c r="H9" s="29" t="s">
        <v>0</v>
      </c>
      <c r="I9" s="33"/>
      <c r="J9" s="33" t="s">
        <v>9</v>
      </c>
      <c r="K9" s="30" t="s">
        <v>0</v>
      </c>
      <c r="L9" s="16"/>
      <c r="M9" s="36" t="s">
        <v>0</v>
      </c>
      <c r="N9" s="19" t="s">
        <v>18</v>
      </c>
      <c r="O9" s="32" t="s">
        <v>0</v>
      </c>
      <c r="P9" s="32"/>
      <c r="Q9" s="29" t="s">
        <v>10</v>
      </c>
      <c r="R9" s="19" t="s">
        <v>9</v>
      </c>
      <c r="S9" s="29" t="s">
        <v>3</v>
      </c>
      <c r="T9" s="29" t="s">
        <v>26</v>
      </c>
      <c r="U9" s="29" t="s">
        <v>170</v>
      </c>
      <c r="V9" s="16"/>
      <c r="W9" s="19" t="s">
        <v>172</v>
      </c>
      <c r="X9" s="19" t="s">
        <v>172</v>
      </c>
      <c r="Y9" s="19" t="s">
        <v>173</v>
      </c>
      <c r="Z9" s="29" t="s">
        <v>174</v>
      </c>
      <c r="AA9" s="29" t="s">
        <v>174</v>
      </c>
      <c r="AB9" s="29" t="s">
        <v>11</v>
      </c>
      <c r="AC9" s="16"/>
      <c r="AD9" s="16"/>
      <c r="AE9" s="16"/>
      <c r="AF9" s="16"/>
      <c r="AG9" s="16"/>
    </row>
    <row r="10" spans="1:33" ht="11.25">
      <c r="A10" s="29"/>
      <c r="B10" s="31" t="s">
        <v>12</v>
      </c>
      <c r="C10" s="32"/>
      <c r="D10" s="33" t="s">
        <v>13</v>
      </c>
      <c r="E10" s="29"/>
      <c r="F10" s="34" t="s">
        <v>14</v>
      </c>
      <c r="G10" s="35"/>
      <c r="H10" s="29" t="s">
        <v>15</v>
      </c>
      <c r="I10" s="33" t="s">
        <v>16</v>
      </c>
      <c r="J10" s="33" t="s">
        <v>17</v>
      </c>
      <c r="K10" s="29" t="s">
        <v>18</v>
      </c>
      <c r="L10" s="16" t="s">
        <v>175</v>
      </c>
      <c r="M10" s="36" t="s">
        <v>18</v>
      </c>
      <c r="N10" s="19" t="s">
        <v>169</v>
      </c>
      <c r="O10" s="29" t="s">
        <v>19</v>
      </c>
      <c r="P10" s="29" t="s">
        <v>20</v>
      </c>
      <c r="Q10" s="29" t="s">
        <v>9</v>
      </c>
      <c r="R10" s="19" t="s">
        <v>176</v>
      </c>
      <c r="S10" s="29" t="s">
        <v>177</v>
      </c>
      <c r="T10" s="29" t="s">
        <v>178</v>
      </c>
      <c r="U10" s="29" t="s">
        <v>179</v>
      </c>
      <c r="V10" s="29"/>
      <c r="W10" s="29" t="s">
        <v>4</v>
      </c>
      <c r="X10" s="29" t="s">
        <v>4</v>
      </c>
      <c r="Y10" s="29" t="s">
        <v>178</v>
      </c>
      <c r="Z10" s="29" t="s">
        <v>180</v>
      </c>
      <c r="AA10" s="29" t="s">
        <v>180</v>
      </c>
      <c r="AB10" s="29" t="s">
        <v>21</v>
      </c>
      <c r="AC10" s="19" t="s">
        <v>157</v>
      </c>
      <c r="AD10" s="19" t="s">
        <v>181</v>
      </c>
      <c r="AE10" s="19" t="s">
        <v>182</v>
      </c>
      <c r="AF10" s="19" t="s">
        <v>165</v>
      </c>
      <c r="AG10" s="19" t="s">
        <v>167</v>
      </c>
    </row>
    <row r="11" spans="1:33" ht="11.25">
      <c r="A11" s="37" t="s">
        <v>22</v>
      </c>
      <c r="B11" s="38" t="s">
        <v>23</v>
      </c>
      <c r="C11" s="39" t="s">
        <v>24</v>
      </c>
      <c r="D11" s="40" t="s">
        <v>9</v>
      </c>
      <c r="E11" s="37" t="s">
        <v>25</v>
      </c>
      <c r="F11" s="41" t="s">
        <v>26</v>
      </c>
      <c r="G11" s="35" t="s">
        <v>92</v>
      </c>
      <c r="H11" s="37" t="s">
        <v>27</v>
      </c>
      <c r="I11" s="40" t="s">
        <v>28</v>
      </c>
      <c r="J11" s="40" t="s">
        <v>19</v>
      </c>
      <c r="K11" s="37" t="s">
        <v>29</v>
      </c>
      <c r="L11" s="42" t="s">
        <v>92</v>
      </c>
      <c r="M11" s="43" t="s">
        <v>29</v>
      </c>
      <c r="N11" s="42" t="s">
        <v>92</v>
      </c>
      <c r="O11" s="37" t="s">
        <v>29</v>
      </c>
      <c r="P11" s="37" t="s">
        <v>19</v>
      </c>
      <c r="Q11" s="37" t="s">
        <v>19</v>
      </c>
      <c r="R11" s="42" t="s">
        <v>92</v>
      </c>
      <c r="S11" s="29" t="s">
        <v>183</v>
      </c>
      <c r="T11" s="37" t="s">
        <v>92</v>
      </c>
      <c r="U11" s="29" t="s">
        <v>180</v>
      </c>
      <c r="V11" s="29"/>
      <c r="W11" s="44">
        <f>+AD1</f>
        <v>40026</v>
      </c>
      <c r="X11" s="45">
        <f>+C3</f>
        <v>40390</v>
      </c>
      <c r="Y11" s="29" t="s">
        <v>26</v>
      </c>
      <c r="Z11" s="46">
        <f>+W11</f>
        <v>40026</v>
      </c>
      <c r="AA11" s="46">
        <f>+C3</f>
        <v>40390</v>
      </c>
      <c r="AB11" s="29" t="s">
        <v>92</v>
      </c>
      <c r="AC11" s="16"/>
      <c r="AD11" s="16"/>
      <c r="AE11" s="16"/>
      <c r="AF11" s="16"/>
      <c r="AG11" s="16"/>
    </row>
    <row r="12" spans="1:33" ht="11.25">
      <c r="A12" s="47"/>
      <c r="B12" s="170">
        <v>28</v>
      </c>
      <c r="C12" s="49" t="s">
        <v>434</v>
      </c>
      <c r="D12" s="184">
        <v>2009</v>
      </c>
      <c r="E12" s="51">
        <v>7</v>
      </c>
      <c r="F12" s="52">
        <v>0.2</v>
      </c>
      <c r="G12" s="35"/>
      <c r="H12" s="53" t="s">
        <v>30</v>
      </c>
      <c r="I12" s="54">
        <v>7</v>
      </c>
      <c r="J12" s="189">
        <f aca="true" t="shared" si="0" ref="J12:J18">D12+I12</f>
        <v>2016</v>
      </c>
      <c r="K12" s="56"/>
      <c r="L12" s="56"/>
      <c r="M12" s="58">
        <v>250755.11</v>
      </c>
      <c r="N12" s="59">
        <v>0</v>
      </c>
      <c r="O12" s="60">
        <f aca="true" t="shared" si="1" ref="O12:O18">M12-M12*F12</f>
        <v>200604.088</v>
      </c>
      <c r="P12" s="60">
        <f aca="true" t="shared" si="2" ref="P12:P18">O12/I12/12</f>
        <v>2388.1439047619047</v>
      </c>
      <c r="Q12" s="60">
        <f aca="true" t="shared" si="3" ref="Q12:Q18">IF(N12&gt;0,0,IF(OR(AC12&gt;AD12,AE12&lt;AF12),0,IF(AND(AE12&gt;=AF12,AE12&lt;=AD12),P12*((AE12-AF12)*12),IF(AND(AF12&lt;=AC12,AD12&gt;=AC12),((AD12-AC12)*12)*P12,IF(AE12&gt;AD12,12*P12,0)))))</f>
        <v>28657.726857142858</v>
      </c>
      <c r="R12" s="35">
        <f aca="true" t="shared" si="4" ref="R12:R18">IF(N12=0,0,IF(AND(AG12&gt;=AF12,AG12&lt;=AE12),((AG12-AF12)*12)*P12,0))</f>
        <v>0</v>
      </c>
      <c r="S12" s="35">
        <f aca="true" t="shared" si="5" ref="S12:S18">IF(R12&gt;0,R12,Q12)</f>
        <v>28657.726857142858</v>
      </c>
      <c r="T12" s="35">
        <v>1</v>
      </c>
      <c r="U12" s="35">
        <f aca="true" t="shared" si="6" ref="U12:U18">T12*SUM(Q12:R12)</f>
        <v>28657.726857142858</v>
      </c>
      <c r="V12" s="35"/>
      <c r="W12" s="35">
        <f aca="true" t="shared" si="7" ref="W12:W18">IF(AC12&gt;AD12,0,IF(AE12&lt;AF12,O12,IF(AND(AE12&gt;=AF12,AE12&lt;=AD12),(O12-S12),IF(AND(AF12&lt;=AC12,AD12&gt;=AC12),0,IF(AE12&gt;AD12,((AF12-AC12)*12)*P12,0)))))</f>
        <v>2388.143904759733</v>
      </c>
      <c r="X12" s="35">
        <f aca="true" t="shared" si="8" ref="X12:X18">W12*T12</f>
        <v>2388.143904759733</v>
      </c>
      <c r="Y12" s="35">
        <v>1</v>
      </c>
      <c r="Z12" s="60">
        <f>X12*Y12-2406+18</f>
        <v>0.14390475973277717</v>
      </c>
      <c r="AA12" s="60">
        <f aca="true" t="shared" si="9" ref="AA12:AA18">IF(N12&gt;0,0,Z12+U12*Y12)*Y12</f>
        <v>28657.87076190259</v>
      </c>
      <c r="AB12" s="60">
        <f aca="true" t="shared" si="10" ref="AB12:AB18">IF(N12&gt;0,(M12-Z12)/2,IF(AC12&gt;=AF12,(((M12*T12)*Y12)-AA12)/2,((((M12*T12)*Y12)-Z12)+(((M12*T12)*Y12)-AA12))/2))</f>
        <v>236426.10266666883</v>
      </c>
      <c r="AC12" s="35">
        <f aca="true" t="shared" si="11" ref="AC12:AC30">$D12+(($E12-1)/12)</f>
        <v>2009.5</v>
      </c>
      <c r="AD12" s="35">
        <f aca="true" t="shared" si="12" ref="AD12:AD30">($O$5+1)-($O$2/12)</f>
        <v>2010.5833333333333</v>
      </c>
      <c r="AE12" s="35">
        <f aca="true" t="shared" si="13" ref="AE12:AE30">$J12+(($E12-1)/12)</f>
        <v>2016.5</v>
      </c>
      <c r="AF12" s="35">
        <f aca="true" t="shared" si="14" ref="AF12:AF30">$O$4+($O$3/12)</f>
        <v>2009.5833333333333</v>
      </c>
      <c r="AG12" s="35">
        <f aca="true" t="shared" si="15" ref="AG12:AG30">$K12+(($L12-1)/12)</f>
        <v>-0.08333333333333333</v>
      </c>
    </row>
    <row r="13" spans="1:33" ht="11.25">
      <c r="A13" s="47"/>
      <c r="B13" s="170">
        <v>29</v>
      </c>
      <c r="C13" s="49" t="s">
        <v>435</v>
      </c>
      <c r="D13" s="184">
        <v>2009</v>
      </c>
      <c r="E13" s="51">
        <v>7</v>
      </c>
      <c r="F13" s="52">
        <v>0.2</v>
      </c>
      <c r="G13" s="35"/>
      <c r="H13" s="53" t="s">
        <v>30</v>
      </c>
      <c r="I13" s="54">
        <v>7</v>
      </c>
      <c r="J13" s="189">
        <f t="shared" si="0"/>
        <v>2016</v>
      </c>
      <c r="K13" s="56"/>
      <c r="L13" s="56"/>
      <c r="M13" s="58">
        <v>249776.96</v>
      </c>
      <c r="N13" s="59">
        <v>0</v>
      </c>
      <c r="O13" s="60">
        <f t="shared" si="1"/>
        <v>199821.568</v>
      </c>
      <c r="P13" s="60">
        <f t="shared" si="2"/>
        <v>2378.8281904761902</v>
      </c>
      <c r="Q13" s="60">
        <f t="shared" si="3"/>
        <v>28545.938285714285</v>
      </c>
      <c r="R13" s="35">
        <f t="shared" si="4"/>
        <v>0</v>
      </c>
      <c r="S13" s="35">
        <f t="shared" si="5"/>
        <v>28545.938285714285</v>
      </c>
      <c r="T13" s="35">
        <v>1</v>
      </c>
      <c r="U13" s="35">
        <f t="shared" si="6"/>
        <v>28545.938285714285</v>
      </c>
      <c r="V13" s="35"/>
      <c r="W13" s="35">
        <f t="shared" si="7"/>
        <v>2378.8281904740265</v>
      </c>
      <c r="X13" s="35">
        <f t="shared" si="8"/>
        <v>2378.8281904740265</v>
      </c>
      <c r="Y13" s="35">
        <v>1</v>
      </c>
      <c r="Z13" s="60">
        <f>X13*Y13-2372-7</f>
        <v>-0.17180952597345822</v>
      </c>
      <c r="AA13" s="60">
        <f t="shared" si="9"/>
        <v>28545.76647618831</v>
      </c>
      <c r="AB13" s="60">
        <f t="shared" si="10"/>
        <v>235504.16266666882</v>
      </c>
      <c r="AC13" s="35">
        <f t="shared" si="11"/>
        <v>2009.5</v>
      </c>
      <c r="AD13" s="35">
        <f t="shared" si="12"/>
        <v>2010.5833333333333</v>
      </c>
      <c r="AE13" s="35">
        <f t="shared" si="13"/>
        <v>2016.5</v>
      </c>
      <c r="AF13" s="35">
        <f t="shared" si="14"/>
        <v>2009.5833333333333</v>
      </c>
      <c r="AG13" s="35">
        <f t="shared" si="15"/>
        <v>-0.08333333333333333</v>
      </c>
    </row>
    <row r="14" spans="1:33" ht="11.25">
      <c r="A14" s="47"/>
      <c r="B14" s="170">
        <v>27</v>
      </c>
      <c r="C14" s="49" t="s">
        <v>436</v>
      </c>
      <c r="D14" s="184">
        <v>2009</v>
      </c>
      <c r="E14" s="51">
        <v>7</v>
      </c>
      <c r="F14" s="52">
        <v>0.2</v>
      </c>
      <c r="G14" s="35"/>
      <c r="H14" s="53" t="s">
        <v>30</v>
      </c>
      <c r="I14" s="54">
        <v>7</v>
      </c>
      <c r="J14" s="189">
        <f t="shared" si="0"/>
        <v>2016</v>
      </c>
      <c r="K14" s="56"/>
      <c r="L14" s="56"/>
      <c r="M14" s="58">
        <v>235798.41</v>
      </c>
      <c r="N14" s="59">
        <v>0</v>
      </c>
      <c r="O14" s="60">
        <f t="shared" si="1"/>
        <v>188638.728</v>
      </c>
      <c r="P14" s="60">
        <f t="shared" si="2"/>
        <v>2245.6991428571428</v>
      </c>
      <c r="Q14" s="60">
        <f t="shared" si="3"/>
        <v>26948.389714285713</v>
      </c>
      <c r="R14" s="35">
        <f t="shared" si="4"/>
        <v>0</v>
      </c>
      <c r="S14" s="35">
        <f t="shared" si="5"/>
        <v>26948.389714285713</v>
      </c>
      <c r="T14" s="35">
        <v>1</v>
      </c>
      <c r="U14" s="35">
        <f t="shared" si="6"/>
        <v>26948.389714285713</v>
      </c>
      <c r="V14" s="35"/>
      <c r="W14" s="35">
        <f t="shared" si="7"/>
        <v>2245.6991428551005</v>
      </c>
      <c r="X14" s="35">
        <f t="shared" si="8"/>
        <v>2245.6991428551005</v>
      </c>
      <c r="Y14" s="35">
        <v>1</v>
      </c>
      <c r="Z14" s="60">
        <f>X14*Y14-2257+11</f>
        <v>-0.3008571448995099</v>
      </c>
      <c r="AA14" s="60">
        <f t="shared" si="9"/>
        <v>26948.088857140814</v>
      </c>
      <c r="AB14" s="60">
        <f t="shared" si="10"/>
        <v>222324.51600000204</v>
      </c>
      <c r="AC14" s="35">
        <f t="shared" si="11"/>
        <v>2009.5</v>
      </c>
      <c r="AD14" s="35">
        <f t="shared" si="12"/>
        <v>2010.5833333333333</v>
      </c>
      <c r="AE14" s="35">
        <f t="shared" si="13"/>
        <v>2016.5</v>
      </c>
      <c r="AF14" s="35">
        <f t="shared" si="14"/>
        <v>2009.5833333333333</v>
      </c>
      <c r="AG14" s="35">
        <f t="shared" si="15"/>
        <v>-0.08333333333333333</v>
      </c>
    </row>
    <row r="15" spans="1:33" ht="11.25">
      <c r="A15" s="47"/>
      <c r="B15" s="48"/>
      <c r="C15" s="49" t="s">
        <v>185</v>
      </c>
      <c r="D15" s="184">
        <v>2009</v>
      </c>
      <c r="E15" s="51">
        <v>7</v>
      </c>
      <c r="F15" s="52">
        <v>0.2</v>
      </c>
      <c r="G15" s="35"/>
      <c r="H15" s="53" t="s">
        <v>30</v>
      </c>
      <c r="I15" s="54">
        <v>7</v>
      </c>
      <c r="J15" s="189">
        <f t="shared" si="0"/>
        <v>2016</v>
      </c>
      <c r="K15" s="56"/>
      <c r="L15" s="56"/>
      <c r="M15" s="58">
        <v>21560.97</v>
      </c>
      <c r="N15" s="59">
        <v>0</v>
      </c>
      <c r="O15" s="60">
        <f t="shared" si="1"/>
        <v>17248.776</v>
      </c>
      <c r="P15" s="60">
        <f t="shared" si="2"/>
        <v>205.34257142857143</v>
      </c>
      <c r="Q15" s="60">
        <f t="shared" si="3"/>
        <v>2464.110857142857</v>
      </c>
      <c r="R15" s="35">
        <f t="shared" si="4"/>
        <v>0</v>
      </c>
      <c r="S15" s="35">
        <f t="shared" si="5"/>
        <v>2464.110857142857</v>
      </c>
      <c r="T15" s="35">
        <v>1</v>
      </c>
      <c r="U15" s="35">
        <f t="shared" si="6"/>
        <v>2464.110857142857</v>
      </c>
      <c r="V15" s="35"/>
      <c r="W15" s="35">
        <f t="shared" si="7"/>
        <v>205.34257142838467</v>
      </c>
      <c r="X15" s="35">
        <f t="shared" si="8"/>
        <v>205.34257142838467</v>
      </c>
      <c r="Y15" s="35">
        <v>1</v>
      </c>
      <c r="Z15" s="60">
        <f>X15*Y15-429+224</f>
        <v>0.342571428384673</v>
      </c>
      <c r="AA15" s="60">
        <f t="shared" si="9"/>
        <v>2464.453428571242</v>
      </c>
      <c r="AB15" s="60">
        <f t="shared" si="10"/>
        <v>20328.57200000019</v>
      </c>
      <c r="AC15" s="35">
        <f t="shared" si="11"/>
        <v>2009.5</v>
      </c>
      <c r="AD15" s="35">
        <f t="shared" si="12"/>
        <v>2010.5833333333333</v>
      </c>
      <c r="AE15" s="35">
        <f t="shared" si="13"/>
        <v>2016.5</v>
      </c>
      <c r="AF15" s="35">
        <f t="shared" si="14"/>
        <v>2009.5833333333333</v>
      </c>
      <c r="AG15" s="35">
        <f t="shared" si="15"/>
        <v>-0.08333333333333333</v>
      </c>
    </row>
    <row r="16" spans="1:33" ht="11.25">
      <c r="A16" s="47"/>
      <c r="B16" s="48"/>
      <c r="C16" s="49" t="s">
        <v>433</v>
      </c>
      <c r="D16" s="184">
        <v>2009</v>
      </c>
      <c r="E16" s="51">
        <v>7</v>
      </c>
      <c r="F16" s="52">
        <v>0.2</v>
      </c>
      <c r="G16" s="35"/>
      <c r="H16" s="53" t="s">
        <v>30</v>
      </c>
      <c r="I16" s="54">
        <v>7</v>
      </c>
      <c r="J16" s="189">
        <f>D16+I16</f>
        <v>2016</v>
      </c>
      <c r="K16" s="56"/>
      <c r="L16" s="56"/>
      <c r="M16" s="58">
        <v>6959.28</v>
      </c>
      <c r="N16" s="59">
        <v>0</v>
      </c>
      <c r="O16" s="60">
        <f>M16-M16*F16</f>
        <v>5567.424</v>
      </c>
      <c r="P16" s="60">
        <f>O16/I16/12</f>
        <v>66.27885714285715</v>
      </c>
      <c r="Q16" s="60">
        <f>IF(N16&gt;0,0,IF(OR(AC16&gt;AD16,AE16&lt;AF16),0,IF(AND(AE16&gt;=AF16,AE16&lt;=AD16),P16*((AE16-AF16)*12),IF(AND(AF16&lt;=AC16,AD16&gt;=AC16),((AD16-AC16)*12)*P16,IF(AE16&gt;AD16,12*P16,0)))))</f>
        <v>795.3462857142858</v>
      </c>
      <c r="R16" s="35">
        <f>IF(N16=0,0,IF(AND(AG16&gt;=AF16,AG16&lt;=AE16),((AG16-AF16)*12)*P16,0))</f>
        <v>0</v>
      </c>
      <c r="S16" s="35">
        <f>IF(R16&gt;0,R16,Q16)</f>
        <v>795.3462857142858</v>
      </c>
      <c r="T16" s="35">
        <v>1</v>
      </c>
      <c r="U16" s="35">
        <f>T16*SUM(Q16:R16)</f>
        <v>795.3462857142858</v>
      </c>
      <c r="V16" s="35"/>
      <c r="W16" s="35">
        <f>IF(AC16&gt;AD16,0,IF(AE16&lt;AF16,O16,IF(AND(AE16&gt;=AF16,AE16&lt;=AD16),(O16-S16),IF(AND(AF16&lt;=AC16,AD16&gt;=AC16),0,IF(AE16&gt;AD16,((AF16-AC16)*12)*P16,0)))))</f>
        <v>66.27885714279687</v>
      </c>
      <c r="X16" s="35">
        <f>W16*T16</f>
        <v>66.27885714279687</v>
      </c>
      <c r="Y16" s="35">
        <v>1</v>
      </c>
      <c r="Z16" s="60">
        <f>X16*Y16-429+363</f>
        <v>0.27885714279688045</v>
      </c>
      <c r="AA16" s="60">
        <f>IF(N16&gt;0,0,Z16+U16*Y16)*Y16</f>
        <v>795.6251428570827</v>
      </c>
      <c r="AB16" s="60">
        <f>IF(N16&gt;0,(M16-Z16)/2,IF(AC16&gt;=AF16,(((M16*T16)*Y16)-AA16)/2,((((M16*T16)*Y16)-Z16)+(((M16*T16)*Y16)-AA16))/2))</f>
        <v>6561.32800000006</v>
      </c>
      <c r="AC16" s="35">
        <f t="shared" si="11"/>
        <v>2009.5</v>
      </c>
      <c r="AD16" s="35">
        <f t="shared" si="12"/>
        <v>2010.5833333333333</v>
      </c>
      <c r="AE16" s="35">
        <f t="shared" si="13"/>
        <v>2016.5</v>
      </c>
      <c r="AF16" s="35">
        <f t="shared" si="14"/>
        <v>2009.5833333333333</v>
      </c>
      <c r="AG16" s="35">
        <f t="shared" si="15"/>
        <v>-0.08333333333333333</v>
      </c>
    </row>
    <row r="17" spans="1:33" ht="11.25">
      <c r="A17" s="47"/>
      <c r="B17" s="170">
        <v>17</v>
      </c>
      <c r="C17" s="49" t="s">
        <v>411</v>
      </c>
      <c r="D17" s="184">
        <v>2009</v>
      </c>
      <c r="E17" s="51">
        <v>7</v>
      </c>
      <c r="F17" s="52">
        <v>0.33</v>
      </c>
      <c r="G17" s="35"/>
      <c r="H17" s="53" t="s">
        <v>30</v>
      </c>
      <c r="I17" s="54">
        <v>5</v>
      </c>
      <c r="J17" s="189">
        <f t="shared" si="0"/>
        <v>2014</v>
      </c>
      <c r="K17" s="56"/>
      <c r="L17" s="56"/>
      <c r="M17" s="58">
        <v>22500</v>
      </c>
      <c r="N17" s="59">
        <v>0</v>
      </c>
      <c r="O17" s="60">
        <f t="shared" si="1"/>
        <v>15075</v>
      </c>
      <c r="P17" s="60">
        <f t="shared" si="2"/>
        <v>251.25</v>
      </c>
      <c r="Q17" s="60">
        <f t="shared" si="3"/>
        <v>3015</v>
      </c>
      <c r="R17" s="35">
        <f t="shared" si="4"/>
        <v>0</v>
      </c>
      <c r="S17" s="35">
        <f t="shared" si="5"/>
        <v>3015</v>
      </c>
      <c r="T17" s="35">
        <v>1</v>
      </c>
      <c r="U17" s="35">
        <f t="shared" si="6"/>
        <v>3015</v>
      </c>
      <c r="V17" s="35"/>
      <c r="W17" s="35">
        <f t="shared" si="7"/>
        <v>251.2499999997715</v>
      </c>
      <c r="X17" s="35">
        <f t="shared" si="8"/>
        <v>251.2499999997715</v>
      </c>
      <c r="Y17" s="35">
        <v>1</v>
      </c>
      <c r="Z17" s="60">
        <f>X17*Y17-224-27</f>
        <v>0.24999999977148946</v>
      </c>
      <c r="AA17" s="60">
        <f t="shared" si="9"/>
        <v>3015.2499999997717</v>
      </c>
      <c r="AB17" s="60">
        <f t="shared" si="10"/>
        <v>20992.25000000023</v>
      </c>
      <c r="AC17" s="35">
        <f t="shared" si="11"/>
        <v>2009.5</v>
      </c>
      <c r="AD17" s="35">
        <f t="shared" si="12"/>
        <v>2010.5833333333333</v>
      </c>
      <c r="AE17" s="35">
        <f t="shared" si="13"/>
        <v>2014.5</v>
      </c>
      <c r="AF17" s="35">
        <f t="shared" si="14"/>
        <v>2009.5833333333333</v>
      </c>
      <c r="AG17" s="35">
        <f t="shared" si="15"/>
        <v>-0.08333333333333333</v>
      </c>
    </row>
    <row r="18" spans="1:33" ht="11.25">
      <c r="A18" s="47"/>
      <c r="B18" s="170" t="s">
        <v>437</v>
      </c>
      <c r="C18" s="49" t="s">
        <v>186</v>
      </c>
      <c r="D18" s="184">
        <v>2009</v>
      </c>
      <c r="E18" s="51">
        <v>7</v>
      </c>
      <c r="F18" s="52">
        <v>0.2</v>
      </c>
      <c r="G18" s="35"/>
      <c r="H18" s="53" t="s">
        <v>30</v>
      </c>
      <c r="I18" s="54">
        <v>7</v>
      </c>
      <c r="J18" s="189">
        <f t="shared" si="0"/>
        <v>2016</v>
      </c>
      <c r="K18" s="56"/>
      <c r="L18" s="56"/>
      <c r="M18" s="58">
        <v>72932.03</v>
      </c>
      <c r="N18" s="59">
        <v>0</v>
      </c>
      <c r="O18" s="60">
        <f t="shared" si="1"/>
        <v>58345.623999999996</v>
      </c>
      <c r="P18" s="60">
        <f t="shared" si="2"/>
        <v>694.590761904762</v>
      </c>
      <c r="Q18" s="60">
        <f t="shared" si="3"/>
        <v>8335.089142857143</v>
      </c>
      <c r="R18" s="35">
        <f t="shared" si="4"/>
        <v>0</v>
      </c>
      <c r="S18" s="35">
        <f t="shared" si="5"/>
        <v>8335.089142857143</v>
      </c>
      <c r="T18" s="35">
        <v>1</v>
      </c>
      <c r="U18" s="35">
        <f t="shared" si="6"/>
        <v>8335.089142857143</v>
      </c>
      <c r="V18" s="35"/>
      <c r="W18" s="35">
        <f t="shared" si="7"/>
        <v>694.5907619041302</v>
      </c>
      <c r="X18" s="35">
        <f t="shared" si="8"/>
        <v>694.5907619041302</v>
      </c>
      <c r="Y18" s="35">
        <v>1</v>
      </c>
      <c r="Z18" s="60">
        <f>X18*Y18-781+86</f>
        <v>-0.40923809586979587</v>
      </c>
      <c r="AA18" s="60">
        <f t="shared" si="9"/>
        <v>8334.679904761273</v>
      </c>
      <c r="AB18" s="60">
        <f t="shared" si="10"/>
        <v>68764.8946666673</v>
      </c>
      <c r="AC18" s="35">
        <f t="shared" si="11"/>
        <v>2009.5</v>
      </c>
      <c r="AD18" s="35">
        <f t="shared" si="12"/>
        <v>2010.5833333333333</v>
      </c>
      <c r="AE18" s="35">
        <f t="shared" si="13"/>
        <v>2016.5</v>
      </c>
      <c r="AF18" s="35">
        <f t="shared" si="14"/>
        <v>2009.5833333333333</v>
      </c>
      <c r="AG18" s="35">
        <f t="shared" si="15"/>
        <v>-0.08333333333333333</v>
      </c>
    </row>
    <row r="19" spans="1:33" ht="11.25">
      <c r="A19" s="29"/>
      <c r="B19" s="61"/>
      <c r="C19" s="62" t="s">
        <v>187</v>
      </c>
      <c r="D19" s="185"/>
      <c r="E19" s="64"/>
      <c r="F19" s="65"/>
      <c r="G19" s="66"/>
      <c r="H19" s="36"/>
      <c r="I19" s="67"/>
      <c r="J19" s="33"/>
      <c r="K19" s="69"/>
      <c r="L19" s="69"/>
      <c r="M19" s="70">
        <f>SUM(M12:M18)</f>
        <v>860282.76</v>
      </c>
      <c r="N19" s="71"/>
      <c r="O19" s="70">
        <f aca="true" t="shared" si="16" ref="O19:AB19">SUM(O12:O18)</f>
        <v>685301.2079999999</v>
      </c>
      <c r="P19" s="70">
        <f t="shared" si="16"/>
        <v>8230.133428571427</v>
      </c>
      <c r="Q19" s="70">
        <f t="shared" si="16"/>
        <v>98761.60114285715</v>
      </c>
      <c r="R19" s="70">
        <f t="shared" si="16"/>
        <v>0</v>
      </c>
      <c r="S19" s="70">
        <f t="shared" si="16"/>
        <v>98761.60114285715</v>
      </c>
      <c r="T19" s="70">
        <f t="shared" si="16"/>
        <v>7</v>
      </c>
      <c r="U19" s="70">
        <f t="shared" si="16"/>
        <v>98761.60114285715</v>
      </c>
      <c r="V19" s="70">
        <f t="shared" si="16"/>
        <v>0</v>
      </c>
      <c r="W19" s="70">
        <f t="shared" si="16"/>
        <v>8230.133428563944</v>
      </c>
      <c r="X19" s="70">
        <f t="shared" si="16"/>
        <v>8230.133428563944</v>
      </c>
      <c r="Y19" s="70">
        <f t="shared" si="16"/>
        <v>7</v>
      </c>
      <c r="Z19" s="70">
        <f>SUM(Z12:Z18)</f>
        <v>0.13342856394305613</v>
      </c>
      <c r="AA19" s="70">
        <f t="shared" si="16"/>
        <v>98761.73457142108</v>
      </c>
      <c r="AB19" s="70">
        <f t="shared" si="16"/>
        <v>810901.8260000075</v>
      </c>
      <c r="AC19" s="66"/>
      <c r="AD19" s="66"/>
      <c r="AE19" s="66"/>
      <c r="AF19" s="66"/>
      <c r="AG19" s="66"/>
    </row>
    <row r="20" spans="1:33" ht="11.25">
      <c r="A20" s="47"/>
      <c r="B20" s="48"/>
      <c r="C20" s="49"/>
      <c r="D20" s="184"/>
      <c r="E20" s="51"/>
      <c r="F20" s="52"/>
      <c r="G20" s="35"/>
      <c r="H20" s="53"/>
      <c r="I20" s="54"/>
      <c r="J20" s="189"/>
      <c r="K20" s="56"/>
      <c r="L20" s="56"/>
      <c r="M20" s="58"/>
      <c r="N20" s="59"/>
      <c r="O20" s="60"/>
      <c r="P20" s="60"/>
      <c r="Q20" s="60"/>
      <c r="R20" s="35"/>
      <c r="S20" s="35"/>
      <c r="T20" s="35"/>
      <c r="U20" s="35"/>
      <c r="V20" s="35"/>
      <c r="W20" s="35"/>
      <c r="X20" s="35"/>
      <c r="Y20" s="35"/>
      <c r="Z20" s="60"/>
      <c r="AA20" s="60"/>
      <c r="AB20" s="60"/>
      <c r="AC20" s="35"/>
      <c r="AD20" s="35"/>
      <c r="AE20" s="35"/>
      <c r="AF20" s="35"/>
      <c r="AG20" s="35"/>
    </row>
    <row r="21" spans="1:33" ht="11.25">
      <c r="A21" s="47"/>
      <c r="B21" s="48">
        <v>10500</v>
      </c>
      <c r="C21" s="49" t="s">
        <v>188</v>
      </c>
      <c r="D21" s="184">
        <v>2009</v>
      </c>
      <c r="E21" s="51">
        <v>7</v>
      </c>
      <c r="F21" s="52"/>
      <c r="G21" s="35"/>
      <c r="H21" s="53" t="s">
        <v>30</v>
      </c>
      <c r="I21" s="54">
        <v>10</v>
      </c>
      <c r="J21" s="189">
        <f aca="true" t="shared" si="17" ref="J21:J30">D21+I21</f>
        <v>2019</v>
      </c>
      <c r="K21" s="56"/>
      <c r="L21" s="56"/>
      <c r="M21" s="58">
        <f>B21*45.4836</f>
        <v>477577.80000000005</v>
      </c>
      <c r="N21" s="59">
        <v>0</v>
      </c>
      <c r="O21" s="60">
        <f aca="true" t="shared" si="18" ref="O21:O30">M21-M21*F21</f>
        <v>477577.80000000005</v>
      </c>
      <c r="P21" s="60">
        <f aca="true" t="shared" si="19" ref="P21:P30">O21/I21/12</f>
        <v>3979.8150000000005</v>
      </c>
      <c r="Q21" s="60">
        <f aca="true" t="shared" si="20" ref="Q21:Q30">IF(N21&gt;0,0,IF(OR(AC21&gt;AD21,AE21&lt;AF21),0,IF(AND(AE21&gt;=AF21,AE21&lt;=AD21),P21*((AE21-AF21)*12),IF(AND(AF21&lt;=AC21,AD21&gt;=AC21),((AD21-AC21)*12)*P21,IF(AE21&gt;AD21,12*P21,0)))))</f>
        <v>47757.780000000006</v>
      </c>
      <c r="R21" s="35">
        <f aca="true" t="shared" si="21" ref="R21:R30">IF(N21=0,0,IF(AND(AG21&gt;=AF21,AG21&lt;=AE21),((AG21-AF21)*12)*P21,0))</f>
        <v>0</v>
      </c>
      <c r="S21" s="35">
        <f aca="true" t="shared" si="22" ref="S21:S30">IF(R21&gt;0,R21,Q21)</f>
        <v>47757.780000000006</v>
      </c>
      <c r="T21" s="35">
        <v>1</v>
      </c>
      <c r="U21" s="35">
        <f aca="true" t="shared" si="23" ref="U21:U30">T21*SUM(Q21:R21)</f>
        <v>47757.780000000006</v>
      </c>
      <c r="V21" s="35"/>
      <c r="W21" s="35">
        <f aca="true" t="shared" si="24" ref="W21:W30">IF(AC21&gt;AD21,0,IF(AE21&lt;AF21,O21,IF(AND(AE21&gt;=AF21,AE21&lt;=AD21),(O21-S21),IF(AND(AF21&lt;=AC21,AD21&gt;=AC21),0,IF(AE21&gt;AD21,((AF21-AC21)*12)*P21,0)))))</f>
        <v>3979.8149999963807</v>
      </c>
      <c r="X21" s="35">
        <f aca="true" t="shared" si="25" ref="X21:X30">W21*T21</f>
        <v>3979.8149999963807</v>
      </c>
      <c r="Y21" s="35">
        <v>1</v>
      </c>
      <c r="Z21" s="60">
        <f>X21*Y21-3980</f>
        <v>-0.1850000036192796</v>
      </c>
      <c r="AA21" s="60">
        <f aca="true" t="shared" si="26" ref="AA21:AA30">IF(N21&gt;0,0,Z21+U21*Y21)*Y21</f>
        <v>47757.594999996385</v>
      </c>
      <c r="AB21" s="60">
        <f aca="true" t="shared" si="27" ref="AB21:AB30">IF(N21&gt;0,(M21-Z21)/2,IF(AC21&gt;=AF21,(((M21*T21)*Y21)-AA21)/2,((((M21*T21)*Y21)-Z21)+(((M21*T21)*Y21)-AA21))/2))</f>
        <v>453699.0950000037</v>
      </c>
      <c r="AC21" s="35">
        <f t="shared" si="11"/>
        <v>2009.5</v>
      </c>
      <c r="AD21" s="35">
        <f t="shared" si="12"/>
        <v>2010.5833333333333</v>
      </c>
      <c r="AE21" s="35">
        <f t="shared" si="13"/>
        <v>2019.5</v>
      </c>
      <c r="AF21" s="35">
        <f t="shared" si="14"/>
        <v>2009.5833333333333</v>
      </c>
      <c r="AG21" s="35">
        <f t="shared" si="15"/>
        <v>-0.08333333333333333</v>
      </c>
    </row>
    <row r="22" spans="1:33" ht="11.25">
      <c r="A22" s="47"/>
      <c r="B22" s="48">
        <v>500</v>
      </c>
      <c r="C22" s="49" t="s">
        <v>189</v>
      </c>
      <c r="D22" s="184">
        <v>2009</v>
      </c>
      <c r="E22" s="51">
        <v>7</v>
      </c>
      <c r="F22" s="52"/>
      <c r="G22" s="35"/>
      <c r="H22" s="53" t="s">
        <v>30</v>
      </c>
      <c r="I22" s="54">
        <v>10</v>
      </c>
      <c r="J22" s="189">
        <f t="shared" si="17"/>
        <v>2019</v>
      </c>
      <c r="K22" s="56"/>
      <c r="L22" s="56"/>
      <c r="M22" s="58">
        <f>B22*45.4836</f>
        <v>22741.800000000003</v>
      </c>
      <c r="N22" s="59">
        <v>0</v>
      </c>
      <c r="O22" s="60">
        <f t="shared" si="18"/>
        <v>22741.800000000003</v>
      </c>
      <c r="P22" s="60">
        <f t="shared" si="19"/>
        <v>189.51500000000001</v>
      </c>
      <c r="Q22" s="60">
        <f t="shared" si="20"/>
        <v>2274.1800000000003</v>
      </c>
      <c r="R22" s="35">
        <f t="shared" si="21"/>
        <v>0</v>
      </c>
      <c r="S22" s="35">
        <f t="shared" si="22"/>
        <v>2274.1800000000003</v>
      </c>
      <c r="T22" s="35">
        <v>1</v>
      </c>
      <c r="U22" s="35">
        <f t="shared" si="23"/>
        <v>2274.1800000000003</v>
      </c>
      <c r="V22" s="35"/>
      <c r="W22" s="35">
        <f t="shared" si="24"/>
        <v>189.51499999982767</v>
      </c>
      <c r="X22" s="35">
        <f t="shared" si="25"/>
        <v>189.51499999982767</v>
      </c>
      <c r="Y22" s="35">
        <v>1</v>
      </c>
      <c r="Z22" s="60">
        <f>X22*Y22-190</f>
        <v>-0.48500000017233447</v>
      </c>
      <c r="AA22" s="60">
        <f t="shared" si="26"/>
        <v>2273.694999999828</v>
      </c>
      <c r="AB22" s="60">
        <f t="shared" si="27"/>
        <v>21605.195000000174</v>
      </c>
      <c r="AC22" s="35">
        <f t="shared" si="11"/>
        <v>2009.5</v>
      </c>
      <c r="AD22" s="35">
        <f t="shared" si="12"/>
        <v>2010.5833333333333</v>
      </c>
      <c r="AE22" s="35">
        <f t="shared" si="13"/>
        <v>2019.5</v>
      </c>
      <c r="AF22" s="35">
        <f t="shared" si="14"/>
        <v>2009.5833333333333</v>
      </c>
      <c r="AG22" s="35">
        <f t="shared" si="15"/>
        <v>-0.08333333333333333</v>
      </c>
    </row>
    <row r="23" spans="1:33" ht="11.25">
      <c r="A23" s="29"/>
      <c r="B23" s="61"/>
      <c r="C23" s="62" t="s">
        <v>190</v>
      </c>
      <c r="D23" s="185"/>
      <c r="E23" s="64"/>
      <c r="F23" s="65"/>
      <c r="G23" s="66"/>
      <c r="H23" s="36"/>
      <c r="I23" s="67"/>
      <c r="J23" s="33"/>
      <c r="K23" s="69"/>
      <c r="L23" s="69"/>
      <c r="M23" s="70">
        <f>SUM(M21:M22)</f>
        <v>500319.60000000003</v>
      </c>
      <c r="N23" s="71"/>
      <c r="O23" s="70">
        <f aca="true" t="shared" si="28" ref="O23:AB23">SUM(O21:O22)</f>
        <v>500319.60000000003</v>
      </c>
      <c r="P23" s="70">
        <f t="shared" si="28"/>
        <v>4169.330000000001</v>
      </c>
      <c r="Q23" s="70">
        <f t="shared" si="28"/>
        <v>50031.96000000001</v>
      </c>
      <c r="R23" s="70">
        <f t="shared" si="28"/>
        <v>0</v>
      </c>
      <c r="S23" s="70">
        <f t="shared" si="28"/>
        <v>50031.96000000001</v>
      </c>
      <c r="T23" s="70">
        <f t="shared" si="28"/>
        <v>2</v>
      </c>
      <c r="U23" s="70">
        <f t="shared" si="28"/>
        <v>50031.96000000001</v>
      </c>
      <c r="V23" s="70">
        <f t="shared" si="28"/>
        <v>0</v>
      </c>
      <c r="W23" s="70">
        <f t="shared" si="28"/>
        <v>4169.329999996208</v>
      </c>
      <c r="X23" s="70">
        <f t="shared" si="28"/>
        <v>4169.329999996208</v>
      </c>
      <c r="Y23" s="70">
        <f t="shared" si="28"/>
        <v>2</v>
      </c>
      <c r="Z23" s="70">
        <f>SUM(Z21:Z22)+1</f>
        <v>0.32999999620838594</v>
      </c>
      <c r="AA23" s="70">
        <f t="shared" si="28"/>
        <v>50031.28999999621</v>
      </c>
      <c r="AB23" s="70">
        <f t="shared" si="28"/>
        <v>475304.2900000039</v>
      </c>
      <c r="AC23" s="66"/>
      <c r="AD23" s="66"/>
      <c r="AE23" s="66"/>
      <c r="AF23" s="66"/>
      <c r="AG23" s="66"/>
    </row>
    <row r="24" spans="1:33" ht="11.25">
      <c r="A24" s="47"/>
      <c r="B24" s="48"/>
      <c r="C24" s="49"/>
      <c r="D24" s="184"/>
      <c r="E24" s="51"/>
      <c r="F24" s="52"/>
      <c r="G24" s="35"/>
      <c r="H24" s="53"/>
      <c r="I24" s="54"/>
      <c r="J24" s="189"/>
      <c r="K24" s="56"/>
      <c r="L24" s="56"/>
      <c r="M24" s="58"/>
      <c r="N24" s="59"/>
      <c r="O24" s="60"/>
      <c r="P24" s="60"/>
      <c r="Q24" s="60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35"/>
      <c r="AD24" s="35"/>
      <c r="AE24" s="35"/>
      <c r="AF24" s="35"/>
      <c r="AG24" s="35"/>
    </row>
    <row r="25" spans="1:33" ht="11.25">
      <c r="A25" s="47"/>
      <c r="B25" s="48"/>
      <c r="C25" s="49" t="s">
        <v>191</v>
      </c>
      <c r="D25" s="184">
        <v>2009</v>
      </c>
      <c r="E25" s="51">
        <v>7</v>
      </c>
      <c r="F25" s="52"/>
      <c r="G25" s="35"/>
      <c r="H25" s="53" t="s">
        <v>30</v>
      </c>
      <c r="I25" s="54">
        <v>10</v>
      </c>
      <c r="J25" s="189">
        <f t="shared" si="17"/>
        <v>2019</v>
      </c>
      <c r="K25" s="56"/>
      <c r="L25" s="56"/>
      <c r="M25" s="58">
        <v>9000</v>
      </c>
      <c r="N25" s="59">
        <v>0</v>
      </c>
      <c r="O25" s="60">
        <f t="shared" si="18"/>
        <v>9000</v>
      </c>
      <c r="P25" s="60">
        <f t="shared" si="19"/>
        <v>75</v>
      </c>
      <c r="Q25" s="60">
        <f t="shared" si="20"/>
        <v>900</v>
      </c>
      <c r="R25" s="35">
        <f t="shared" si="21"/>
        <v>0</v>
      </c>
      <c r="S25" s="35">
        <f t="shared" si="22"/>
        <v>900</v>
      </c>
      <c r="T25" s="35">
        <v>1</v>
      </c>
      <c r="U25" s="35">
        <f t="shared" si="23"/>
        <v>900</v>
      </c>
      <c r="V25" s="35"/>
      <c r="W25" s="35">
        <f t="shared" si="24"/>
        <v>74.99999999993179</v>
      </c>
      <c r="X25" s="35">
        <f t="shared" si="25"/>
        <v>74.99999999993179</v>
      </c>
      <c r="Y25" s="35">
        <v>1</v>
      </c>
      <c r="Z25" s="60">
        <f>X25*Y25-75</f>
        <v>-6.821210263296962E-11</v>
      </c>
      <c r="AA25" s="60">
        <f t="shared" si="26"/>
        <v>899.9999999999318</v>
      </c>
      <c r="AB25" s="60">
        <f t="shared" si="27"/>
        <v>8550.00000000007</v>
      </c>
      <c r="AC25" s="35">
        <f t="shared" si="11"/>
        <v>2009.5</v>
      </c>
      <c r="AD25" s="35">
        <f t="shared" si="12"/>
        <v>2010.5833333333333</v>
      </c>
      <c r="AE25" s="35">
        <f t="shared" si="13"/>
        <v>2019.5</v>
      </c>
      <c r="AF25" s="35">
        <f t="shared" si="14"/>
        <v>2009.5833333333333</v>
      </c>
      <c r="AG25" s="35">
        <f t="shared" si="15"/>
        <v>-0.08333333333333333</v>
      </c>
    </row>
    <row r="26" spans="1:33" ht="11.25">
      <c r="A26" s="47"/>
      <c r="B26" s="48"/>
      <c r="C26" s="49"/>
      <c r="D26" s="184"/>
      <c r="E26" s="51"/>
      <c r="F26" s="52"/>
      <c r="G26" s="35"/>
      <c r="H26" s="53"/>
      <c r="I26" s="54"/>
      <c r="J26" s="189"/>
      <c r="K26" s="56"/>
      <c r="L26" s="56"/>
      <c r="M26" s="58"/>
      <c r="N26" s="59"/>
      <c r="O26" s="60"/>
      <c r="P26" s="60"/>
      <c r="Q26" s="60"/>
      <c r="R26" s="35"/>
      <c r="S26" s="35"/>
      <c r="T26" s="35"/>
      <c r="U26" s="35"/>
      <c r="V26" s="35"/>
      <c r="W26" s="35"/>
      <c r="X26" s="35"/>
      <c r="Y26" s="35"/>
      <c r="Z26" s="60"/>
      <c r="AA26" s="60"/>
      <c r="AB26" s="60"/>
      <c r="AC26" s="35"/>
      <c r="AD26" s="35"/>
      <c r="AE26" s="35"/>
      <c r="AF26" s="35"/>
      <c r="AG26" s="35"/>
    </row>
    <row r="27" spans="1:33" ht="11.25">
      <c r="A27" s="47"/>
      <c r="B27" s="48"/>
      <c r="C27" s="49" t="s">
        <v>152</v>
      </c>
      <c r="D27" s="184">
        <v>2009</v>
      </c>
      <c r="E27" s="51">
        <v>7</v>
      </c>
      <c r="F27" s="52"/>
      <c r="G27" s="35"/>
      <c r="H27" s="53" t="s">
        <v>30</v>
      </c>
      <c r="I27" s="54">
        <v>10</v>
      </c>
      <c r="J27" s="189">
        <f t="shared" si="17"/>
        <v>2019</v>
      </c>
      <c r="K27" s="56"/>
      <c r="L27" s="56"/>
      <c r="M27" s="58">
        <v>9686.58</v>
      </c>
      <c r="N27" s="59">
        <v>0</v>
      </c>
      <c r="O27" s="60">
        <f t="shared" si="18"/>
        <v>9686.58</v>
      </c>
      <c r="P27" s="60">
        <f t="shared" si="19"/>
        <v>80.7215</v>
      </c>
      <c r="Q27" s="60">
        <f t="shared" si="20"/>
        <v>968.6580000000001</v>
      </c>
      <c r="R27" s="35">
        <f t="shared" si="21"/>
        <v>0</v>
      </c>
      <c r="S27" s="35">
        <f t="shared" si="22"/>
        <v>968.6580000000001</v>
      </c>
      <c r="T27" s="35">
        <v>1</v>
      </c>
      <c r="U27" s="35">
        <f t="shared" si="23"/>
        <v>968.6580000000001</v>
      </c>
      <c r="V27" s="35"/>
      <c r="W27" s="35">
        <f t="shared" si="24"/>
        <v>80.72149999992659</v>
      </c>
      <c r="X27" s="35">
        <f t="shared" si="25"/>
        <v>80.72149999992659</v>
      </c>
      <c r="Y27" s="35">
        <v>1</v>
      </c>
      <c r="Z27" s="60">
        <f>X27*Y27-81</f>
        <v>-0.27850000007340725</v>
      </c>
      <c r="AA27" s="60">
        <f t="shared" si="26"/>
        <v>968.3794999999267</v>
      </c>
      <c r="AB27" s="60">
        <f t="shared" si="27"/>
        <v>9202.529500000073</v>
      </c>
      <c r="AC27" s="35">
        <f t="shared" si="11"/>
        <v>2009.5</v>
      </c>
      <c r="AD27" s="35">
        <f t="shared" si="12"/>
        <v>2010.5833333333333</v>
      </c>
      <c r="AE27" s="35">
        <f t="shared" si="13"/>
        <v>2019.5</v>
      </c>
      <c r="AF27" s="35">
        <f t="shared" si="14"/>
        <v>2009.5833333333333</v>
      </c>
      <c r="AG27" s="35">
        <f t="shared" si="15"/>
        <v>-0.08333333333333333</v>
      </c>
    </row>
    <row r="28" spans="1:33" ht="11.25">
      <c r="A28" s="47"/>
      <c r="B28" s="48"/>
      <c r="C28" s="49"/>
      <c r="D28" s="184"/>
      <c r="E28" s="51"/>
      <c r="F28" s="52"/>
      <c r="G28" s="35"/>
      <c r="H28" s="53"/>
      <c r="I28" s="54"/>
      <c r="J28" s="189"/>
      <c r="K28" s="56"/>
      <c r="L28" s="56"/>
      <c r="M28" s="58"/>
      <c r="N28" s="59"/>
      <c r="O28" s="60"/>
      <c r="P28" s="60"/>
      <c r="Q28" s="60"/>
      <c r="R28" s="35"/>
      <c r="S28" s="35"/>
      <c r="T28" s="35"/>
      <c r="U28" s="35"/>
      <c r="V28" s="35"/>
      <c r="W28" s="35"/>
      <c r="X28" s="35"/>
      <c r="Y28" s="35"/>
      <c r="Z28" s="60"/>
      <c r="AA28" s="60"/>
      <c r="AB28" s="60"/>
      <c r="AC28" s="35"/>
      <c r="AD28" s="35"/>
      <c r="AE28" s="35"/>
      <c r="AF28" s="35"/>
      <c r="AG28" s="35"/>
    </row>
    <row r="29" spans="1:33" ht="11.25">
      <c r="A29" s="47"/>
      <c r="B29" s="48"/>
      <c r="C29" s="49" t="s">
        <v>192</v>
      </c>
      <c r="D29" s="184">
        <v>2009</v>
      </c>
      <c r="E29" s="51">
        <v>7</v>
      </c>
      <c r="F29" s="52"/>
      <c r="G29" s="35"/>
      <c r="H29" s="53" t="s">
        <v>30</v>
      </c>
      <c r="I29" s="54">
        <v>7</v>
      </c>
      <c r="J29" s="189">
        <f t="shared" si="17"/>
        <v>2016</v>
      </c>
      <c r="K29" s="56"/>
      <c r="L29" s="56"/>
      <c r="M29" s="58">
        <v>1200</v>
      </c>
      <c r="N29" s="59">
        <v>0</v>
      </c>
      <c r="O29" s="60">
        <f t="shared" si="18"/>
        <v>1200</v>
      </c>
      <c r="P29" s="60">
        <f t="shared" si="19"/>
        <v>14.285714285714285</v>
      </c>
      <c r="Q29" s="60">
        <f t="shared" si="20"/>
        <v>171.42857142857142</v>
      </c>
      <c r="R29" s="35">
        <f t="shared" si="21"/>
        <v>0</v>
      </c>
      <c r="S29" s="35">
        <f t="shared" si="22"/>
        <v>171.42857142857142</v>
      </c>
      <c r="T29" s="35">
        <v>1</v>
      </c>
      <c r="U29" s="35">
        <f t="shared" si="23"/>
        <v>171.42857142857142</v>
      </c>
      <c r="V29" s="35"/>
      <c r="W29" s="35">
        <f t="shared" si="24"/>
        <v>14.285714285701292</v>
      </c>
      <c r="X29" s="35">
        <f t="shared" si="25"/>
        <v>14.285714285701292</v>
      </c>
      <c r="Y29" s="35">
        <v>1</v>
      </c>
      <c r="Z29" s="60">
        <f>X29*Y29-14</f>
        <v>0.2857142857012924</v>
      </c>
      <c r="AA29" s="60">
        <f t="shared" si="26"/>
        <v>171.7142857142727</v>
      </c>
      <c r="AB29" s="60">
        <f t="shared" si="27"/>
        <v>1114.0000000000132</v>
      </c>
      <c r="AC29" s="35">
        <f t="shared" si="11"/>
        <v>2009.5</v>
      </c>
      <c r="AD29" s="35">
        <f t="shared" si="12"/>
        <v>2010.5833333333333</v>
      </c>
      <c r="AE29" s="35">
        <f t="shared" si="13"/>
        <v>2016.5</v>
      </c>
      <c r="AF29" s="35">
        <f t="shared" si="14"/>
        <v>2009.5833333333333</v>
      </c>
      <c r="AG29" s="35">
        <f t="shared" si="15"/>
        <v>-0.08333333333333333</v>
      </c>
    </row>
    <row r="30" spans="1:33" ht="11.25">
      <c r="A30" s="73"/>
      <c r="B30" s="74"/>
      <c r="C30" s="75" t="s">
        <v>193</v>
      </c>
      <c r="D30" s="186">
        <v>2009</v>
      </c>
      <c r="E30" s="51">
        <v>7</v>
      </c>
      <c r="F30" s="77"/>
      <c r="G30" s="78"/>
      <c r="H30" s="79" t="s">
        <v>30</v>
      </c>
      <c r="I30" s="80">
        <v>5</v>
      </c>
      <c r="J30" s="190">
        <f t="shared" si="17"/>
        <v>2014</v>
      </c>
      <c r="K30" s="82"/>
      <c r="L30" s="82"/>
      <c r="M30" s="83">
        <v>1200</v>
      </c>
      <c r="N30" s="59">
        <v>0</v>
      </c>
      <c r="O30" s="84">
        <f t="shared" si="18"/>
        <v>1200</v>
      </c>
      <c r="P30" s="84">
        <f t="shared" si="19"/>
        <v>20</v>
      </c>
      <c r="Q30" s="84">
        <f t="shared" si="20"/>
        <v>240</v>
      </c>
      <c r="R30" s="78">
        <f t="shared" si="21"/>
        <v>0</v>
      </c>
      <c r="S30" s="78">
        <f t="shared" si="22"/>
        <v>240</v>
      </c>
      <c r="T30" s="78">
        <v>1</v>
      </c>
      <c r="U30" s="78">
        <f t="shared" si="23"/>
        <v>240</v>
      </c>
      <c r="V30" s="78"/>
      <c r="W30" s="78">
        <f t="shared" si="24"/>
        <v>19.99999999998181</v>
      </c>
      <c r="X30" s="78">
        <f t="shared" si="25"/>
        <v>19.99999999998181</v>
      </c>
      <c r="Y30" s="78">
        <v>1</v>
      </c>
      <c r="Z30" s="84">
        <f>X30*Y30-20</f>
        <v>-1.8189894035458565E-11</v>
      </c>
      <c r="AA30" s="84">
        <f t="shared" si="26"/>
        <v>239.9999999999818</v>
      </c>
      <c r="AB30" s="84">
        <f t="shared" si="27"/>
        <v>1080.0000000000182</v>
      </c>
      <c r="AC30" s="78">
        <f t="shared" si="11"/>
        <v>2009.5</v>
      </c>
      <c r="AD30" s="78">
        <f t="shared" si="12"/>
        <v>2010.5833333333333</v>
      </c>
      <c r="AE30" s="78">
        <f t="shared" si="13"/>
        <v>2014.5</v>
      </c>
      <c r="AF30" s="78">
        <f t="shared" si="14"/>
        <v>2009.5833333333333</v>
      </c>
      <c r="AG30" s="78">
        <f t="shared" si="15"/>
        <v>-0.08333333333333333</v>
      </c>
    </row>
    <row r="31" spans="1:33" ht="11.25">
      <c r="A31" s="8"/>
      <c r="B31" s="8"/>
      <c r="C31" s="10" t="s">
        <v>194</v>
      </c>
      <c r="D31" s="187"/>
      <c r="E31" s="8"/>
      <c r="F31" s="8"/>
      <c r="G31" s="8"/>
      <c r="H31" s="8"/>
      <c r="I31" s="8"/>
      <c r="J31" s="187"/>
      <c r="K31" s="8"/>
      <c r="L31" s="8"/>
      <c r="M31" s="9">
        <f>SUM(M29:M30)</f>
        <v>2400</v>
      </c>
      <c r="N31" s="8"/>
      <c r="O31" s="9">
        <f aca="true" t="shared" si="29" ref="O31:AB31">SUM(O29:O30)</f>
        <v>2400</v>
      </c>
      <c r="P31" s="9">
        <f t="shared" si="29"/>
        <v>34.285714285714285</v>
      </c>
      <c r="Q31" s="9">
        <f t="shared" si="29"/>
        <v>411.42857142857144</v>
      </c>
      <c r="R31" s="9">
        <f t="shared" si="29"/>
        <v>0</v>
      </c>
      <c r="S31" s="9">
        <f t="shared" si="29"/>
        <v>411.42857142857144</v>
      </c>
      <c r="T31" s="9">
        <f t="shared" si="29"/>
        <v>2</v>
      </c>
      <c r="U31" s="9">
        <f t="shared" si="29"/>
        <v>411.42857142857144</v>
      </c>
      <c r="V31" s="9">
        <f t="shared" si="29"/>
        <v>0</v>
      </c>
      <c r="W31" s="9">
        <f t="shared" si="29"/>
        <v>34.2857142856831</v>
      </c>
      <c r="X31" s="9">
        <f t="shared" si="29"/>
        <v>34.2857142856831</v>
      </c>
      <c r="Y31" s="9">
        <f t="shared" si="29"/>
        <v>2</v>
      </c>
      <c r="Z31" s="9">
        <f t="shared" si="29"/>
        <v>0.28571428568310253</v>
      </c>
      <c r="AA31" s="9">
        <f t="shared" si="29"/>
        <v>411.7142857142545</v>
      </c>
      <c r="AB31" s="9">
        <f t="shared" si="29"/>
        <v>2194.0000000000314</v>
      </c>
      <c r="AC31" s="8"/>
      <c r="AD31" s="8"/>
      <c r="AE31" s="8"/>
      <c r="AF31" s="8"/>
      <c r="AG31" s="8"/>
    </row>
    <row r="32" spans="1:33" ht="11.25">
      <c r="A32" s="8"/>
      <c r="B32" s="8"/>
      <c r="C32" s="8"/>
      <c r="D32" s="187"/>
      <c r="E32" s="8"/>
      <c r="F32" s="8"/>
      <c r="G32" s="8"/>
      <c r="H32" s="8"/>
      <c r="I32" s="8"/>
      <c r="J32" s="18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1.25">
      <c r="A33" s="8"/>
      <c r="B33" s="8"/>
      <c r="C33" s="8"/>
      <c r="D33" s="187"/>
      <c r="E33" s="8"/>
      <c r="F33" s="8"/>
      <c r="G33" s="8"/>
      <c r="H33" s="8"/>
      <c r="I33" s="8"/>
      <c r="J33" s="1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1.25">
      <c r="A34" s="47"/>
      <c r="B34" s="48"/>
      <c r="C34" s="49" t="s">
        <v>196</v>
      </c>
      <c r="D34" s="184">
        <v>2009</v>
      </c>
      <c r="E34" s="51">
        <v>7</v>
      </c>
      <c r="F34" s="52"/>
      <c r="G34" s="35"/>
      <c r="H34" s="53" t="s">
        <v>30</v>
      </c>
      <c r="I34" s="54">
        <v>5</v>
      </c>
      <c r="J34" s="189">
        <f>D34+I34</f>
        <v>2014</v>
      </c>
      <c r="K34" s="56"/>
      <c r="L34" s="56"/>
      <c r="M34" s="199">
        <f>D55</f>
        <v>53828.54</v>
      </c>
      <c r="N34" s="59">
        <v>0</v>
      </c>
      <c r="O34" s="60">
        <f>M34-M34*F34</f>
        <v>53828.54</v>
      </c>
      <c r="P34" s="60">
        <f>O34/I34/12</f>
        <v>897.1423333333333</v>
      </c>
      <c r="Q34" s="60">
        <f>IF(N34&gt;0,0,IF(OR(AC34&gt;AD34,AE34&lt;AF34),0,IF(AND(AE34&gt;=AF34,AE34&lt;=AD34),P34*((AE34-AF34)*12),IF(AND(AF34&lt;=AC34,AD34&gt;=AC34),((AD34-AC34)*12)*P34,IF(AE34&gt;AD34,12*P34,0)))))</f>
        <v>10765.708</v>
      </c>
      <c r="R34" s="35">
        <f>IF(N34=0,0,IF(AND(AG34&gt;=AF34,AG34&lt;=AE34),((AG34-AF34)*12)*P34,0))</f>
        <v>0</v>
      </c>
      <c r="S34" s="35">
        <f>IF(R34&gt;0,R34,Q34)</f>
        <v>10765.708</v>
      </c>
      <c r="T34" s="35">
        <v>1</v>
      </c>
      <c r="U34" s="35">
        <f>T34*SUM(Q34:R34)</f>
        <v>10765.708</v>
      </c>
      <c r="V34" s="35"/>
      <c r="W34" s="35">
        <f>IF(AC34&gt;AD34,0,IF(AE34&lt;AF34,O34,IF(AND(AE34&gt;=AF34,AE34&lt;=AD34),(O34-S34),IF(AND(AF34&lt;=AC34,AD34&gt;=AC34),0,IF(AE34&gt;AD34,((AF34-AC34)*12)*P34,0)))))</f>
        <v>897.1423333325174</v>
      </c>
      <c r="X34" s="35">
        <f>W34*T34</f>
        <v>897.1423333325174</v>
      </c>
      <c r="Y34" s="35">
        <v>1</v>
      </c>
      <c r="Z34" s="60">
        <f>X34*Y34-897</f>
        <v>0.14233333251740987</v>
      </c>
      <c r="AA34" s="60">
        <f>IF(N34&gt;0,0,Z34+U34*Y34)*Y34</f>
        <v>10765.850333332517</v>
      </c>
      <c r="AB34" s="60">
        <f>IF(N34&gt;0,(M34-Z34)/2,IF(AC34&gt;=AF34,(((M34*T34)*Y34)-AA34)/2,((((M34*T34)*Y34)-Z34)+(((M34*T34)*Y34)-AA34))/2))</f>
        <v>48445.54366666749</v>
      </c>
      <c r="AC34" s="35">
        <f>$D34+(($E34-1)/12)</f>
        <v>2009.5</v>
      </c>
      <c r="AD34" s="35">
        <f>($O$5+1)-($O$2/12)</f>
        <v>2010.5833333333333</v>
      </c>
      <c r="AE34" s="35">
        <f>$J34+(($E34-1)/12)</f>
        <v>2014.5</v>
      </c>
      <c r="AF34" s="35">
        <f>$O$4+($O$3/12)</f>
        <v>2009.5833333333333</v>
      </c>
      <c r="AG34" s="35">
        <f>$K34+(($L34-1)/12)</f>
        <v>-0.08333333333333333</v>
      </c>
    </row>
    <row r="35" spans="1:33" ht="11.25">
      <c r="A35" s="8"/>
      <c r="B35" s="8"/>
      <c r="C35" s="8"/>
      <c r="D35" s="187"/>
      <c r="E35" s="8"/>
      <c r="F35" s="8"/>
      <c r="G35" s="8"/>
      <c r="H35" s="8"/>
      <c r="I35" s="8"/>
      <c r="J35" s="18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1.25">
      <c r="A36" s="8"/>
      <c r="B36" s="8"/>
      <c r="C36" s="8"/>
      <c r="D36" s="187"/>
      <c r="E36" s="8"/>
      <c r="F36" s="8"/>
      <c r="G36" s="8"/>
      <c r="H36" s="8"/>
      <c r="I36" s="8"/>
      <c r="J36" s="187"/>
      <c r="K36" s="8"/>
      <c r="L36" s="8"/>
      <c r="M36" s="8"/>
      <c r="N36" s="8"/>
      <c r="O36" s="8"/>
      <c r="P36" s="9"/>
      <c r="Q36" s="9">
        <f>Q19+Q23+Q25+Q27+Q31+Q34</f>
        <v>161839.35571428575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>AB19+AB23+AB25+AB27+AB31+AB34</f>
        <v>1354598.189166679</v>
      </c>
      <c r="AC36" s="8"/>
      <c r="AD36" s="8"/>
      <c r="AE36" s="8"/>
      <c r="AF36" s="8"/>
      <c r="AG36" s="8"/>
    </row>
    <row r="37" spans="1:33" ht="11.25">
      <c r="A37" s="8"/>
      <c r="B37" s="8"/>
      <c r="C37" s="8"/>
      <c r="D37" s="187"/>
      <c r="E37" s="8"/>
      <c r="F37" s="8"/>
      <c r="G37" s="8"/>
      <c r="H37" s="8"/>
      <c r="I37" s="8"/>
      <c r="J37" s="18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1.25">
      <c r="A38" s="8"/>
      <c r="B38" s="8"/>
      <c r="C38" s="8"/>
      <c r="D38" s="187"/>
      <c r="E38" s="8"/>
      <c r="F38" s="8"/>
      <c r="G38" s="8"/>
      <c r="H38" s="8"/>
      <c r="I38" s="8"/>
      <c r="J38" s="18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1.25">
      <c r="A39" s="8"/>
      <c r="B39" s="8"/>
      <c r="C39" s="8"/>
      <c r="D39" s="187"/>
      <c r="E39" s="8"/>
      <c r="F39" s="8"/>
      <c r="G39" s="8"/>
      <c r="H39" s="8"/>
      <c r="I39" s="8"/>
      <c r="J39" s="18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4" ht="11.25">
      <c r="C44" t="s">
        <v>467</v>
      </c>
    </row>
    <row r="45" spans="3:5" ht="12">
      <c r="C45" s="1" t="s">
        <v>466</v>
      </c>
      <c r="D45" s="11">
        <v>28425.48</v>
      </c>
      <c r="E45" s="176"/>
    </row>
    <row r="46" spans="3:5" ht="12">
      <c r="C46" s="1" t="s">
        <v>469</v>
      </c>
      <c r="D46" s="11">
        <v>3180</v>
      </c>
      <c r="E46" s="176"/>
    </row>
    <row r="47" spans="3:5" ht="12">
      <c r="C47" s="1" t="s">
        <v>468</v>
      </c>
      <c r="D47" s="11">
        <v>600</v>
      </c>
      <c r="E47" s="176"/>
    </row>
    <row r="48" spans="3:5" ht="12">
      <c r="C48" s="14" t="s">
        <v>475</v>
      </c>
      <c r="D48" s="12">
        <f>SUM(D45:D47)</f>
        <v>32205.48</v>
      </c>
      <c r="E48" s="176"/>
    </row>
    <row r="49" spans="3:5" ht="12">
      <c r="C49" s="1" t="s">
        <v>476</v>
      </c>
      <c r="D49" s="11">
        <v>6216</v>
      </c>
      <c r="E49" s="176"/>
    </row>
    <row r="50" spans="3:5" ht="12">
      <c r="C50" s="1" t="s">
        <v>471</v>
      </c>
      <c r="D50" s="11">
        <v>1588.06</v>
      </c>
      <c r="E50" s="176"/>
    </row>
    <row r="51" spans="3:5" ht="12">
      <c r="C51" s="1" t="s">
        <v>472</v>
      </c>
      <c r="D51" s="11">
        <v>821.67</v>
      </c>
      <c r="E51" s="176"/>
    </row>
    <row r="52" spans="3:5" ht="12">
      <c r="C52" s="1" t="s">
        <v>473</v>
      </c>
      <c r="D52" s="11">
        <v>600</v>
      </c>
      <c r="E52" s="176"/>
    </row>
    <row r="53" spans="3:5" ht="12">
      <c r="C53" s="14" t="s">
        <v>474</v>
      </c>
      <c r="D53" s="12">
        <f>SUM(D49:D52)</f>
        <v>9225.73</v>
      </c>
      <c r="E53" s="192"/>
    </row>
    <row r="54" spans="3:4" ht="11.25">
      <c r="C54" t="s">
        <v>470</v>
      </c>
      <c r="D54" s="198">
        <v>12397.33</v>
      </c>
    </row>
    <row r="55" spans="3:4" ht="11.25">
      <c r="C55" t="s">
        <v>477</v>
      </c>
      <c r="D55" s="197">
        <f>D48+D53+D54</f>
        <v>53828.54</v>
      </c>
    </row>
    <row r="56" ht="11.25">
      <c r="D56" s="196"/>
    </row>
    <row r="57" ht="11.25">
      <c r="D57" s="19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1">
      <selection activeCell="E53" sqref="E53"/>
    </sheetView>
  </sheetViews>
  <sheetFormatPr defaultColWidth="8.796875" defaultRowHeight="12"/>
  <cols>
    <col min="1" max="1" width="5.59765625" style="1" customWidth="1"/>
    <col min="2" max="2" width="23.296875" style="1" customWidth="1"/>
    <col min="3" max="3" width="13.296875" style="1" customWidth="1"/>
    <col min="4" max="4" width="10.59765625" style="11" customWidth="1"/>
    <col min="5" max="5" width="7.09765625" style="1" customWidth="1"/>
    <col min="6" max="6" width="6.796875" style="1" customWidth="1"/>
    <col min="7" max="7" width="10.19921875" style="1" customWidth="1"/>
    <col min="8" max="8" width="9.796875" style="1" customWidth="1"/>
    <col min="9" max="9" width="10" style="1" customWidth="1"/>
    <col min="10" max="16384" width="8.8984375" style="1" customWidth="1"/>
  </cols>
  <sheetData>
    <row r="1" spans="1:9" ht="12.75">
      <c r="A1" s="4" t="s">
        <v>202</v>
      </c>
      <c r="B1" s="2"/>
      <c r="C1" s="4" t="s">
        <v>6</v>
      </c>
      <c r="D1" s="6"/>
      <c r="E1" s="2"/>
      <c r="F1" s="2"/>
      <c r="G1" s="2"/>
      <c r="H1" s="2"/>
      <c r="I1" s="2"/>
    </row>
    <row r="2" spans="1:9" ht="12.75">
      <c r="A2" s="2"/>
      <c r="B2" s="2"/>
      <c r="C2" s="2"/>
      <c r="D2" s="6"/>
      <c r="E2" s="2"/>
      <c r="F2" s="2"/>
      <c r="G2" s="2"/>
      <c r="H2" s="2"/>
      <c r="I2" s="2"/>
    </row>
    <row r="3" spans="1:9" ht="12.75">
      <c r="A3" s="2"/>
      <c r="B3" s="2"/>
      <c r="C3" s="2"/>
      <c r="D3" s="6"/>
      <c r="E3" s="2"/>
      <c r="F3" s="2"/>
      <c r="G3" s="2"/>
      <c r="H3" s="2"/>
      <c r="I3" s="2"/>
    </row>
    <row r="4" spans="1:9" ht="12.75">
      <c r="A4" s="2" t="s">
        <v>427</v>
      </c>
      <c r="B4" s="2"/>
      <c r="C4" s="2"/>
      <c r="D4" s="6"/>
      <c r="E4" s="2"/>
      <c r="F4" s="2"/>
      <c r="G4" s="2"/>
      <c r="H4" s="2"/>
      <c r="I4" s="2"/>
    </row>
    <row r="5" spans="1:9" ht="12.75">
      <c r="A5" s="2" t="s">
        <v>419</v>
      </c>
      <c r="B5" s="2"/>
      <c r="C5" s="2"/>
      <c r="D5" s="6"/>
      <c r="E5" s="2"/>
      <c r="F5" s="2"/>
      <c r="G5" s="2"/>
      <c r="H5" s="2"/>
      <c r="I5" s="2"/>
    </row>
    <row r="6" spans="1:9" ht="12.75">
      <c r="A6" s="2"/>
      <c r="B6" s="2"/>
      <c r="C6" s="2"/>
      <c r="D6" s="6"/>
      <c r="E6" s="2"/>
      <c r="F6" s="2"/>
      <c r="G6" s="2"/>
      <c r="H6" s="2"/>
      <c r="I6" s="2"/>
    </row>
    <row r="7" spans="1:9" ht="12.75">
      <c r="A7" s="2"/>
      <c r="B7" s="2"/>
      <c r="C7" s="3" t="s">
        <v>197</v>
      </c>
      <c r="D7" s="169"/>
      <c r="E7" s="3"/>
      <c r="F7" s="3"/>
      <c r="G7" s="3"/>
      <c r="H7" s="3"/>
      <c r="I7" s="3"/>
    </row>
    <row r="8" spans="1:9" ht="12.75">
      <c r="A8" s="4" t="s">
        <v>48</v>
      </c>
      <c r="B8" s="2"/>
      <c r="C8" s="3" t="s">
        <v>198</v>
      </c>
      <c r="D8" s="169"/>
      <c r="E8" s="3"/>
      <c r="F8" s="3"/>
      <c r="G8" s="3"/>
      <c r="H8" s="3"/>
      <c r="I8" s="3"/>
    </row>
    <row r="9" spans="1:9" ht="12.75">
      <c r="A9" s="3" t="s">
        <v>49</v>
      </c>
      <c r="B9" s="4" t="s">
        <v>33</v>
      </c>
      <c r="C9" s="85">
        <v>40026</v>
      </c>
      <c r="D9" s="169"/>
      <c r="E9" s="3"/>
      <c r="F9" s="3"/>
      <c r="G9" s="3"/>
      <c r="H9" s="3"/>
      <c r="I9" s="3"/>
    </row>
    <row r="10" spans="1:9" ht="12.75">
      <c r="A10" s="2"/>
      <c r="B10" s="2"/>
      <c r="C10" s="2"/>
      <c r="D10" s="6"/>
      <c r="E10" s="2"/>
      <c r="F10" s="2"/>
      <c r="G10" s="2"/>
      <c r="H10" s="2"/>
      <c r="I10" s="2"/>
    </row>
    <row r="11" spans="1:9" ht="12.75">
      <c r="A11" s="5">
        <v>31100</v>
      </c>
      <c r="B11" s="2" t="s">
        <v>50</v>
      </c>
      <c r="C11" s="6">
        <v>1010176</v>
      </c>
      <c r="D11" s="172">
        <v>8.18</v>
      </c>
      <c r="E11" s="172"/>
      <c r="F11" s="165"/>
      <c r="G11" s="6"/>
      <c r="H11" s="6"/>
      <c r="I11" s="6"/>
    </row>
    <row r="12" spans="1:9" ht="12.75">
      <c r="A12" s="5"/>
      <c r="B12" s="2" t="s">
        <v>0</v>
      </c>
      <c r="C12" s="6" t="s">
        <v>0</v>
      </c>
      <c r="D12" s="6"/>
      <c r="E12" s="6"/>
      <c r="F12" s="6"/>
      <c r="G12" s="6"/>
      <c r="H12" s="6"/>
      <c r="I12" s="6"/>
    </row>
    <row r="13" spans="1:9" ht="12.75">
      <c r="A13" s="5"/>
      <c r="B13" s="4" t="s">
        <v>5</v>
      </c>
      <c r="C13" s="7">
        <f>SUM(C11:C12)</f>
        <v>1010176</v>
      </c>
      <c r="D13" s="7"/>
      <c r="E13" s="175"/>
      <c r="F13" s="7"/>
      <c r="G13" s="7"/>
      <c r="H13" s="7"/>
      <c r="I13" s="7"/>
    </row>
    <row r="14" spans="1:9" ht="12.75">
      <c r="A14" s="5"/>
      <c r="B14" s="2"/>
      <c r="C14" s="2"/>
      <c r="D14" s="6"/>
      <c r="E14" s="2"/>
      <c r="F14" s="2"/>
      <c r="G14" s="2"/>
      <c r="H14" s="2"/>
      <c r="I14" s="2"/>
    </row>
    <row r="15" spans="1:9" ht="12.75">
      <c r="A15" s="5">
        <v>41800</v>
      </c>
      <c r="B15" s="2" t="s">
        <v>395</v>
      </c>
      <c r="C15" s="6">
        <f>Calculations!D55</f>
        <v>99071.86398819249</v>
      </c>
      <c r="D15" s="6"/>
      <c r="E15" s="2"/>
      <c r="F15" s="2"/>
      <c r="G15" s="2"/>
      <c r="H15" s="2"/>
      <c r="I15" s="2"/>
    </row>
    <row r="16" spans="1:9" ht="12.75">
      <c r="A16" s="5">
        <v>42300</v>
      </c>
      <c r="B16" s="2" t="s">
        <v>421</v>
      </c>
      <c r="C16" s="6">
        <f>Calculations!D97</f>
        <v>0</v>
      </c>
      <c r="D16" s="6"/>
      <c r="E16" s="2"/>
      <c r="F16" s="2"/>
      <c r="G16" s="2"/>
      <c r="H16" s="2"/>
      <c r="I16" s="2"/>
    </row>
    <row r="17" spans="1:9" ht="12.75">
      <c r="A17" s="5">
        <v>42310</v>
      </c>
      <c r="B17" s="2" t="s">
        <v>34</v>
      </c>
      <c r="C17" s="6">
        <f>Calculations!D17</f>
        <v>165947.25</v>
      </c>
      <c r="D17" s="6"/>
      <c r="E17" s="2"/>
      <c r="F17" s="2"/>
      <c r="G17" s="2"/>
      <c r="H17" s="2"/>
      <c r="I17" s="2"/>
    </row>
    <row r="18" spans="1:9" ht="12.75">
      <c r="A18" s="5">
        <v>42400</v>
      </c>
      <c r="B18" s="2" t="s">
        <v>148</v>
      </c>
      <c r="C18" s="6">
        <f>Calculations!D41</f>
        <v>78396.40430884303</v>
      </c>
      <c r="D18" s="6"/>
      <c r="E18" s="2"/>
      <c r="F18" s="2"/>
      <c r="G18" s="2"/>
      <c r="H18" s="2"/>
      <c r="I18" s="2"/>
    </row>
    <row r="19" spans="1:9" ht="12.75">
      <c r="A19" s="5">
        <v>42800</v>
      </c>
      <c r="B19" s="2" t="s">
        <v>405</v>
      </c>
      <c r="C19" s="6">
        <f>Calculations!D83</f>
        <v>2627.0588235294117</v>
      </c>
      <c r="D19" s="6"/>
      <c r="E19" s="2"/>
      <c r="F19" s="2"/>
      <c r="G19" s="2"/>
      <c r="H19" s="2"/>
      <c r="I19" s="2"/>
    </row>
    <row r="20" spans="1:9" ht="12.75">
      <c r="A20" s="5">
        <v>42810</v>
      </c>
      <c r="B20" s="2" t="s">
        <v>396</v>
      </c>
      <c r="C20" s="6">
        <f>Calculations!D160</f>
        <v>134278.7520942</v>
      </c>
      <c r="D20" s="6"/>
      <c r="E20" s="2"/>
      <c r="F20" s="2"/>
      <c r="G20" s="2"/>
      <c r="H20" s="2"/>
      <c r="I20" s="2"/>
    </row>
    <row r="21" spans="1:9" ht="12.75">
      <c r="A21" s="5">
        <v>44300</v>
      </c>
      <c r="B21" s="2" t="s">
        <v>35</v>
      </c>
      <c r="C21" s="6">
        <f>C11*0.004</f>
        <v>4040.704</v>
      </c>
      <c r="D21" s="6"/>
      <c r="E21" s="2"/>
      <c r="F21" s="2"/>
      <c r="G21" s="2"/>
      <c r="H21" s="2"/>
      <c r="I21" s="2"/>
    </row>
    <row r="22" spans="1:9" ht="12.75">
      <c r="A22" s="5">
        <v>45300</v>
      </c>
      <c r="B22" s="2" t="s">
        <v>36</v>
      </c>
      <c r="C22" s="6">
        <f>Calculations!D71</f>
        <v>10000</v>
      </c>
      <c r="D22" s="6"/>
      <c r="E22" s="2"/>
      <c r="F22" s="2"/>
      <c r="G22" s="2"/>
      <c r="H22" s="2"/>
      <c r="I22" s="2"/>
    </row>
    <row r="23" spans="1:9" ht="12.75">
      <c r="A23" s="5">
        <v>45400</v>
      </c>
      <c r="B23" s="2" t="s">
        <v>37</v>
      </c>
      <c r="C23" s="6">
        <f>Calculations!D77</f>
        <v>2907</v>
      </c>
      <c r="D23" s="6"/>
      <c r="E23" s="2"/>
      <c r="F23" s="2"/>
      <c r="G23" s="2"/>
      <c r="H23" s="2"/>
      <c r="I23" s="2"/>
    </row>
    <row r="24" spans="1:9" ht="12.75">
      <c r="A24" s="5">
        <v>46130</v>
      </c>
      <c r="B24" s="2" t="s">
        <v>38</v>
      </c>
      <c r="C24" s="6">
        <f>Calculations!D106</f>
        <v>13769.399999999998</v>
      </c>
      <c r="D24" s="6"/>
      <c r="E24" s="2"/>
      <c r="F24" s="2"/>
      <c r="G24" s="2"/>
      <c r="H24" s="2"/>
      <c r="I24" s="2"/>
    </row>
    <row r="25" spans="1:9" ht="12.75">
      <c r="A25" s="5">
        <v>46200</v>
      </c>
      <c r="B25" s="2" t="s">
        <v>39</v>
      </c>
      <c r="C25" s="6">
        <f>Calculations!D130</f>
        <v>1800</v>
      </c>
      <c r="D25" s="6"/>
      <c r="E25" s="2"/>
      <c r="F25" s="2"/>
      <c r="G25" s="2"/>
      <c r="H25" s="2"/>
      <c r="I25" s="2"/>
    </row>
    <row r="26" spans="1:9" ht="12.75">
      <c r="A26" s="5">
        <v>46500</v>
      </c>
      <c r="B26" s="2" t="s">
        <v>40</v>
      </c>
      <c r="C26" s="6">
        <f>Calculations!C118*12</f>
        <v>12906</v>
      </c>
      <c r="D26" s="6"/>
      <c r="E26" s="2"/>
      <c r="F26" s="2"/>
      <c r="G26" s="2"/>
      <c r="H26" s="2"/>
      <c r="I26" s="2"/>
    </row>
    <row r="27" spans="1:9" ht="12.75">
      <c r="A27" s="5">
        <v>46510</v>
      </c>
      <c r="B27" s="2" t="s">
        <v>32</v>
      </c>
      <c r="C27" s="6">
        <f>Calculations!C120*12</f>
        <v>2210.514795</v>
      </c>
      <c r="D27" s="6"/>
      <c r="E27" s="2"/>
      <c r="F27" s="2"/>
      <c r="G27" s="2"/>
      <c r="H27" s="2"/>
      <c r="I27" s="2"/>
    </row>
    <row r="28" spans="1:9" ht="12.75">
      <c r="A28" s="5">
        <v>46700</v>
      </c>
      <c r="B28" s="2" t="s">
        <v>41</v>
      </c>
      <c r="C28" s="6">
        <f>C13*0.004</f>
        <v>4040.704</v>
      </c>
      <c r="D28" s="6"/>
      <c r="E28" s="2"/>
      <c r="F28" s="2"/>
      <c r="G28" s="2"/>
      <c r="H28" s="2"/>
      <c r="I28" s="2"/>
    </row>
    <row r="29" spans="1:9" ht="12.75">
      <c r="A29" s="5">
        <v>46910</v>
      </c>
      <c r="B29" s="2" t="s">
        <v>149</v>
      </c>
      <c r="C29" s="6">
        <f>C11*0.035</f>
        <v>35356.16</v>
      </c>
      <c r="D29" s="6"/>
      <c r="E29" s="165"/>
      <c r="F29" s="2"/>
      <c r="G29" s="2"/>
      <c r="H29" s="2"/>
      <c r="I29" s="2"/>
    </row>
    <row r="30" spans="1:9" ht="12.75">
      <c r="A30" s="5">
        <v>50200</v>
      </c>
      <c r="B30" s="2" t="s">
        <v>42</v>
      </c>
      <c r="C30" s="6">
        <f>Depr!Q19+Depr!Q23</f>
        <v>152443.95</v>
      </c>
      <c r="D30" s="6"/>
      <c r="E30" s="2"/>
      <c r="F30" s="2"/>
      <c r="G30" s="2"/>
      <c r="H30" s="2"/>
      <c r="I30" s="2"/>
    </row>
    <row r="31" spans="1:9" ht="12.75">
      <c r="A31" s="5">
        <v>50300</v>
      </c>
      <c r="B31" s="2" t="s">
        <v>195</v>
      </c>
      <c r="C31" s="6">
        <f>Depr!Q25+Depr!Q27</f>
        <v>1750</v>
      </c>
      <c r="D31" s="6"/>
      <c r="E31" s="2"/>
      <c r="F31" s="2"/>
      <c r="G31" s="2"/>
      <c r="H31" s="2"/>
      <c r="I31" s="2"/>
    </row>
    <row r="32" spans="1:9" ht="12.75">
      <c r="A32" s="5">
        <v>50500</v>
      </c>
      <c r="B32" s="2" t="s">
        <v>43</v>
      </c>
      <c r="C32" s="6">
        <f>Depr!Q31</f>
        <v>411.42857142857144</v>
      </c>
      <c r="D32" s="6"/>
      <c r="E32" s="2"/>
      <c r="F32" s="2"/>
      <c r="G32" s="2"/>
      <c r="H32" s="2"/>
      <c r="I32" s="2"/>
    </row>
    <row r="33" spans="1:9" ht="12.75">
      <c r="A33" s="5">
        <v>51500</v>
      </c>
      <c r="B33" s="2" t="s">
        <v>394</v>
      </c>
      <c r="C33" s="6">
        <f>Depr!Q34</f>
        <v>7156.5</v>
      </c>
      <c r="D33" s="6"/>
      <c r="E33" s="2"/>
      <c r="F33" s="2"/>
      <c r="G33" s="2"/>
      <c r="H33" s="2"/>
      <c r="I33" s="2"/>
    </row>
    <row r="34" spans="1:9" ht="12.75">
      <c r="A34" s="5">
        <v>52030</v>
      </c>
      <c r="B34" s="2" t="s">
        <v>44</v>
      </c>
      <c r="C34" s="6">
        <f>(C11*0.015)+(Calculations!D176*0.7*0.00483)</f>
        <v>15838.435258052099</v>
      </c>
      <c r="D34" s="6"/>
      <c r="E34" s="2"/>
      <c r="F34" s="2"/>
      <c r="G34" s="2"/>
      <c r="H34" s="2"/>
      <c r="I34" s="2"/>
    </row>
    <row r="35" spans="1:9" ht="12.75">
      <c r="A35" s="5">
        <v>52200</v>
      </c>
      <c r="B35" s="2" t="s">
        <v>45</v>
      </c>
      <c r="C35" s="6">
        <f>Calculations!D66</f>
        <v>5332</v>
      </c>
      <c r="D35" s="6"/>
      <c r="E35" s="2"/>
      <c r="F35" s="2"/>
      <c r="G35" s="2"/>
      <c r="H35" s="2"/>
      <c r="I35" s="2"/>
    </row>
    <row r="36" spans="1:9" ht="12.75">
      <c r="A36" s="5">
        <v>52300</v>
      </c>
      <c r="B36" s="2" t="s">
        <v>2</v>
      </c>
      <c r="C36" s="6">
        <f>(Depr!M23+Depr!M31)*0.0115</f>
        <v>5781.2754</v>
      </c>
      <c r="D36" s="6"/>
      <c r="E36" s="2"/>
      <c r="F36" s="2"/>
      <c r="G36" s="2"/>
      <c r="H36" s="2"/>
      <c r="I36" s="2"/>
    </row>
    <row r="37" spans="1:9" ht="12.75">
      <c r="A37" s="5">
        <v>52400</v>
      </c>
      <c r="B37" s="2" t="s">
        <v>150</v>
      </c>
      <c r="C37" s="6">
        <f>Calculations!D113</f>
        <v>14623.287445</v>
      </c>
      <c r="D37" s="6"/>
      <c r="E37" s="2"/>
      <c r="F37" s="2"/>
      <c r="G37" s="2"/>
      <c r="H37" s="2"/>
      <c r="I37" s="2"/>
    </row>
    <row r="38" spans="1:9" ht="12.75">
      <c r="A38" s="5">
        <v>52410</v>
      </c>
      <c r="B38" s="2" t="s">
        <v>151</v>
      </c>
      <c r="C38" s="6">
        <f>Calculations!D90</f>
        <v>36000</v>
      </c>
      <c r="D38" s="6"/>
      <c r="E38" s="2"/>
      <c r="F38" s="2"/>
      <c r="G38" s="2"/>
      <c r="H38" s="2"/>
      <c r="I38" s="2"/>
    </row>
    <row r="39" spans="1:9" ht="12.75">
      <c r="A39" s="5"/>
      <c r="B39" s="4" t="s">
        <v>46</v>
      </c>
      <c r="C39" s="7">
        <f>SUM(C15:C38)</f>
        <v>806688.6886842457</v>
      </c>
      <c r="D39" s="7"/>
      <c r="E39" s="2"/>
      <c r="F39" s="4"/>
      <c r="G39" s="4"/>
      <c r="H39" s="4"/>
      <c r="I39" s="4"/>
    </row>
    <row r="40" spans="1:9" ht="12.75">
      <c r="A40" s="5"/>
      <c r="B40" s="2"/>
      <c r="C40" s="6"/>
      <c r="D40" s="6"/>
      <c r="E40" s="2"/>
      <c r="F40" s="2"/>
      <c r="G40" s="2"/>
      <c r="H40" s="2"/>
      <c r="I40" s="2"/>
    </row>
    <row r="41" spans="1:9" ht="12.75">
      <c r="A41" s="5"/>
      <c r="B41" s="4" t="s">
        <v>47</v>
      </c>
      <c r="C41" s="7">
        <f>(C11-C39)</f>
        <v>203487.3113157543</v>
      </c>
      <c r="D41" s="7"/>
      <c r="E41" s="2"/>
      <c r="F41" s="2"/>
      <c r="G41" s="4"/>
      <c r="H41" s="4"/>
      <c r="I41" s="2"/>
    </row>
    <row r="42" spans="1:9" ht="12.75">
      <c r="A42" s="5"/>
      <c r="B42" s="2"/>
      <c r="C42" s="2"/>
      <c r="D42" s="6"/>
      <c r="E42" s="2"/>
      <c r="F42" s="2"/>
      <c r="G42" s="2"/>
      <c r="H42" s="2"/>
      <c r="I42" s="2"/>
    </row>
    <row r="43" spans="2:5" ht="12.75">
      <c r="B43" s="1" t="s">
        <v>270</v>
      </c>
      <c r="C43" s="1">
        <f>LG!H15</f>
        <v>79.7355886645012</v>
      </c>
      <c r="E43" s="2"/>
    </row>
    <row r="44" ht="12.75">
      <c r="E44" s="2"/>
    </row>
    <row r="45" spans="3:5" ht="12.75">
      <c r="C45" s="109"/>
      <c r="D45" s="108"/>
      <c r="E45" s="2"/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Q339"/>
  <sheetViews>
    <sheetView workbookViewId="0" topLeftCell="A1">
      <selection activeCell="A1" sqref="A1:BX322"/>
    </sheetView>
  </sheetViews>
  <sheetFormatPr defaultColWidth="8.796875" defaultRowHeight="12"/>
  <cols>
    <col min="1" max="1" width="3" style="57" customWidth="1"/>
    <col min="2" max="16384" width="8.8984375" style="57" customWidth="1"/>
  </cols>
  <sheetData>
    <row r="1" spans="1:147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</row>
    <row r="2" spans="1:147" ht="12.75">
      <c r="A2" s="86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52</v>
      </c>
      <c r="AF2" s="88" t="s">
        <v>53</v>
      </c>
      <c r="AG2" s="87"/>
      <c r="AH2" s="87"/>
      <c r="AI2" s="87" t="s">
        <v>54</v>
      </c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</row>
    <row r="3" spans="1:147" ht="12.75">
      <c r="A3" s="86"/>
      <c r="B3" s="87" t="s">
        <v>201</v>
      </c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8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</row>
    <row r="4" spans="1:147" ht="12.75">
      <c r="A4" s="86"/>
      <c r="B4" s="89"/>
      <c r="C4" s="87"/>
      <c r="D4" s="87"/>
      <c r="E4" s="90"/>
      <c r="F4" s="87"/>
      <c r="G4" s="87"/>
      <c r="H4" s="87"/>
      <c r="I4" s="106"/>
      <c r="J4" s="87"/>
      <c r="K4" s="87"/>
      <c r="L4" s="87"/>
      <c r="M4" s="87"/>
      <c r="N4" s="87" t="s">
        <v>55</v>
      </c>
      <c r="O4" s="87"/>
      <c r="P4" s="87"/>
      <c r="Q4" s="87"/>
      <c r="R4" s="87"/>
      <c r="S4" s="87"/>
      <c r="T4" s="87"/>
      <c r="U4" s="88" t="s">
        <v>56</v>
      </c>
      <c r="V4" s="88" t="s">
        <v>57</v>
      </c>
      <c r="W4" s="88" t="s">
        <v>27</v>
      </c>
      <c r="X4" s="88" t="s">
        <v>58</v>
      </c>
      <c r="Y4" s="88" t="s">
        <v>59</v>
      </c>
      <c r="Z4" s="87"/>
      <c r="AA4" s="88" t="s">
        <v>60</v>
      </c>
      <c r="AB4" s="87" t="s">
        <v>61</v>
      </c>
      <c r="AC4" s="88" t="s">
        <v>62</v>
      </c>
      <c r="AD4" s="88" t="s">
        <v>63</v>
      </c>
      <c r="AE4" s="88" t="s">
        <v>64</v>
      </c>
      <c r="AF4" s="87"/>
      <c r="AG4" s="87"/>
      <c r="AH4" s="87"/>
      <c r="AI4" s="87" t="s">
        <v>65</v>
      </c>
      <c r="AJ4" s="87"/>
      <c r="AK4" s="87"/>
      <c r="AL4" s="87"/>
      <c r="AM4" s="87"/>
      <c r="AN4" s="87"/>
      <c r="AO4" s="87"/>
      <c r="AP4" s="87"/>
      <c r="AQ4" s="87"/>
      <c r="AR4" s="87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</row>
    <row r="5" spans="1:147" ht="12.75">
      <c r="A5" s="86"/>
      <c r="B5" s="91" t="s">
        <v>66</v>
      </c>
      <c r="C5" s="91" t="s">
        <v>67</v>
      </c>
      <c r="D5" s="87"/>
      <c r="E5" s="90">
        <f>E7+E6</f>
        <v>1011750.0934598112</v>
      </c>
      <c r="F5" s="91" t="s">
        <v>68</v>
      </c>
      <c r="G5" s="87"/>
      <c r="H5" s="87"/>
      <c r="I5" s="87"/>
      <c r="J5" s="91"/>
      <c r="K5" s="87"/>
      <c r="L5" s="92"/>
      <c r="M5" s="87"/>
      <c r="N5" s="91" t="s">
        <v>69</v>
      </c>
      <c r="O5" s="87"/>
      <c r="P5" s="87"/>
      <c r="Q5" s="91" t="s">
        <v>70</v>
      </c>
      <c r="R5" s="87"/>
      <c r="S5" s="87"/>
      <c r="T5" s="87"/>
      <c r="U5" s="93">
        <f>$E$8*1.25</f>
        <v>1008360.8608553071</v>
      </c>
      <c r="V5" s="94">
        <f>100*(+U5/$E$9)</f>
        <v>73.68294983392562</v>
      </c>
      <c r="W5" s="95">
        <f>EXP(5.7226-(0.68367*LN(+V5)))</f>
        <v>16.16705077991594</v>
      </c>
      <c r="X5" s="95">
        <f>(+W5*V5)/100</f>
        <v>11.912359915790741</v>
      </c>
      <c r="Y5" s="94">
        <f>100*((((X5/100)-((X5/100)-0.03574)*$E$21)-0.03574-0.00619)/0.344)</f>
        <v>14.198597512854331</v>
      </c>
      <c r="Z5" s="87">
        <f>$E$20</f>
        <v>0.25</v>
      </c>
      <c r="AA5" s="94">
        <f>Y5+Z5</f>
        <v>14.448597512854331</v>
      </c>
      <c r="AB5" s="94">
        <f>100*($E$17*$E$19+($E$18*(AA5/100))/(1-$E$21))</f>
        <v>15.255088648049393</v>
      </c>
      <c r="AC5" s="95">
        <f>AB5/V5</f>
        <v>0.2070368882140701</v>
      </c>
      <c r="AD5" s="93">
        <f>$E$8/(1-AC5)</f>
        <v>1017309.2249744162</v>
      </c>
      <c r="AE5" s="87" t="str">
        <f>IF(AD5=$U$5,"yes","not yet")</f>
        <v>not yet</v>
      </c>
      <c r="AF5" s="94">
        <f>100*(1-AC5)</f>
        <v>79.29631117859299</v>
      </c>
      <c r="AG5" s="87"/>
      <c r="AH5" s="87"/>
      <c r="AI5" s="87">
        <v>0</v>
      </c>
      <c r="AJ5" s="87">
        <v>1</v>
      </c>
      <c r="AK5" s="87"/>
      <c r="AL5" s="87"/>
      <c r="AM5" s="87"/>
      <c r="AN5" s="87"/>
      <c r="AO5" s="87"/>
      <c r="AP5" s="87"/>
      <c r="AQ5" s="87"/>
      <c r="AR5" s="87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</row>
    <row r="6" spans="1:147" ht="12.75">
      <c r="A6" s="86"/>
      <c r="B6" s="91" t="s">
        <v>66</v>
      </c>
      <c r="C6" s="91" t="s">
        <v>71</v>
      </c>
      <c r="D6" s="87"/>
      <c r="E6" s="90">
        <f>(+E8-((H15/100)*E7))/H25</f>
        <v>1574.093459811148</v>
      </c>
      <c r="F6" s="96" t="s">
        <v>68</v>
      </c>
      <c r="G6" s="87"/>
      <c r="H6" s="87"/>
      <c r="I6" s="87"/>
      <c r="J6" s="91"/>
      <c r="K6" s="87"/>
      <c r="L6" s="92"/>
      <c r="M6" s="87"/>
      <c r="N6" s="91" t="s">
        <v>72</v>
      </c>
      <c r="O6" s="87"/>
      <c r="P6" s="87"/>
      <c r="Q6" s="91" t="s">
        <v>73</v>
      </c>
      <c r="R6" s="87"/>
      <c r="S6" s="87"/>
      <c r="T6" s="87"/>
      <c r="U6" s="93">
        <f>$E$8*1.25</f>
        <v>1008360.8608553071</v>
      </c>
      <c r="V6" s="94">
        <f>100*(+U6/$E$9)</f>
        <v>73.68294983392562</v>
      </c>
      <c r="W6" s="95">
        <f>EXP(5.70827-(0.68367*LN(+V6)))</f>
        <v>15.937028984616477</v>
      </c>
      <c r="X6" s="95">
        <f>(+W6*V6)/100</f>
        <v>11.742873071753145</v>
      </c>
      <c r="Y6" s="94">
        <f>100*((((X6/100)-((X6/100)-0.03574)*$E$21)-0.03574-0.00619)/0.344)</f>
        <v>13.873419265572895</v>
      </c>
      <c r="Z6" s="87">
        <f>$E$20</f>
        <v>0.25</v>
      </c>
      <c r="AA6" s="94">
        <f>Y6+Z6</f>
        <v>14.123419265572895</v>
      </c>
      <c r="AB6" s="94">
        <f>100*($E$17*$E$19+($E$18*(AA6/100))/(1-$E$21))</f>
        <v>14.959472059611725</v>
      </c>
      <c r="AC6" s="95">
        <f>AB6/V6</f>
        <v>0.20302488015652137</v>
      </c>
      <c r="AD6" s="93">
        <f>$E$8/(1-AC6)</f>
        <v>1012188.0452713188</v>
      </c>
      <c r="AE6" s="87" t="str">
        <f>IF(AD6=$U$6,"yes","not yet")</f>
        <v>not yet</v>
      </c>
      <c r="AF6" s="94">
        <f>100*(1-AC6)</f>
        <v>79.69751198434787</v>
      </c>
      <c r="AG6" s="87"/>
      <c r="AH6" s="87"/>
      <c r="AI6" s="87">
        <v>50</v>
      </c>
      <c r="AJ6" s="87">
        <v>2</v>
      </c>
      <c r="AK6" s="87"/>
      <c r="AL6" s="87"/>
      <c r="AM6" s="87"/>
      <c r="AN6" s="87"/>
      <c r="AO6" s="87"/>
      <c r="AP6" s="87"/>
      <c r="AQ6" s="87"/>
      <c r="AR6" s="87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</row>
    <row r="7" spans="1:147" ht="12.75">
      <c r="A7" s="86"/>
      <c r="B7" s="97" t="s">
        <v>74</v>
      </c>
      <c r="C7" s="91" t="s">
        <v>75</v>
      </c>
      <c r="D7" s="97" t="s">
        <v>92</v>
      </c>
      <c r="E7" s="90">
        <f>Proforma!C13</f>
        <v>1010176</v>
      </c>
      <c r="F7" s="91" t="s">
        <v>76</v>
      </c>
      <c r="G7" s="87"/>
      <c r="H7" s="87"/>
      <c r="I7" s="87"/>
      <c r="J7" s="91"/>
      <c r="K7" s="87"/>
      <c r="L7" s="92"/>
      <c r="M7" s="87"/>
      <c r="N7" s="91" t="s">
        <v>77</v>
      </c>
      <c r="O7" s="87"/>
      <c r="P7" s="87"/>
      <c r="Q7" s="91" t="s">
        <v>78</v>
      </c>
      <c r="R7" s="87"/>
      <c r="S7" s="87"/>
      <c r="T7" s="87"/>
      <c r="U7" s="93">
        <f>$E$8*1.25</f>
        <v>1008360.8608553071</v>
      </c>
      <c r="V7" s="94">
        <f>100*(+U7/$E$9)</f>
        <v>73.68294983392562</v>
      </c>
      <c r="W7" s="95">
        <f>EXP(5.6985-(0.68367*LN(V7)))</f>
        <v>15.782082358213534</v>
      </c>
      <c r="X7" s="95">
        <f>(+W7*V7)/100</f>
        <v>11.628703826751305</v>
      </c>
      <c r="Y7" s="94">
        <f>100*((((X7/100)-((X7/100)-0.03574)*$E$21)-0.03574-0.00619)/0.344)</f>
        <v>13.654373621092619</v>
      </c>
      <c r="Z7" s="87">
        <f>$E$20</f>
        <v>0.25</v>
      </c>
      <c r="AA7" s="94">
        <f>Y7+Z7</f>
        <v>13.904373621092619</v>
      </c>
      <c r="AB7" s="94">
        <f>100*($E$17*$E$19+($E$18*(AA7/100))/(1-$E$21))</f>
        <v>14.760339655538745</v>
      </c>
      <c r="AC7" s="95">
        <f>AB7/V7</f>
        <v>0.2003223227192607</v>
      </c>
      <c r="AD7" s="93">
        <f>$E$8/(1-AC7)</f>
        <v>1008767.2966279952</v>
      </c>
      <c r="AE7" s="87" t="str">
        <f>IF(AD7=$U$7,"yes","not yet")</f>
        <v>not yet</v>
      </c>
      <c r="AF7" s="94">
        <f>100*(1-AC7)</f>
        <v>79.96776772807392</v>
      </c>
      <c r="AG7" s="87"/>
      <c r="AH7" s="87"/>
      <c r="AI7" s="87">
        <v>125</v>
      </c>
      <c r="AJ7" s="87">
        <v>3</v>
      </c>
      <c r="AK7" s="87"/>
      <c r="AL7" s="87"/>
      <c r="AM7" s="87"/>
      <c r="AN7" s="87"/>
      <c r="AO7" s="87"/>
      <c r="AP7" s="87"/>
      <c r="AQ7" s="87"/>
      <c r="AR7" s="87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</row>
    <row r="8" spans="1:147" ht="12.75">
      <c r="A8" s="86"/>
      <c r="B8" s="97" t="s">
        <v>74</v>
      </c>
      <c r="C8" s="91" t="s">
        <v>79</v>
      </c>
      <c r="D8" s="97" t="s">
        <v>92</v>
      </c>
      <c r="E8" s="90">
        <f>Proforma!C39</f>
        <v>806688.6886842457</v>
      </c>
      <c r="F8" s="91" t="s">
        <v>76</v>
      </c>
      <c r="G8" s="87"/>
      <c r="H8" s="87"/>
      <c r="I8" s="87"/>
      <c r="J8" s="91"/>
      <c r="K8" s="87"/>
      <c r="L8" s="92"/>
      <c r="M8" s="87"/>
      <c r="N8" s="91" t="s">
        <v>80</v>
      </c>
      <c r="O8" s="87"/>
      <c r="P8" s="87"/>
      <c r="Q8" s="91" t="s">
        <v>81</v>
      </c>
      <c r="R8" s="87"/>
      <c r="S8" s="87"/>
      <c r="T8" s="87"/>
      <c r="U8" s="93">
        <f>$E$8*1.25</f>
        <v>1008360.8608553071</v>
      </c>
      <c r="V8" s="94">
        <f>100*(+U8/$E$9)</f>
        <v>73.68294983392562</v>
      </c>
      <c r="W8" s="95">
        <f>EXP(5.6922-(0.68367*LN(V8)))</f>
        <v>15.68296777810538</v>
      </c>
      <c r="X8" s="95">
        <f>(+W8*V8)/100</f>
        <v>11.555673280412107</v>
      </c>
      <c r="Y8" s="94">
        <f>100*((((X8/100)-((X8/100)-0.03574)*$E$21)-0.03574-0.00619)/0.344)</f>
        <v>13.514256875209274</v>
      </c>
      <c r="Z8" s="87">
        <f>$E$20</f>
        <v>0.25</v>
      </c>
      <c r="AA8" s="94">
        <f>Y8+Z8</f>
        <v>13.764256875209274</v>
      </c>
      <c r="AB8" s="94">
        <f>100*($E$17*$E$19+($E$18*(AA8/100))/(1-$E$21))</f>
        <v>14.632960795644795</v>
      </c>
      <c r="AC8" s="95">
        <f>AB8/V8</f>
        <v>0.1985935800429557</v>
      </c>
      <c r="AD8" s="93">
        <f>$E$8/(1-AC8)</f>
        <v>1006591.2483300102</v>
      </c>
      <c r="AE8" s="87" t="str">
        <f>IF(AD8=$U$8,"yes","not yet")</f>
        <v>not yet</v>
      </c>
      <c r="AF8" s="94">
        <f>100*(1-AC8)</f>
        <v>80.14064199570443</v>
      </c>
      <c r="AG8" s="87"/>
      <c r="AH8" s="87"/>
      <c r="AI8" s="87">
        <v>401</v>
      </c>
      <c r="AJ8" s="87">
        <v>4</v>
      </c>
      <c r="AK8" s="87"/>
      <c r="AL8" s="87"/>
      <c r="AM8" s="87"/>
      <c r="AN8" s="87"/>
      <c r="AO8" s="87"/>
      <c r="AP8" s="87"/>
      <c r="AQ8" s="87"/>
      <c r="AR8" s="87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ht="12.75">
      <c r="A9" s="86"/>
      <c r="B9" s="97" t="s">
        <v>74</v>
      </c>
      <c r="C9" s="91" t="s">
        <v>82</v>
      </c>
      <c r="D9" s="87"/>
      <c r="E9" s="90">
        <f>Depr!AB36</f>
        <v>1368513.154166679</v>
      </c>
      <c r="F9" s="91" t="s">
        <v>76</v>
      </c>
      <c r="G9" s="87"/>
      <c r="H9" s="87"/>
      <c r="I9" s="87"/>
      <c r="J9" s="91"/>
      <c r="K9" s="87"/>
      <c r="L9" s="9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94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:147" ht="12.75">
      <c r="A10" s="86"/>
      <c r="B10" s="89"/>
      <c r="C10" s="91" t="s">
        <v>83</v>
      </c>
      <c r="D10" s="87"/>
      <c r="E10" s="94">
        <f>V5</f>
        <v>73.68294983392562</v>
      </c>
      <c r="F10" s="91" t="s">
        <v>84</v>
      </c>
      <c r="G10" s="87"/>
      <c r="H10" s="94"/>
      <c r="I10" s="94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8" t="s">
        <v>85</v>
      </c>
      <c r="W10" s="98" t="s">
        <v>27</v>
      </c>
      <c r="X10" s="98" t="s">
        <v>58</v>
      </c>
      <c r="Y10" s="98" t="s">
        <v>59</v>
      </c>
      <c r="Z10" s="87"/>
      <c r="AA10" s="94"/>
      <c r="AB10" s="87"/>
      <c r="AC10" s="87"/>
      <c r="AD10" s="87"/>
      <c r="AE10" s="87"/>
      <c r="AF10" s="87"/>
      <c r="AG10" s="87"/>
      <c r="AH10" s="87"/>
      <c r="AI10" s="87" t="s">
        <v>86</v>
      </c>
      <c r="AJ10" s="87"/>
      <c r="AK10" s="87"/>
      <c r="AL10" s="87"/>
      <c r="AM10" s="87"/>
      <c r="AN10" s="87"/>
      <c r="AO10" s="87"/>
      <c r="AP10" s="87"/>
      <c r="AQ10" s="87"/>
      <c r="AR10" s="87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</row>
    <row r="11" spans="1:147" ht="12.75">
      <c r="A11" s="86"/>
      <c r="B11" s="89"/>
      <c r="C11" s="91" t="s">
        <v>87</v>
      </c>
      <c r="D11" s="87"/>
      <c r="E11" s="94">
        <f>HLOOKUP($AJ$34,$AJ$28:$AR$32,($E$12)+1)</f>
        <v>73.9273127861202</v>
      </c>
      <c r="F11" s="91" t="s">
        <v>84</v>
      </c>
      <c r="G11" s="87"/>
      <c r="H11" s="87"/>
      <c r="I11" s="87"/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>
        <f>100*(+AD5/$E$9)</f>
        <v>74.33682474129236</v>
      </c>
      <c r="W11" s="99">
        <f>EXP(5.7226-(0.68367*LN(+V11)))</f>
        <v>16.069692225300127</v>
      </c>
      <c r="X11" s="95">
        <f>(+W11*V11)/100</f>
        <v>11.94569894598644</v>
      </c>
      <c r="Y11" s="94">
        <f>100*((((X11/100)-((X11/100)-0.03574)*$E$21)-0.03574-0.00619)/0.344)</f>
        <v>14.262561931253053</v>
      </c>
      <c r="Z11" s="87">
        <f>$E$20</f>
        <v>0.25</v>
      </c>
      <c r="AA11" s="94">
        <f>Y11+Z11</f>
        <v>14.512561931253053</v>
      </c>
      <c r="AB11" s="94">
        <f>100*($E$17*$E$19+($E$18*(AA11/100))/(1-$E$21))</f>
        <v>15.31323811932096</v>
      </c>
      <c r="AC11" s="95">
        <f>AB11/V11</f>
        <v>0.20599801205679985</v>
      </c>
      <c r="AD11" s="93">
        <f>$E$8/(1-AC11)</f>
        <v>1015978.1725155493</v>
      </c>
      <c r="AE11" s="87" t="str">
        <f>IF(AD11=AD5,"yes","not yet")</f>
        <v>not yet</v>
      </c>
      <c r="AF11" s="94">
        <f>100*(1-AC11)</f>
        <v>79.40019879432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:147" ht="12.75">
      <c r="A12" s="86"/>
      <c r="B12" s="89"/>
      <c r="C12" s="91" t="s">
        <v>88</v>
      </c>
      <c r="D12" s="87"/>
      <c r="E12" s="87">
        <f>VLOOKUP(E10,AI5:AJ8,2)</f>
        <v>2</v>
      </c>
      <c r="F12" s="91" t="s">
        <v>84</v>
      </c>
      <c r="G12" s="87"/>
      <c r="H12" s="87"/>
      <c r="I12" s="87"/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>
        <f>100*(+AD6/$E$9)</f>
        <v>73.96260987258574</v>
      </c>
      <c r="W12" s="99">
        <f>EXP(5.70827-(0.68367*LN(+V12)))</f>
        <v>15.895806691226504</v>
      </c>
      <c r="X12" s="95">
        <f>(+W12*V12)/100</f>
        <v>11.75695348913224</v>
      </c>
      <c r="Y12" s="94">
        <f>100*((((X12/100)-((X12/100)-0.03574)*$E$21)-0.03574-0.00619)/0.344)</f>
        <v>13.900434019846742</v>
      </c>
      <c r="Z12" s="87">
        <f>$E$20</f>
        <v>0.25</v>
      </c>
      <c r="AA12" s="94">
        <f>Y12+Z12</f>
        <v>14.150434019846742</v>
      </c>
      <c r="AB12" s="94">
        <f>100*($E$17*$E$19+($E$18*(AA12/100))/(1-$E$21))</f>
        <v>14.984030927133402</v>
      </c>
      <c r="AC12" s="95">
        <f>AB12/V12</f>
        <v>0.20258926710328587</v>
      </c>
      <c r="AD12" s="93">
        <f>$E$8/(1-AC12)</f>
        <v>1011635.1027203107</v>
      </c>
      <c r="AE12" s="87" t="str">
        <f>IF(AD12=AD6,"yes","not yet")</f>
        <v>not yet</v>
      </c>
      <c r="AF12" s="94">
        <f>100*(1-AC12)</f>
        <v>79.74107328967142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</row>
    <row r="13" spans="1:147" ht="12.75">
      <c r="A13" s="86"/>
      <c r="B13" s="89"/>
      <c r="C13" s="87"/>
      <c r="D13" s="87"/>
      <c r="E13" s="87"/>
      <c r="F13" s="87"/>
      <c r="G13" s="87"/>
      <c r="H13" s="87"/>
      <c r="I13" s="87"/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>
        <f>100*(+AD7/$E$9)</f>
        <v>73.71264891072664</v>
      </c>
      <c r="W13" s="99">
        <f>EXP(5.6985-(0.68367*LN(V13)))</f>
        <v>15.777734859728348</v>
      </c>
      <c r="X13" s="95">
        <f>(+W13*V13)/100</f>
        <v>11.630186303216885</v>
      </c>
      <c r="Y13" s="94">
        <f>100*((((X13/100)-((X13/100)-0.03574)*$E$21)-0.03574-0.00619)/0.344)</f>
        <v>13.65721790733472</v>
      </c>
      <c r="Z13" s="87">
        <f>$E$20</f>
        <v>0.25</v>
      </c>
      <c r="AA13" s="94">
        <f>Y13+Z13</f>
        <v>13.90721790733472</v>
      </c>
      <c r="AB13" s="94">
        <f>100*($E$17*$E$19+($E$18*(AA13/100))/(1-$E$21))</f>
        <v>14.762925370304291</v>
      </c>
      <c r="AC13" s="95">
        <f>AB13/V13</f>
        <v>0.20027669047931873</v>
      </c>
      <c r="AD13" s="93">
        <f>$E$8/(1-AC13)</f>
        <v>1008709.7363308556</v>
      </c>
      <c r="AE13" s="87" t="str">
        <f>IF(AD13=AD7,"yes","not yet")</f>
        <v>not yet</v>
      </c>
      <c r="AF13" s="94">
        <f>100*(1-AC13)</f>
        <v>79.97233095206812</v>
      </c>
      <c r="AG13" s="87"/>
      <c r="AH13" s="87"/>
      <c r="AI13" s="87"/>
      <c r="AJ13" s="87">
        <v>1</v>
      </c>
      <c r="AK13" s="87">
        <v>2</v>
      </c>
      <c r="AL13" s="87">
        <v>3</v>
      </c>
      <c r="AM13" s="87">
        <v>4</v>
      </c>
      <c r="AN13" s="87">
        <v>5</v>
      </c>
      <c r="AO13" s="87">
        <v>6</v>
      </c>
      <c r="AP13" s="87">
        <v>7</v>
      </c>
      <c r="AQ13" s="87">
        <v>8</v>
      </c>
      <c r="AR13" s="87">
        <v>9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:147" ht="12.75">
      <c r="A14" s="86"/>
      <c r="B14" s="89"/>
      <c r="C14" s="91" t="s">
        <v>89</v>
      </c>
      <c r="D14" s="87"/>
      <c r="E14" s="87"/>
      <c r="F14" s="87"/>
      <c r="G14" s="87"/>
      <c r="H14" s="87"/>
      <c r="I14" s="87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>
        <f>100*(+AD8/$E$9)</f>
        <v>73.55364069868574</v>
      </c>
      <c r="W14" s="99">
        <f>EXP(5.6922-(0.68367*LN(V14)))</f>
        <v>15.70181203967685</v>
      </c>
      <c r="X14" s="95">
        <f>(+W14*V14)/100</f>
        <v>11.54925441084689</v>
      </c>
      <c r="Y14" s="94">
        <f>100*((((X14/100)-((X14/100)-0.03574)*$E$21)-0.03574-0.00619)/0.344)</f>
        <v>13.501941602206244</v>
      </c>
      <c r="Z14" s="87">
        <f>$E$20</f>
        <v>0.25</v>
      </c>
      <c r="AA14" s="94">
        <f>Y14+Z14</f>
        <v>13.751941602206244</v>
      </c>
      <c r="AB14" s="94">
        <f>100*($E$17*$E$19+($E$18*(AA14/100))/(1-$E$21))</f>
        <v>14.621765092914767</v>
      </c>
      <c r="AC14" s="95">
        <f>AB14/V14</f>
        <v>0.19879050110943086</v>
      </c>
      <c r="AD14" s="93">
        <f>$E$8/(1-AC14)</f>
        <v>1006838.6480705278</v>
      </c>
      <c r="AE14" s="87" t="str">
        <f>IF(AD14=AD8,"yes","not yet")</f>
        <v>not yet</v>
      </c>
      <c r="AF14" s="94">
        <f>100*(1-AC14)</f>
        <v>80.12094988905692</v>
      </c>
      <c r="AG14" s="87"/>
      <c r="AH14" s="87"/>
      <c r="AI14" s="87"/>
      <c r="AJ14" s="87" t="str">
        <f>AE5</f>
        <v>not yet</v>
      </c>
      <c r="AK14" s="87" t="str">
        <f>AE11</f>
        <v>not yet</v>
      </c>
      <c r="AL14" s="87" t="str">
        <f>AE17</f>
        <v>not yet</v>
      </c>
      <c r="AM14" s="87" t="str">
        <f>AE23</f>
        <v>not yet</v>
      </c>
      <c r="AN14" s="87" t="str">
        <f>AE29</f>
        <v>not yet</v>
      </c>
      <c r="AO14" s="87" t="str">
        <f>AE35</f>
        <v>not yet</v>
      </c>
      <c r="AP14" s="87" t="str">
        <f>AE41</f>
        <v>yes</v>
      </c>
      <c r="AQ14" s="87" t="str">
        <f>AE47</f>
        <v>not yet</v>
      </c>
      <c r="AR14" s="87" t="str">
        <f>AE53</f>
        <v>yes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:147" ht="12.75">
      <c r="A15" s="86"/>
      <c r="B15" s="89"/>
      <c r="C15" s="91" t="s">
        <v>90</v>
      </c>
      <c r="D15" s="87"/>
      <c r="E15" s="97" t="s">
        <v>66</v>
      </c>
      <c r="F15" s="91" t="s">
        <v>91</v>
      </c>
      <c r="G15" s="87"/>
      <c r="H15" s="94">
        <f>HLOOKUP($AJ$25,$AJ$19:$AR$23,($E$12)+1)</f>
        <v>79.7355886645012</v>
      </c>
      <c r="I15" s="91" t="s">
        <v>68</v>
      </c>
      <c r="J15" s="86"/>
      <c r="K15" s="10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94"/>
      <c r="AB15" s="87"/>
      <c r="AC15" s="87"/>
      <c r="AD15" s="87"/>
      <c r="AE15" s="87"/>
      <c r="AF15" s="87"/>
      <c r="AG15" s="87"/>
      <c r="AH15" s="87"/>
      <c r="AI15" s="87"/>
      <c r="AJ15" s="87" t="str">
        <f>AE6</f>
        <v>not yet</v>
      </c>
      <c r="AK15" s="87" t="str">
        <f>AE12</f>
        <v>not yet</v>
      </c>
      <c r="AL15" s="87" t="str">
        <f>AE18</f>
        <v>not yet</v>
      </c>
      <c r="AM15" s="87" t="str">
        <f>AE24</f>
        <v>not yet</v>
      </c>
      <c r="AN15" s="87" t="str">
        <f>AE30</f>
        <v>not yet</v>
      </c>
      <c r="AO15" s="87" t="str">
        <f>AE36</f>
        <v>not yet</v>
      </c>
      <c r="AP15" s="87" t="str">
        <f>AE42</f>
        <v>yes</v>
      </c>
      <c r="AQ15" s="87" t="str">
        <f>AE48</f>
        <v>yes</v>
      </c>
      <c r="AR15" s="87" t="str">
        <f>AE54</f>
        <v>yes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ht="12.75">
      <c r="A16" s="86"/>
      <c r="B16" s="89"/>
      <c r="C16" s="101"/>
      <c r="D16" s="101"/>
      <c r="E16" s="102"/>
      <c r="F16" s="87"/>
      <c r="G16" s="87"/>
      <c r="H16" s="101"/>
      <c r="I16" s="8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1" t="s">
        <v>93</v>
      </c>
      <c r="W16" s="98" t="s">
        <v>27</v>
      </c>
      <c r="X16" s="98" t="s">
        <v>58</v>
      </c>
      <c r="Y16" s="98" t="s">
        <v>59</v>
      </c>
      <c r="Z16" s="87"/>
      <c r="AA16" s="94"/>
      <c r="AB16" s="87"/>
      <c r="AC16" s="87"/>
      <c r="AD16" s="87"/>
      <c r="AE16" s="87"/>
      <c r="AF16" s="87"/>
      <c r="AG16" s="87"/>
      <c r="AH16" s="87"/>
      <c r="AI16" s="87"/>
      <c r="AJ16" s="87" t="str">
        <f>AE7</f>
        <v>not yet</v>
      </c>
      <c r="AK16" s="87" t="str">
        <f>AE13</f>
        <v>not yet</v>
      </c>
      <c r="AL16" s="87" t="str">
        <f>AE19</f>
        <v>not yet</v>
      </c>
      <c r="AM16" s="87" t="str">
        <f>AE25</f>
        <v>not yet</v>
      </c>
      <c r="AN16" s="87" t="str">
        <f>AE31</f>
        <v>not yet</v>
      </c>
      <c r="AO16" s="87" t="str">
        <f>AE37</f>
        <v>not yet</v>
      </c>
      <c r="AP16" s="87" t="str">
        <f>AE43</f>
        <v>yes</v>
      </c>
      <c r="AQ16" s="87" t="str">
        <f>AE49</f>
        <v>yes</v>
      </c>
      <c r="AR16" s="87" t="str">
        <f>AE55</f>
        <v>yes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</row>
    <row r="17" spans="1:147" ht="12.75">
      <c r="A17" s="86"/>
      <c r="B17" s="97" t="s">
        <v>74</v>
      </c>
      <c r="C17" s="91" t="s">
        <v>94</v>
      </c>
      <c r="D17" s="87"/>
      <c r="E17" s="92">
        <v>0.4</v>
      </c>
      <c r="F17" s="91" t="s">
        <v>95</v>
      </c>
      <c r="G17" s="87"/>
      <c r="H17" s="87"/>
      <c r="I17" s="89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4">
        <f>100*(+AD11/$E$9)</f>
        <v>74.23956206940541</v>
      </c>
      <c r="W17" s="99">
        <f>EXP(5.7226-(0.68367*LN(+V17)))</f>
        <v>16.084082693583984</v>
      </c>
      <c r="X17" s="95">
        <f>(+W17*V17)/100</f>
        <v>11.940752554597776</v>
      </c>
      <c r="Y17" s="94">
        <f>100*((((X17/100)-((X17/100)-0.03574)*$E$21)-0.03574-0.00619)/0.344)</f>
        <v>14.25307176172829</v>
      </c>
      <c r="Z17" s="87">
        <f>$E$20</f>
        <v>0.25</v>
      </c>
      <c r="AA17" s="94">
        <f>Y17+Z17</f>
        <v>14.50307176172829</v>
      </c>
      <c r="AB17" s="94">
        <f>100*($E$17*$E$19+($E$18*(AA17/100))/(1-$E$21))</f>
        <v>15.304610692480264</v>
      </c>
      <c r="AC17" s="95">
        <f>AB17/V17</f>
        <v>0.2061516833595034</v>
      </c>
      <c r="AD17" s="93">
        <f>$E$8/(1-AC17)</f>
        <v>1016174.8431968573</v>
      </c>
      <c r="AE17" s="87" t="str">
        <f>IF(AD17=AD11,"yes","not yet")</f>
        <v>not yet</v>
      </c>
      <c r="AF17" s="94">
        <f>100*(1-AC17)</f>
        <v>79.38483166404966</v>
      </c>
      <c r="AG17" s="87"/>
      <c r="AH17" s="87"/>
      <c r="AI17" s="87"/>
      <c r="AJ17" s="87" t="str">
        <f>AE8</f>
        <v>not yet</v>
      </c>
      <c r="AK17" s="87" t="str">
        <f>AE14</f>
        <v>not yet</v>
      </c>
      <c r="AL17" s="87" t="str">
        <f>AE20</f>
        <v>not yet</v>
      </c>
      <c r="AM17" s="87" t="str">
        <f>AE26</f>
        <v>not yet</v>
      </c>
      <c r="AN17" s="87" t="str">
        <f>AE32</f>
        <v>not yet</v>
      </c>
      <c r="AO17" s="87" t="str">
        <f>AE38</f>
        <v>not yet</v>
      </c>
      <c r="AP17" s="87" t="str">
        <f>AE44</f>
        <v>yes</v>
      </c>
      <c r="AQ17" s="87" t="str">
        <f>AE50</f>
        <v>yes</v>
      </c>
      <c r="AR17" s="87" t="str">
        <f>AE56</f>
        <v>yes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</row>
    <row r="18" spans="1:147" ht="12.75">
      <c r="A18" s="86"/>
      <c r="B18" s="97" t="s">
        <v>74</v>
      </c>
      <c r="C18" s="91" t="s">
        <v>96</v>
      </c>
      <c r="D18" s="87"/>
      <c r="E18" s="92">
        <v>0.6</v>
      </c>
      <c r="F18" s="91" t="s">
        <v>97</v>
      </c>
      <c r="G18" s="87"/>
      <c r="H18" s="103">
        <v>0.015</v>
      </c>
      <c r="I18" s="91" t="s">
        <v>74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4">
        <f>100*(+AD12/$E$9)</f>
        <v>73.92220525175149</v>
      </c>
      <c r="W18" s="99">
        <f>EXP(5.70827-(0.68367*LN(+V18)))</f>
        <v>15.901746161042205</v>
      </c>
      <c r="X18" s="95">
        <f>(+W18*V18)/100</f>
        <v>11.754921435778133</v>
      </c>
      <c r="Y18" s="94">
        <f>100*((((X18/100)-((X18/100)-0.03574)*$E$21)-0.03574-0.00619)/0.344)</f>
        <v>13.89653531283014</v>
      </c>
      <c r="Z18" s="87">
        <f>$E$20</f>
        <v>0.25</v>
      </c>
      <c r="AA18" s="94">
        <f>Y18+Z18</f>
        <v>14.14653531283014</v>
      </c>
      <c r="AB18" s="94">
        <f>100*($E$17*$E$19+($E$18*(AA18/100))/(1-$E$21))</f>
        <v>14.980486648027401</v>
      </c>
      <c r="AC18" s="95">
        <f>AB18/V18</f>
        <v>0.20265205288464333</v>
      </c>
      <c r="AD18" s="93">
        <f>$E$8/(1-AC18)</f>
        <v>1011714.7621721257</v>
      </c>
      <c r="AE18" s="87" t="str">
        <f>IF(AD18=AD12,"yes","not yet")</f>
        <v>not yet</v>
      </c>
      <c r="AF18" s="94">
        <f>100*(1-AC18)</f>
        <v>79.73479471153566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1:147" ht="12.75">
      <c r="A19" s="86"/>
      <c r="B19" s="97" t="s">
        <v>74</v>
      </c>
      <c r="C19" s="91" t="s">
        <v>98</v>
      </c>
      <c r="D19" s="87"/>
      <c r="E19" s="92">
        <v>0.053</v>
      </c>
      <c r="F19" s="91" t="s">
        <v>99</v>
      </c>
      <c r="G19" s="87"/>
      <c r="H19" s="103">
        <v>0.004</v>
      </c>
      <c r="I19" s="91" t="s">
        <v>74</v>
      </c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4">
        <f>100*(+AD13/$E$9)</f>
        <v>73.7084428644081</v>
      </c>
      <c r="W19" s="99">
        <f>EXP(5.6985-(0.68367*LN(V19)))</f>
        <v>15.778350382424843</v>
      </c>
      <c r="X19" s="95">
        <f>(+W19*V19)/100</f>
        <v>11.629976376575733</v>
      </c>
      <c r="Y19" s="94">
        <f>100*((((X19/100)-((X19/100)-0.03574)*$E$21)-0.03574-0.00619)/0.344)</f>
        <v>13.656815141104605</v>
      </c>
      <c r="Z19" s="87">
        <f>$E$20</f>
        <v>0.25</v>
      </c>
      <c r="AA19" s="94">
        <f>Y19+Z19</f>
        <v>13.906815141104605</v>
      </c>
      <c r="AB19" s="94">
        <f>100*($E$17*$E$19+($E$18*(AA19/100))/(1-$E$21))</f>
        <v>14.762559219186006</v>
      </c>
      <c r="AC19" s="95">
        <f>AB19/V19</f>
        <v>0.200283151366293</v>
      </c>
      <c r="AD19" s="93">
        <f>$E$8/(1-AC19)</f>
        <v>1008717.8856647199</v>
      </c>
      <c r="AE19" s="87" t="str">
        <f>IF(AD19=AD13,"yes","not yet")</f>
        <v>not yet</v>
      </c>
      <c r="AF19" s="94">
        <f>100*(1-AC19)</f>
        <v>79.9716848633707</v>
      </c>
      <c r="AG19" s="87"/>
      <c r="AH19" s="87"/>
      <c r="AI19" s="87"/>
      <c r="AJ19" s="87" t="str">
        <f>HLOOKUP(1,$AJ$13:$AR$17,($E$12)+1)</f>
        <v>not yet</v>
      </c>
      <c r="AK19" s="87" t="str">
        <f>HLOOKUP(2,$AJ$13:$AR$17,($E$12)+1)</f>
        <v>not yet</v>
      </c>
      <c r="AL19" s="87" t="str">
        <f>HLOOKUP(3,$AJ$13:$AR$17,($E$12)+1)</f>
        <v>not yet</v>
      </c>
      <c r="AM19" s="87" t="str">
        <f>HLOOKUP(4,$AJ$13:$AR$17,($E$12)+1)</f>
        <v>not yet</v>
      </c>
      <c r="AN19" s="87" t="str">
        <f>HLOOKUP(5,$AJ$13:$AR$17,($E$12)+1)</f>
        <v>not yet</v>
      </c>
      <c r="AO19" s="87" t="str">
        <f>HLOOKUP(6,$AJ$13:$AR$17,($E$12)+1)</f>
        <v>not yet</v>
      </c>
      <c r="AP19" s="87" t="str">
        <f>HLOOKUP(7,$AJ$13:$AR$17,($E$12)+1)</f>
        <v>yes</v>
      </c>
      <c r="AQ19" s="87" t="str">
        <f>HLOOKUP(8,$AJ$13:$AR$17,($E$12)+1)</f>
        <v>yes</v>
      </c>
      <c r="AR19" s="87" t="str">
        <f>HLOOKUP(9,$AJ$13:$AR$17,($E$12)+1)</f>
        <v>yes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1:147" ht="12.75">
      <c r="A20" s="86"/>
      <c r="B20" s="97" t="s">
        <v>74</v>
      </c>
      <c r="C20" s="91" t="s">
        <v>199</v>
      </c>
      <c r="D20" s="87"/>
      <c r="E20" s="104">
        <v>0.25</v>
      </c>
      <c r="F20" s="91" t="s">
        <v>200</v>
      </c>
      <c r="G20" s="87"/>
      <c r="H20" s="92">
        <v>0</v>
      </c>
      <c r="I20" s="91" t="s">
        <v>74</v>
      </c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4">
        <f>100*(+AD14/$E$9)</f>
        <v>73.57171869375392</v>
      </c>
      <c r="W20" s="99">
        <f>EXP(5.6922-(0.68367*LN(V20)))</f>
        <v>15.69917417483603</v>
      </c>
      <c r="X20" s="95">
        <f>(+W20*V20)/100</f>
        <v>11.550152261152828</v>
      </c>
      <c r="Y20" s="94">
        <f>100*((((X20/100)-((X20/100)-0.03574)*$E$21)-0.03574-0.00619)/0.344)</f>
        <v>13.503664221979264</v>
      </c>
      <c r="Z20" s="87">
        <f>$E$20</f>
        <v>0.25</v>
      </c>
      <c r="AA20" s="94">
        <f>Y20+Z20</f>
        <v>13.753664221979264</v>
      </c>
      <c r="AB20" s="94">
        <f>100*($E$17*$E$19+($E$18*(AA20/100))/(1-$E$21))</f>
        <v>14.623331110890241</v>
      </c>
      <c r="AC20" s="95">
        <f>AB20/V20</f>
        <v>0.19876294003352854</v>
      </c>
      <c r="AD20" s="93">
        <f>$E$8/(1-AC20)</f>
        <v>1006804.0146795037</v>
      </c>
      <c r="AE20" s="87" t="str">
        <f>IF(AD20=AD14,"yes","not yet")</f>
        <v>not yet</v>
      </c>
      <c r="AF20" s="94">
        <f>100*(1-AC20)</f>
        <v>80.12370599664715</v>
      </c>
      <c r="AG20" s="87"/>
      <c r="AH20" s="87"/>
      <c r="AI20" s="87">
        <v>1</v>
      </c>
      <c r="AJ20" s="94">
        <f>AF5</f>
        <v>79.29631117859299</v>
      </c>
      <c r="AK20" s="94">
        <f>AF11</f>
        <v>79.40019879432</v>
      </c>
      <c r="AL20" s="94">
        <f>AF17</f>
        <v>79.38483166404966</v>
      </c>
      <c r="AM20" s="94">
        <f>AF23</f>
        <v>79.38710412595134</v>
      </c>
      <c r="AN20" s="94">
        <f>AF29</f>
        <v>79.38676806430087</v>
      </c>
      <c r="AO20" s="94">
        <f>AF35</f>
        <v>79.3868177622611</v>
      </c>
      <c r="AP20" s="94">
        <f>AF41</f>
        <v>79.38680555395413</v>
      </c>
      <c r="AQ20" s="94">
        <f>AF47</f>
        <v>79.38681710737814</v>
      </c>
      <c r="AR20" s="94">
        <f>AF53</f>
        <v>79.38680555395413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1:147" ht="12.75">
      <c r="A21" s="86"/>
      <c r="B21" s="97" t="s">
        <v>74</v>
      </c>
      <c r="C21" s="91" t="s">
        <v>100</v>
      </c>
      <c r="D21" s="87"/>
      <c r="E21" s="104">
        <v>0.34</v>
      </c>
      <c r="F21" s="91" t="s">
        <v>101</v>
      </c>
      <c r="G21" s="87"/>
      <c r="H21" s="105">
        <v>0.004</v>
      </c>
      <c r="I21" s="91" t="s">
        <v>74</v>
      </c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94"/>
      <c r="AB21" s="87"/>
      <c r="AC21" s="87"/>
      <c r="AD21" s="87"/>
      <c r="AE21" s="87"/>
      <c r="AF21" s="87"/>
      <c r="AG21" s="87"/>
      <c r="AH21" s="87"/>
      <c r="AI21" s="87">
        <v>2</v>
      </c>
      <c r="AJ21" s="94">
        <f>AF6</f>
        <v>79.69751198434787</v>
      </c>
      <c r="AK21" s="94">
        <f>AF12</f>
        <v>79.74107328967142</v>
      </c>
      <c r="AL21" s="94">
        <f>AF18</f>
        <v>79.73479471153566</v>
      </c>
      <c r="AM21" s="94">
        <f>AF24</f>
        <v>79.73569954513262</v>
      </c>
      <c r="AN21" s="94">
        <f>AF30</f>
        <v>79.7355691432772</v>
      </c>
      <c r="AO21" s="94">
        <f>AF36</f>
        <v>79.73558793634685</v>
      </c>
      <c r="AP21" s="94">
        <f>AF42</f>
        <v>79.7355886645012</v>
      </c>
      <c r="AQ21" s="94">
        <f>AF48</f>
        <v>79.7355886645012</v>
      </c>
      <c r="AR21" s="94">
        <f>AF54</f>
        <v>79.7355886645012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</row>
    <row r="22" spans="1:147" ht="12.75">
      <c r="A22" s="86"/>
      <c r="B22" s="89"/>
      <c r="C22" s="87"/>
      <c r="D22" s="87"/>
      <c r="E22" s="87"/>
      <c r="F22" s="87"/>
      <c r="G22" s="87"/>
      <c r="H22" s="101"/>
      <c r="I22" s="101"/>
      <c r="J22" s="8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1" t="s">
        <v>102</v>
      </c>
      <c r="W22" s="98" t="s">
        <v>27</v>
      </c>
      <c r="X22" s="98" t="s">
        <v>58</v>
      </c>
      <c r="Y22" s="98" t="s">
        <v>59</v>
      </c>
      <c r="Z22" s="87"/>
      <c r="AA22" s="94"/>
      <c r="AB22" s="87"/>
      <c r="AC22" s="87"/>
      <c r="AD22" s="87"/>
      <c r="AE22" s="87"/>
      <c r="AF22" s="87"/>
      <c r="AG22" s="87"/>
      <c r="AH22" s="87"/>
      <c r="AI22" s="87">
        <v>3</v>
      </c>
      <c r="AJ22" s="94">
        <f>AF7</f>
        <v>79.96776772807392</v>
      </c>
      <c r="AK22" s="94">
        <f>AF13</f>
        <v>79.97233095206812</v>
      </c>
      <c r="AL22" s="94">
        <f>AF19</f>
        <v>79.9716848633707</v>
      </c>
      <c r="AM22" s="94">
        <f>AF25</f>
        <v>79.9717763393166</v>
      </c>
      <c r="AN22" s="94">
        <f>AF31</f>
        <v>79.97176338774514</v>
      </c>
      <c r="AO22" s="94">
        <f>AF37</f>
        <v>79.9717652214858</v>
      </c>
      <c r="AP22" s="94">
        <f>AF43</f>
        <v>79.9717663978184</v>
      </c>
      <c r="AQ22" s="94">
        <f>AF49</f>
        <v>79.9717663978184</v>
      </c>
      <c r="AR22" s="94">
        <f>AF55</f>
        <v>79.9717663978184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1:147" ht="12.75">
      <c r="A23" s="86"/>
      <c r="B23" s="89"/>
      <c r="C23" s="87"/>
      <c r="D23" s="87"/>
      <c r="E23" s="87"/>
      <c r="F23" s="91" t="s">
        <v>103</v>
      </c>
      <c r="G23" s="87"/>
      <c r="H23" s="92">
        <f>SUM(H18:H21)</f>
        <v>0.023</v>
      </c>
      <c r="I23" s="92"/>
      <c r="J23" s="8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4">
        <f>100*(+AD17/$E$9)</f>
        <v>74.253933190407</v>
      </c>
      <c r="W23" s="99">
        <f>EXP(5.7226-(0.68367*LN(+V23)))</f>
        <v>16.081954420763804</v>
      </c>
      <c r="X23" s="95">
        <f>(+W23*V23)/100</f>
        <v>11.94148369130566</v>
      </c>
      <c r="Y23" s="94">
        <f>100*((((X23/100)-((X23/100)-0.03574)*$E$21)-0.03574-0.00619)/0.344)</f>
        <v>14.254474524016675</v>
      </c>
      <c r="Z23" s="87">
        <f>$E$20</f>
        <v>0.25</v>
      </c>
      <c r="AA23" s="94">
        <f>Y23+Z23</f>
        <v>14.504474524016675</v>
      </c>
      <c r="AB23" s="94">
        <f>100*($E$17*$E$19+($E$18*(AA23/100))/(1-$E$21))</f>
        <v>15.305885930924251</v>
      </c>
      <c r="AC23" s="95">
        <f>AB23/V23</f>
        <v>0.2061289587404866</v>
      </c>
      <c r="AD23" s="93">
        <f>$E$8/(1-AC23)</f>
        <v>1016145.7551145795</v>
      </c>
      <c r="AE23" s="87" t="str">
        <f>IF(AD23=AD17,"yes","not yet")</f>
        <v>not yet</v>
      </c>
      <c r="AF23" s="94">
        <f>100*(1-AC23)</f>
        <v>79.38710412595134</v>
      </c>
      <c r="AG23" s="87"/>
      <c r="AH23" s="87"/>
      <c r="AI23" s="87">
        <v>4</v>
      </c>
      <c r="AJ23" s="94">
        <f>AF8</f>
        <v>80.14064199570443</v>
      </c>
      <c r="AK23" s="94">
        <f>AF14</f>
        <v>80.12094988905692</v>
      </c>
      <c r="AL23" s="94">
        <f>AF20</f>
        <v>80.12370599664715</v>
      </c>
      <c r="AM23" s="94">
        <f>AF26</f>
        <v>80.12332023025348</v>
      </c>
      <c r="AN23" s="94">
        <f>AF32</f>
        <v>80.12337422471603</v>
      </c>
      <c r="AO23" s="94">
        <f>AF38</f>
        <v>80.12336666727916</v>
      </c>
      <c r="AP23" s="94">
        <f>AF44</f>
        <v>80.12336462201279</v>
      </c>
      <c r="AQ23" s="94">
        <f>AF50</f>
        <v>80.12336462201279</v>
      </c>
      <c r="AR23" s="94">
        <f>AF56</f>
        <v>80.12336462201279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ht="12.75">
      <c r="A24" s="86"/>
      <c r="B24" s="89"/>
      <c r="C24" s="87"/>
      <c r="D24" s="87"/>
      <c r="E24" s="87"/>
      <c r="F24" s="87"/>
      <c r="G24" s="87"/>
      <c r="H24" s="87"/>
      <c r="I24" s="8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4">
        <f>100*(+AD18/$E$9)</f>
        <v>73.92802612761027</v>
      </c>
      <c r="W24" s="99">
        <f>EXP(5.70827-(0.68367*LN(+V24)))</f>
        <v>15.900890156686033</v>
      </c>
      <c r="X24" s="95">
        <f>(+W24*V24)/100</f>
        <v>11.75521422955746</v>
      </c>
      <c r="Y24" s="94">
        <f>100*((((X24/100)-((X24/100)-0.03574)*$E$21)-0.03574-0.00619)/0.344)</f>
        <v>13.897097068336983</v>
      </c>
      <c r="Z24" s="87">
        <f>$E$20</f>
        <v>0.25</v>
      </c>
      <c r="AA24" s="94">
        <f>Y24+Z24</f>
        <v>14.147097068336983</v>
      </c>
      <c r="AB24" s="94">
        <f>100*($E$17*$E$19+($E$18*(AA24/100))/(1-$E$21))</f>
        <v>14.980997334851805</v>
      </c>
      <c r="AC24" s="95">
        <f>AB24/V24</f>
        <v>0.20264300454867384</v>
      </c>
      <c r="AD24" s="93">
        <f>$E$8/(1-AC24)</f>
        <v>1011703.2813233645</v>
      </c>
      <c r="AE24" s="87" t="str">
        <f>IF(AD24=AD18,"yes","not yet")</f>
        <v>not yet</v>
      </c>
      <c r="AF24" s="94">
        <f>100*(1-AC24)</f>
        <v>79.73569954513262</v>
      </c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</row>
    <row r="25" spans="1:147" ht="12.75">
      <c r="A25" s="86"/>
      <c r="B25" s="89"/>
      <c r="C25" s="87"/>
      <c r="D25" s="87"/>
      <c r="E25" s="87"/>
      <c r="F25" s="91" t="s">
        <v>104</v>
      </c>
      <c r="G25" s="87"/>
      <c r="H25" s="95">
        <f>((+H15/100)-H23)</f>
        <v>0.7743558866450119</v>
      </c>
      <c r="I25" s="95"/>
      <c r="J25" s="8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4">
        <f>100*(+AD19/$E$9)</f>
        <v>73.7090383525727</v>
      </c>
      <c r="W25" s="99">
        <f>EXP(5.6985-(0.68367*LN(V25)))</f>
        <v>15.778263233694735</v>
      </c>
      <c r="X25" s="95">
        <f>(+W25*V25)/100</f>
        <v>11.630006098293931</v>
      </c>
      <c r="Y25" s="94">
        <f>100*((((X25/100)-((X25/100)-0.03574)*$E$21)-0.03574-0.00619)/0.344)</f>
        <v>13.656872165331379</v>
      </c>
      <c r="Z25" s="87">
        <f>$E$20</f>
        <v>0.25</v>
      </c>
      <c r="AA25" s="94">
        <f>Y25+Z25</f>
        <v>13.906872165331379</v>
      </c>
      <c r="AB25" s="94">
        <f>100*($E$17*$E$19+($E$18*(AA25/100))/(1-$E$21))</f>
        <v>14.762611059392164</v>
      </c>
      <c r="AC25" s="95">
        <f>AB25/V25</f>
        <v>0.20028223660683395</v>
      </c>
      <c r="AD25" s="93">
        <f>$E$8/(1-AC25)</f>
        <v>1008716.731839871</v>
      </c>
      <c r="AE25" s="87" t="str">
        <f>IF(AD25=AD19,"yes","not yet")</f>
        <v>not yet</v>
      </c>
      <c r="AF25" s="94">
        <f>100*(1-AC25)</f>
        <v>79.9717763393166</v>
      </c>
      <c r="AG25" s="87"/>
      <c r="AH25" s="87"/>
      <c r="AI25" s="87"/>
      <c r="AJ25" s="87" t="s">
        <v>105</v>
      </c>
      <c r="AK25" s="87"/>
      <c r="AL25" s="87"/>
      <c r="AM25" s="87"/>
      <c r="AN25" s="87"/>
      <c r="AO25" s="87"/>
      <c r="AP25" s="87"/>
      <c r="AQ25" s="87"/>
      <c r="AR25" s="87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</row>
    <row r="26" spans="1:147" ht="12.75">
      <c r="A26" s="86"/>
      <c r="B26" s="89"/>
      <c r="C26" s="87"/>
      <c r="D26" s="87"/>
      <c r="E26" s="87"/>
      <c r="F26" s="87"/>
      <c r="G26" s="87"/>
      <c r="H26" s="87"/>
      <c r="I26" s="87"/>
      <c r="J26" s="89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94">
        <f>100*(+AD20/$E$9)</f>
        <v>73.56918796243295</v>
      </c>
      <c r="W26" s="99">
        <f>EXP(5.6922-(0.68367*LN(V26)))</f>
        <v>15.699543382787478</v>
      </c>
      <c r="X26" s="95">
        <f>(+W26*V26)/100</f>
        <v>11.550026580526623</v>
      </c>
      <c r="Y26" s="94">
        <f>100*((((X26/100)-((X26/100)-0.03574)*$E$21)-0.03574-0.00619)/0.344)</f>
        <v>13.503423090545267</v>
      </c>
      <c r="Z26" s="87">
        <f>$E$20</f>
        <v>0.25</v>
      </c>
      <c r="AA26" s="94">
        <f>Y26+Z26</f>
        <v>13.753423090545267</v>
      </c>
      <c r="AB26" s="94">
        <f>100*($E$17*$E$19+($E$18*(AA26/100))/(1-$E$21))</f>
        <v>14.623111900495697</v>
      </c>
      <c r="AC26" s="95">
        <f>AB26/V26</f>
        <v>0.19876679769746514</v>
      </c>
      <c r="AD26" s="93">
        <f>$E$8/(1-AC26)</f>
        <v>1006808.8620966196</v>
      </c>
      <c r="AE26" s="87" t="str">
        <f>IF(AD26=AD20,"yes","not yet")</f>
        <v>not yet</v>
      </c>
      <c r="AF26" s="94">
        <f>100*(1-AC26)</f>
        <v>80.12332023025348</v>
      </c>
      <c r="AG26" s="87"/>
      <c r="AH26" s="87"/>
      <c r="AI26" s="87"/>
      <c r="AJ26" s="94">
        <f>HLOOKUP($AJ$25,$AJ$19:$AR$23,($E$12)+1)</f>
        <v>79.7355886645012</v>
      </c>
      <c r="AK26" s="87"/>
      <c r="AL26" s="87"/>
      <c r="AM26" s="87"/>
      <c r="AN26" s="87"/>
      <c r="AO26" s="87"/>
      <c r="AP26" s="87"/>
      <c r="AQ26" s="87"/>
      <c r="AR26" s="87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</row>
    <row r="27" spans="1:147" ht="12.75">
      <c r="A27" s="86"/>
      <c r="B27" s="89"/>
      <c r="C27" s="87"/>
      <c r="D27" s="87"/>
      <c r="E27" s="93"/>
      <c r="F27" s="87"/>
      <c r="G27" s="87"/>
      <c r="H27" s="87"/>
      <c r="I27" s="87"/>
      <c r="J27" s="89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</row>
    <row r="28" spans="1:147" ht="12.75">
      <c r="A28" s="86"/>
      <c r="B28" s="89"/>
      <c r="C28" s="89"/>
      <c r="D28" s="89" t="s">
        <v>0</v>
      </c>
      <c r="E28" s="90" t="s">
        <v>0</v>
      </c>
      <c r="F28" s="89"/>
      <c r="G28" s="89" t="s">
        <v>0</v>
      </c>
      <c r="H28" s="89"/>
      <c r="I28" s="8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1" t="s">
        <v>106</v>
      </c>
      <c r="W28" s="98" t="s">
        <v>27</v>
      </c>
      <c r="X28" s="98" t="s">
        <v>58</v>
      </c>
      <c r="Y28" s="98" t="s">
        <v>59</v>
      </c>
      <c r="Z28" s="87"/>
      <c r="AA28" s="94"/>
      <c r="AB28" s="87"/>
      <c r="AC28" s="87"/>
      <c r="AD28" s="87"/>
      <c r="AE28" s="87"/>
      <c r="AF28" s="87"/>
      <c r="AG28" s="87"/>
      <c r="AH28" s="87"/>
      <c r="AI28" s="87"/>
      <c r="AJ28" s="87" t="str">
        <f>HLOOKUP(1,$AJ$13:$AR$17,($E$12)+1)</f>
        <v>not yet</v>
      </c>
      <c r="AK28" s="87" t="str">
        <f>HLOOKUP(2,$AJ$13:$AR$17,($E$12)+1)</f>
        <v>not yet</v>
      </c>
      <c r="AL28" s="87" t="str">
        <f>HLOOKUP(3,$AJ$13:$AR$17,($E$12)+1)</f>
        <v>not yet</v>
      </c>
      <c r="AM28" s="87" t="str">
        <f>HLOOKUP(4,$AJ$13:$AR$17,($E$12)+1)</f>
        <v>not yet</v>
      </c>
      <c r="AN28" s="87" t="str">
        <f>HLOOKUP(5,$AJ$13:$AR$17,($E$12)+1)</f>
        <v>not yet</v>
      </c>
      <c r="AO28" s="87" t="str">
        <f>HLOOKUP(6,$AJ$13:$AR$17,($E$12)+1)</f>
        <v>not yet</v>
      </c>
      <c r="AP28" s="87" t="str">
        <f>HLOOKUP(7,$AJ$13:$AR$17,($E$12)+1)</f>
        <v>yes</v>
      </c>
      <c r="AQ28" s="87" t="str">
        <f>HLOOKUP(8,$AJ$13:$AR$17,($E$12)+1)</f>
        <v>yes</v>
      </c>
      <c r="AR28" s="87" t="str">
        <f>HLOOKUP(9,$AJ$13:$AR$17,($E$12)+1)</f>
        <v>yes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</row>
    <row r="29" spans="1:147" ht="12.75">
      <c r="A29" s="86"/>
      <c r="B29" s="87"/>
      <c r="C29" s="87"/>
      <c r="D29" s="87" t="s">
        <v>0</v>
      </c>
      <c r="E29" s="93" t="s">
        <v>0</v>
      </c>
      <c r="F29" s="87"/>
      <c r="G29" s="87" t="s"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4">
        <f>100*(+AD23/$E$9)</f>
        <v>74.25180766591428</v>
      </c>
      <c r="W29" s="99">
        <f>EXP(5.7226-(0.68367*LN(+V29)))</f>
        <v>16.082269153897894</v>
      </c>
      <c r="X29" s="95">
        <f>(+W29*V29)/100</f>
        <v>11.941375560466925</v>
      </c>
      <c r="Y29" s="94">
        <f>100*((((X29/100)-((X29/100)-0.03574)*$E$21)-0.03574-0.00619)/0.344)</f>
        <v>14.254267063686543</v>
      </c>
      <c r="Z29" s="87">
        <f>$E$20</f>
        <v>0.25</v>
      </c>
      <c r="AA29" s="94">
        <f>Y29+Z29</f>
        <v>14.504267063686543</v>
      </c>
      <c r="AB29" s="94">
        <f>100*($E$17*$E$19+($E$18*(AA29/100))/(1-$E$21))</f>
        <v>15.305697330624133</v>
      </c>
      <c r="AC29" s="95">
        <f>AB29/V29</f>
        <v>0.20613231935699122</v>
      </c>
      <c r="AD29" s="93">
        <f>$E$8/(1-AC29)</f>
        <v>1016150.0566830637</v>
      </c>
      <c r="AE29" s="87" t="str">
        <f>IF(AD29=AD23,"yes","not yet")</f>
        <v>not yet</v>
      </c>
      <c r="AF29" s="94">
        <f>100*(1-AC29)</f>
        <v>79.38676806430087</v>
      </c>
      <c r="AG29" s="87"/>
      <c r="AH29" s="87"/>
      <c r="AI29" s="87">
        <v>1</v>
      </c>
      <c r="AJ29" s="94">
        <f>V5</f>
        <v>73.68294983392562</v>
      </c>
      <c r="AK29" s="94">
        <f>V11</f>
        <v>74.33682474129236</v>
      </c>
      <c r="AL29" s="94">
        <f>V17</f>
        <v>74.23956206940541</v>
      </c>
      <c r="AM29" s="94">
        <f>V23</f>
        <v>74.253933190407</v>
      </c>
      <c r="AN29" s="94">
        <f>V29</f>
        <v>74.25180766591428</v>
      </c>
      <c r="AO29" s="94">
        <f>V35</f>
        <v>74.25212199014794</v>
      </c>
      <c r="AP29" s="94">
        <f>V41</f>
        <v>74.25204477619786</v>
      </c>
      <c r="AQ29" s="94">
        <f>V47</f>
        <v>74.25211784820283</v>
      </c>
      <c r="AR29" s="94">
        <f>V53</f>
        <v>74.25204477619786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</row>
    <row r="30" spans="1:147" ht="12.75">
      <c r="A30" s="86"/>
      <c r="B30" s="87"/>
      <c r="C30" s="87"/>
      <c r="D30" s="87" t="s">
        <v>0</v>
      </c>
      <c r="E30" s="93" t="s">
        <v>0</v>
      </c>
      <c r="F30" s="87"/>
      <c r="G30" s="87" t="s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4">
        <f>100*(+AD24/$E$9)</f>
        <v>73.92718719897255</v>
      </c>
      <c r="W30" s="99">
        <f>EXP(5.70827-(0.68367*LN(+V30)))</f>
        <v>15.901013520565549</v>
      </c>
      <c r="X30" s="95">
        <f>(+W30*V30)/100</f>
        <v>11.755172031882427</v>
      </c>
      <c r="Y30" s="94">
        <f>100*((((X30/100)-((X30/100)-0.03574)*$E$21)-0.03574-0.00619)/0.344)</f>
        <v>13.897016107681399</v>
      </c>
      <c r="Z30" s="87">
        <f>$E$20</f>
        <v>0.25</v>
      </c>
      <c r="AA30" s="94">
        <f>Y30+Z30</f>
        <v>14.147016107681399</v>
      </c>
      <c r="AB30" s="94">
        <f>100*($E$17*$E$19+($E$18*(AA30/100))/(1-$E$21))</f>
        <v>14.980923734255816</v>
      </c>
      <c r="AC30" s="95">
        <f>AB30/V30</f>
        <v>0.20264430856722793</v>
      </c>
      <c r="AD30" s="93">
        <f>$E$8/(1-AC30)</f>
        <v>1011704.9358921652</v>
      </c>
      <c r="AE30" s="87" t="str">
        <f>IF(AD30=AD24,"yes","not yet")</f>
        <v>not yet</v>
      </c>
      <c r="AF30" s="94">
        <f>100*(1-AC30)</f>
        <v>79.7355691432772</v>
      </c>
      <c r="AG30" s="87"/>
      <c r="AH30" s="87"/>
      <c r="AI30" s="87">
        <v>2</v>
      </c>
      <c r="AJ30" s="94">
        <f>V6</f>
        <v>73.68294983392562</v>
      </c>
      <c r="AK30" s="94">
        <f>V12</f>
        <v>73.96260987258574</v>
      </c>
      <c r="AL30" s="94">
        <f>V18</f>
        <v>73.92220525175149</v>
      </c>
      <c r="AM30" s="94">
        <f>V24</f>
        <v>73.92802612761027</v>
      </c>
      <c r="AN30" s="94">
        <f>V30</f>
        <v>73.92718719897255</v>
      </c>
      <c r="AO30" s="94">
        <f>V36</f>
        <v>73.92730810163218</v>
      </c>
      <c r="AP30" s="94">
        <f>V42</f>
        <v>73.9273127861202</v>
      </c>
      <c r="AQ30" s="94">
        <f>V48</f>
        <v>73.9273127861202</v>
      </c>
      <c r="AR30" s="94">
        <f>V54</f>
        <v>73.9273127861202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</row>
    <row r="31" spans="1:147" ht="12.75">
      <c r="A31" s="86"/>
      <c r="B31" s="87"/>
      <c r="C31" s="87"/>
      <c r="D31" s="87" t="s">
        <v>0</v>
      </c>
      <c r="E31" s="93" t="s">
        <v>0</v>
      </c>
      <c r="F31" s="87"/>
      <c r="G31" s="87" t="s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4">
        <f>100*(+AD25/$E$9)</f>
        <v>73.70895404027763</v>
      </c>
      <c r="W31" s="99">
        <f>EXP(5.6985-(0.68367*LN(V31)))</f>
        <v>15.778275572590774</v>
      </c>
      <c r="X31" s="95">
        <f>(+W31*V31)/100</f>
        <v>11.630001890149286</v>
      </c>
      <c r="Y31" s="94">
        <f>100*((((X31/100)-((X31/100)-0.03574)*$E$21)-0.03574-0.00619)/0.344)</f>
        <v>13.65686409156549</v>
      </c>
      <c r="Z31" s="87">
        <f>$E$20</f>
        <v>0.25</v>
      </c>
      <c r="AA31" s="94">
        <f>Y31+Z31</f>
        <v>13.90686409156549</v>
      </c>
      <c r="AB31" s="94">
        <f>100*($E$17*$E$19+($E$18*(AA31/100))/(1-$E$21))</f>
        <v>14.762603719604991</v>
      </c>
      <c r="AC31" s="95">
        <f>AB31/V31</f>
        <v>0.20028236612254857</v>
      </c>
      <c r="AD31" s="93">
        <f>$E$8/(1-AC31)</f>
        <v>1008716.8952033669</v>
      </c>
      <c r="AE31" s="87" t="str">
        <f>IF(AD31=AD25,"yes","not yet")</f>
        <v>not yet</v>
      </c>
      <c r="AF31" s="94">
        <f>100*(1-AC31)</f>
        <v>79.97176338774514</v>
      </c>
      <c r="AG31" s="87"/>
      <c r="AH31" s="87"/>
      <c r="AI31" s="87">
        <v>3</v>
      </c>
      <c r="AJ31" s="94">
        <f>V7</f>
        <v>73.68294983392562</v>
      </c>
      <c r="AK31" s="94">
        <f>V13</f>
        <v>73.71264891072664</v>
      </c>
      <c r="AL31" s="94">
        <f>V19</f>
        <v>73.7084428644081</v>
      </c>
      <c r="AM31" s="94">
        <f>V25</f>
        <v>73.7090383525727</v>
      </c>
      <c r="AN31" s="94">
        <f>V31</f>
        <v>73.70895404027763</v>
      </c>
      <c r="AO31" s="94">
        <f>V37</f>
        <v>73.7089659775758</v>
      </c>
      <c r="AP31" s="94">
        <f>V43</f>
        <v>73.7089736352759</v>
      </c>
      <c r="AQ31" s="94">
        <f>V49</f>
        <v>73.7089736352759</v>
      </c>
      <c r="AR31" s="94">
        <f>V55</f>
        <v>73.7089736352759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</row>
    <row r="32" spans="1:147" ht="12.75">
      <c r="A32" s="86"/>
      <c r="B32" s="87"/>
      <c r="C32" s="87"/>
      <c r="D32" s="87"/>
      <c r="E32" s="93" t="s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4">
        <f>100*(+AD26/$E$9)</f>
        <v>73.5695421729205</v>
      </c>
      <c r="W32" s="99">
        <f>EXP(5.6922-(0.68367*LN(V32)))</f>
        <v>15.699491705794172</v>
      </c>
      <c r="X32" s="95">
        <f>(+W32*V32)/100</f>
        <v>11.550044171428402</v>
      </c>
      <c r="Y32" s="94">
        <f>100*((((X32/100)-((X32/100)-0.03574)*$E$21)-0.03574-0.00619)/0.344)</f>
        <v>13.503456840531236</v>
      </c>
      <c r="Z32" s="87">
        <f>$E$20</f>
        <v>0.25</v>
      </c>
      <c r="AA32" s="94">
        <f>Y32+Z32</f>
        <v>13.753456840531236</v>
      </c>
      <c r="AB32" s="94">
        <f>100*($E$17*$E$19+($E$18*(AA32/100))/(1-$E$21))</f>
        <v>14.623142582301126</v>
      </c>
      <c r="AC32" s="95">
        <f>AB32/V32</f>
        <v>0.19876625775283968</v>
      </c>
      <c r="AD32" s="93">
        <f>$E$8/(1-AC32)</f>
        <v>1006808.1836166639</v>
      </c>
      <c r="AE32" s="87" t="str">
        <f>IF(AD32=AD26,"yes","not yet")</f>
        <v>not yet</v>
      </c>
      <c r="AF32" s="94">
        <f>100*(1-AC32)</f>
        <v>80.12337422471603</v>
      </c>
      <c r="AG32" s="87"/>
      <c r="AH32" s="87"/>
      <c r="AI32" s="87">
        <v>4</v>
      </c>
      <c r="AJ32" s="94">
        <f>V8</f>
        <v>73.68294983392562</v>
      </c>
      <c r="AK32" s="94">
        <f>V14</f>
        <v>73.55364069868574</v>
      </c>
      <c r="AL32" s="94">
        <f>V20</f>
        <v>73.57171869375392</v>
      </c>
      <c r="AM32" s="94">
        <f>V26</f>
        <v>73.56918796243295</v>
      </c>
      <c r="AN32" s="94">
        <f>V32</f>
        <v>73.5695421729205</v>
      </c>
      <c r="AO32" s="94">
        <f>V38</f>
        <v>73.56949259502983</v>
      </c>
      <c r="AP32" s="94">
        <f>V44</f>
        <v>73.56947917779205</v>
      </c>
      <c r="AQ32" s="94">
        <f>V50</f>
        <v>73.56947917779205</v>
      </c>
      <c r="AR32" s="94">
        <f>V56</f>
        <v>73.56947917779205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</row>
    <row r="33" spans="1:147" ht="12.75">
      <c r="A33" s="86"/>
      <c r="B33" s="87"/>
      <c r="C33" s="87"/>
      <c r="D33" s="87"/>
      <c r="E33" s="93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4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</row>
    <row r="34" spans="1:147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1" t="s">
        <v>107</v>
      </c>
      <c r="W34" s="98" t="s">
        <v>27</v>
      </c>
      <c r="X34" s="98" t="s">
        <v>58</v>
      </c>
      <c r="Y34" s="98" t="s">
        <v>59</v>
      </c>
      <c r="Z34" s="87"/>
      <c r="AA34" s="94"/>
      <c r="AB34" s="87"/>
      <c r="AC34" s="87"/>
      <c r="AD34" s="87"/>
      <c r="AE34" s="87"/>
      <c r="AF34" s="87"/>
      <c r="AG34" s="87"/>
      <c r="AH34" s="87"/>
      <c r="AI34" s="87"/>
      <c r="AJ34" s="87" t="s">
        <v>105</v>
      </c>
      <c r="AK34" s="87"/>
      <c r="AL34" s="87"/>
      <c r="AM34" s="87"/>
      <c r="AN34" s="87"/>
      <c r="AO34" s="87"/>
      <c r="AP34" s="87"/>
      <c r="AQ34" s="87"/>
      <c r="AR34" s="8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</row>
    <row r="35" spans="1:147" ht="12.7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4">
        <f>100*(+AD29/$E$9)</f>
        <v>74.25212199014794</v>
      </c>
      <c r="W35" s="99">
        <f>EXP(5.7226-(0.68367*LN(+V35)))</f>
        <v>16.08222260995876</v>
      </c>
      <c r="X35" s="95">
        <f>(+W35*V35)/100</f>
        <v>11.941391551073732</v>
      </c>
      <c r="Y35" s="94">
        <f>100*((((X35/100)-((X35/100)-0.03574)*$E$21)-0.03574-0.00619)/0.344)</f>
        <v>14.254297743339134</v>
      </c>
      <c r="Z35" s="87">
        <f>$E$20</f>
        <v>0.25</v>
      </c>
      <c r="AA35" s="94">
        <f>Y35+Z35</f>
        <v>14.504297743339134</v>
      </c>
      <c r="AB35" s="94">
        <f>100*($E$17*$E$19+($E$18*(AA35/100))/(1-$E$21))</f>
        <v>15.305725221217395</v>
      </c>
      <c r="AC35" s="95">
        <f>AB35/V35</f>
        <v>0.206131822377389</v>
      </c>
      <c r="AD35" s="93">
        <f>ROUND($E$8/(1-AC35),0)</f>
        <v>1016149</v>
      </c>
      <c r="AE35" s="87" t="str">
        <f>IF(AD35=AD29,"yes","not yet")</f>
        <v>not yet</v>
      </c>
      <c r="AF35" s="94">
        <f>100*(1-AC35)</f>
        <v>79.3868177622611</v>
      </c>
      <c r="AG35" s="87"/>
      <c r="AH35" s="87"/>
      <c r="AI35" s="87"/>
      <c r="AJ35" s="94">
        <f>HLOOKUP($AJ$34,$AJ$28:$AR$32,($E$12)+1)</f>
        <v>73.9273127861202</v>
      </c>
      <c r="AK35" s="87"/>
      <c r="AL35" s="87"/>
      <c r="AM35" s="87"/>
      <c r="AN35" s="87"/>
      <c r="AO35" s="87"/>
      <c r="AP35" s="87"/>
      <c r="AQ35" s="87"/>
      <c r="AR35" s="8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</row>
    <row r="36" spans="1:147" ht="12.7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4">
        <f>100*(+AD30/$E$9)</f>
        <v>73.92730810163218</v>
      </c>
      <c r="W36" s="99">
        <f>EXP(5.70827-(0.68367*LN(+V36)))</f>
        <v>15.900995741767186</v>
      </c>
      <c r="X36" s="95">
        <f>(+W36*V36)/100</f>
        <v>11.755178113243641</v>
      </c>
      <c r="Y36" s="94">
        <f>100*((((X36/100)-((X36/100)-0.03574)*$E$21)-0.03574-0.00619)/0.344)</f>
        <v>13.89702777540931</v>
      </c>
      <c r="Z36" s="87">
        <f>$E$20</f>
        <v>0.25</v>
      </c>
      <c r="AA36" s="94">
        <f>Y36+Z36</f>
        <v>14.14702777540931</v>
      </c>
      <c r="AB36" s="94">
        <f>100*($E$17*$E$19+($E$18*(AA36/100))/(1-$E$21))</f>
        <v>14.980934341281193</v>
      </c>
      <c r="AC36" s="95">
        <f>AB36/V36</f>
        <v>0.20264412063653162</v>
      </c>
      <c r="AD36" s="93">
        <f>ROUND($E$8/(1-AC36),0)</f>
        <v>1011705</v>
      </c>
      <c r="AE36" s="87" t="str">
        <f>IF(AD36=AD30,"yes","not yet")</f>
        <v>not yet</v>
      </c>
      <c r="AF36" s="94">
        <f>100*(1-AC36)</f>
        <v>79.73558793634685</v>
      </c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</row>
    <row r="37" spans="1:147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>100*(+AD31/$E$9)</f>
        <v>73.7089659775758</v>
      </c>
      <c r="W37" s="99">
        <f>EXP(5.6985-(0.68367*LN(V37)))</f>
        <v>15.778273825595235</v>
      </c>
      <c r="X37" s="95">
        <f>(+W37*V37)/100</f>
        <v>11.63000248595674</v>
      </c>
      <c r="Y37" s="94">
        <f>100*((((X37/100)-((X37/100)-0.03574)*$E$21)-0.03574-0.00619)/0.344)</f>
        <v>13.656865234684442</v>
      </c>
      <c r="Z37" s="87">
        <f>$E$20</f>
        <v>0.25</v>
      </c>
      <c r="AA37" s="94">
        <f>Y37+Z37</f>
        <v>13.906865234684442</v>
      </c>
      <c r="AB37" s="94">
        <f>100*($E$17*$E$19+($E$18*(AA37/100))/(1-$E$21))</f>
        <v>14.76260475880404</v>
      </c>
      <c r="AC37" s="95">
        <f>AB37/V37</f>
        <v>0.20028234778514206</v>
      </c>
      <c r="AD37" s="93">
        <f>ROUND($E$8/(1-AC37),0)</f>
        <v>1008717</v>
      </c>
      <c r="AE37" s="87" t="str">
        <f>IF(AD37=AD31,"yes","not yet")</f>
        <v>not yet</v>
      </c>
      <c r="AF37" s="94">
        <f>100*(1-AC37)</f>
        <v>79.9717652214858</v>
      </c>
      <c r="AG37" s="87"/>
      <c r="AH37" s="87"/>
      <c r="AI37" s="87"/>
      <c r="AJ37" s="87" t="str">
        <f>HLOOKUP(1,$AJ$13:$AR$17,($E$12)+1)</f>
        <v>not yet</v>
      </c>
      <c r="AK37" s="87" t="str">
        <f>HLOOKUP(2,$AJ$13:$AR$17,($E$12)+1)</f>
        <v>not yet</v>
      </c>
      <c r="AL37" s="87" t="str">
        <f>HLOOKUP(3,$AJ$13:$AR$17,($E$12)+1)</f>
        <v>not yet</v>
      </c>
      <c r="AM37" s="87" t="str">
        <f>HLOOKUP(4,$AJ$13:$AR$17,($E$12)+1)</f>
        <v>not yet</v>
      </c>
      <c r="AN37" s="87" t="str">
        <f>HLOOKUP(5,$AJ$13:$AR$17,($E$12)+1)</f>
        <v>not yet</v>
      </c>
      <c r="AO37" s="87" t="str">
        <f>HLOOKUP(6,$AJ$13:$AR$17,($E$12)+1)</f>
        <v>not yet</v>
      </c>
      <c r="AP37" s="87" t="str">
        <f>HLOOKUP(7,$AJ$13:$AR$17,($E$12)+1)</f>
        <v>yes</v>
      </c>
      <c r="AQ37" s="87" t="str">
        <f>HLOOKUP(8,$AJ$13:$AR$17,($E$12)+1)</f>
        <v>yes</v>
      </c>
      <c r="AR37" s="87" t="str">
        <f>HLOOKUP(9,$AJ$13:$AR$17,($E$12)+1)</f>
        <v>yes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</row>
    <row r="38" spans="1:147" ht="12.7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4">
        <f>100*(+AD32/$E$9)</f>
        <v>73.56949259502983</v>
      </c>
      <c r="W38" s="99">
        <f>EXP(5.6922-(0.68367*LN(V38)))</f>
        <v>15.699498938858927</v>
      </c>
      <c r="X38" s="95">
        <f>(+W38*V38)/100</f>
        <v>11.550041709280604</v>
      </c>
      <c r="Y38" s="94">
        <f>100*((((X38/100)-((X38/100)-0.03574)*$E$21)-0.03574-0.00619)/0.344)</f>
        <v>13.503452116643022</v>
      </c>
      <c r="Z38" s="87">
        <f>$E$20</f>
        <v>0.25</v>
      </c>
      <c r="AA38" s="94">
        <f>Y38+Z38</f>
        <v>13.753452116643022</v>
      </c>
      <c r="AB38" s="94">
        <f>100*($E$17*$E$19+($E$18*(AA38/100))/(1-$E$21))</f>
        <v>14.623138287857293</v>
      </c>
      <c r="AC38" s="95">
        <f>AB38/V38</f>
        <v>0.19876633332720844</v>
      </c>
      <c r="AD38" s="93">
        <f>ROUND($E$8/(1-AC38),0)</f>
        <v>1006808</v>
      </c>
      <c r="AE38" s="87" t="str">
        <f>IF(AD38=AD32,"yes","not yet")</f>
        <v>not yet</v>
      </c>
      <c r="AF38" s="94">
        <f>100*(1-AC38)</f>
        <v>80.12336666727916</v>
      </c>
      <c r="AG38" s="87"/>
      <c r="AH38" s="87"/>
      <c r="AI38" s="87">
        <v>1</v>
      </c>
      <c r="AJ38" s="93">
        <f>AD5</f>
        <v>1017309.2249744162</v>
      </c>
      <c r="AK38" s="93">
        <f>AD11</f>
        <v>1015978.1725155493</v>
      </c>
      <c r="AL38" s="93">
        <f>AD17</f>
        <v>1016174.8431968573</v>
      </c>
      <c r="AM38" s="93">
        <f>AD23</f>
        <v>1016145.7551145795</v>
      </c>
      <c r="AN38" s="93">
        <f>AD29</f>
        <v>1016150.0566830637</v>
      </c>
      <c r="AO38" s="93">
        <f>AD35</f>
        <v>1016149</v>
      </c>
      <c r="AP38" s="93">
        <f>AD41</f>
        <v>1016150</v>
      </c>
      <c r="AQ38" s="93">
        <f>AD47</f>
        <v>1016149</v>
      </c>
      <c r="AR38" s="93">
        <f>AD53</f>
        <v>1016150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</row>
    <row r="39" spans="1:147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4"/>
      <c r="AB39" s="87"/>
      <c r="AC39" s="87"/>
      <c r="AD39" s="87"/>
      <c r="AE39" s="87"/>
      <c r="AF39" s="87"/>
      <c r="AG39" s="87"/>
      <c r="AH39" s="87"/>
      <c r="AI39" s="87">
        <v>2</v>
      </c>
      <c r="AJ39" s="93">
        <f>AD6</f>
        <v>1012188.0452713188</v>
      </c>
      <c r="AK39" s="93">
        <f>AD12</f>
        <v>1011635.1027203107</v>
      </c>
      <c r="AL39" s="93">
        <f>AD18</f>
        <v>1011714.7621721257</v>
      </c>
      <c r="AM39" s="93">
        <f>AD24</f>
        <v>1011703.2813233645</v>
      </c>
      <c r="AN39" s="93">
        <f>AD30</f>
        <v>1011704.9358921652</v>
      </c>
      <c r="AO39" s="93">
        <f>AD36</f>
        <v>1011705</v>
      </c>
      <c r="AP39" s="93">
        <f>AD42</f>
        <v>1011705</v>
      </c>
      <c r="AQ39" s="93">
        <f>AD48</f>
        <v>1011705</v>
      </c>
      <c r="AR39" s="93">
        <f>AD54</f>
        <v>1011705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</row>
    <row r="40" spans="1:147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1" t="s">
        <v>108</v>
      </c>
      <c r="W40" s="98" t="s">
        <v>27</v>
      </c>
      <c r="X40" s="98" t="s">
        <v>58</v>
      </c>
      <c r="Y40" s="98" t="s">
        <v>59</v>
      </c>
      <c r="Z40" s="87"/>
      <c r="AA40" s="94"/>
      <c r="AB40" s="87"/>
      <c r="AC40" s="87"/>
      <c r="AD40" s="87"/>
      <c r="AE40" s="87"/>
      <c r="AF40" s="87"/>
      <c r="AG40" s="87"/>
      <c r="AH40" s="87"/>
      <c r="AI40" s="87">
        <v>3</v>
      </c>
      <c r="AJ40" s="93">
        <f>AD7</f>
        <v>1008767.2966279952</v>
      </c>
      <c r="AK40" s="93">
        <f>AD13</f>
        <v>1008709.7363308556</v>
      </c>
      <c r="AL40" s="93">
        <f>AD19</f>
        <v>1008717.8856647199</v>
      </c>
      <c r="AM40" s="93">
        <f>AD25</f>
        <v>1008716.731839871</v>
      </c>
      <c r="AN40" s="93">
        <f>AD31</f>
        <v>1008716.8952033669</v>
      </c>
      <c r="AO40" s="93">
        <f>AD37</f>
        <v>1008717</v>
      </c>
      <c r="AP40" s="93">
        <f>AD43</f>
        <v>1008717</v>
      </c>
      <c r="AQ40" s="93">
        <f>AD49</f>
        <v>1008717</v>
      </c>
      <c r="AR40" s="93">
        <f>AD55</f>
        <v>1008717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</row>
    <row r="41" spans="1:147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4">
        <f>100*(+AD35/$E$9)</f>
        <v>74.25204477619786</v>
      </c>
      <c r="W41" s="99">
        <f>EXP(5.7226-(0.68367*LN(+V41)))</f>
        <v>16.082234043476596</v>
      </c>
      <c r="X41" s="95">
        <f>(+W41*V41)/100</f>
        <v>11.941387622975178</v>
      </c>
      <c r="Y41" s="94">
        <f>100*((((X41/100)-((X41/100)-0.03574)*$E$21)-0.03574-0.00619)/0.344)</f>
        <v>14.254290206870978</v>
      </c>
      <c r="Z41" s="87">
        <f>$E$20</f>
        <v>0.25</v>
      </c>
      <c r="AA41" s="94">
        <f>Y41+Z41</f>
        <v>14.504290206870978</v>
      </c>
      <c r="AB41" s="94">
        <f>100*($E$17*$E$19+($E$18*(AA41/100))/(1-$E$21))</f>
        <v>15.30571836988271</v>
      </c>
      <c r="AC41" s="95">
        <f>AB41/V41</f>
        <v>0.20613194446045868</v>
      </c>
      <c r="AD41" s="93">
        <f>ROUND($E$8/(1-AC41),0)</f>
        <v>1016150</v>
      </c>
      <c r="AE41" s="87" t="str">
        <f>IF(OR(OR(AD41=AD35,AD41=(AD35+1)),AD41=(AD27-1)),"yes","not yet")</f>
        <v>yes</v>
      </c>
      <c r="AF41" s="94">
        <f>100*(1-AC41)</f>
        <v>79.38680555395413</v>
      </c>
      <c r="AG41" s="87"/>
      <c r="AH41" s="87"/>
      <c r="AI41" s="87">
        <v>4</v>
      </c>
      <c r="AJ41" s="93">
        <f>AD8</f>
        <v>1006591.2483300102</v>
      </c>
      <c r="AK41" s="93">
        <f>AD14</f>
        <v>1006838.6480705278</v>
      </c>
      <c r="AL41" s="93">
        <f>AD20</f>
        <v>1006804.0146795037</v>
      </c>
      <c r="AM41" s="93">
        <f>AD26</f>
        <v>1006808.8620966196</v>
      </c>
      <c r="AN41" s="93">
        <f>AD32</f>
        <v>1006808.1836166639</v>
      </c>
      <c r="AO41" s="93">
        <f>AD38</f>
        <v>1006808</v>
      </c>
      <c r="AP41" s="93">
        <f>AD44</f>
        <v>1006808</v>
      </c>
      <c r="AQ41" s="93">
        <f>AD50</f>
        <v>1006808</v>
      </c>
      <c r="AR41" s="93">
        <f>AD56</f>
        <v>1006808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</row>
    <row r="42" spans="1:147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4">
        <f>100*(+AD36/$E$9)</f>
        <v>73.9273127861202</v>
      </c>
      <c r="W42" s="99">
        <f>EXP(5.70827-(0.68367*LN(+V42)))</f>
        <v>15.900995052911796</v>
      </c>
      <c r="X42" s="95">
        <f>(+W42*V42)/100</f>
        <v>11.755178348871603</v>
      </c>
      <c r="Y42" s="94">
        <f>100*((((X42/100)-((X42/100)-0.03574)*$E$21)-0.03574-0.00619)/0.344)</f>
        <v>13.897028227486215</v>
      </c>
      <c r="Z42" s="87">
        <f>$E$20</f>
        <v>0.25</v>
      </c>
      <c r="AA42" s="94">
        <f>Y42+Z42</f>
        <v>14.147028227486215</v>
      </c>
      <c r="AB42" s="94">
        <f>100*($E$17*$E$19+($E$18*(AA42/100))/(1-$E$21))</f>
        <v>14.980934752260197</v>
      </c>
      <c r="AC42" s="95">
        <f>AB42/V42</f>
        <v>0.20264411335498803</v>
      </c>
      <c r="AD42" s="93">
        <f>ROUND($E$8/(1-AC42),0)</f>
        <v>1011705</v>
      </c>
      <c r="AE42" s="87" t="str">
        <f>IF(OR(OR(AD42=AD36,AD42=(AD36+5)),AD42=(AD28-5)),"yes","not yet")</f>
        <v>yes</v>
      </c>
      <c r="AF42" s="94">
        <f>100*(1-AC42)</f>
        <v>79.7355886645012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</row>
    <row r="43" spans="1:147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4">
        <f>100*(+AD37/$E$9)</f>
        <v>73.7089736352759</v>
      </c>
      <c r="W43" s="99">
        <f>EXP(5.6985-(0.68367*LN(V43)))</f>
        <v>15.778272704909076</v>
      </c>
      <c r="X43" s="95">
        <f>(+W43*V43)/100</f>
        <v>11.630002868163364</v>
      </c>
      <c r="Y43" s="94">
        <f>100*((((X43/100)-((X43/100)-0.03574)*$E$21)-0.03574-0.00619)/0.344)</f>
        <v>13.65686596798785</v>
      </c>
      <c r="Z43" s="87">
        <f>$E$20</f>
        <v>0.25</v>
      </c>
      <c r="AA43" s="94">
        <f>Y43+Z43</f>
        <v>13.90686596798785</v>
      </c>
      <c r="AB43" s="94">
        <f>100*($E$17*$E$19+($E$18*(AA43/100))/(1-$E$21))</f>
        <v>14.762605425443502</v>
      </c>
      <c r="AC43" s="95">
        <f>AB43/V43</f>
        <v>0.20028233602181597</v>
      </c>
      <c r="AD43" s="93">
        <f>ROUND($E$8/(1-AC43),0)</f>
        <v>1008717</v>
      </c>
      <c r="AE43" s="87" t="str">
        <f>IF(OR(OR(AD43=AD37,AD43=(AD37+5)),AD43=(AD29-5)),"yes","not yet")</f>
        <v>yes</v>
      </c>
      <c r="AF43" s="94">
        <f>100*(1-AC43)</f>
        <v>79.9717663978184</v>
      </c>
      <c r="AG43" s="87"/>
      <c r="AH43" s="87"/>
      <c r="AI43" s="87"/>
      <c r="AJ43" s="87" t="s">
        <v>105</v>
      </c>
      <c r="AK43" s="87"/>
      <c r="AL43" s="87"/>
      <c r="AM43" s="87"/>
      <c r="AN43" s="87"/>
      <c r="AO43" s="87"/>
      <c r="AP43" s="87"/>
      <c r="AQ43" s="87"/>
      <c r="AR43" s="87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</row>
    <row r="44" spans="1:147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4">
        <f>100*(+AD38/$E$9)</f>
        <v>73.56947917779205</v>
      </c>
      <c r="W44" s="99">
        <f>EXP(5.6922-(0.68367*LN(V44)))</f>
        <v>15.69950089634075</v>
      </c>
      <c r="X44" s="95">
        <f>(+W44*V44)/100</f>
        <v>11.550041042950683</v>
      </c>
      <c r="Y44" s="94">
        <f>100*((((X44/100)-((X44/100)-0.03574)*$E$21)-0.03574-0.00619)/0.344)</f>
        <v>13.503450838219337</v>
      </c>
      <c r="Z44" s="87">
        <f>$E$20</f>
        <v>0.25</v>
      </c>
      <c r="AA44" s="94">
        <f>Y44+Z44</f>
        <v>13.753450838219337</v>
      </c>
      <c r="AB44" s="94">
        <f>100*($E$17*$E$19+($E$18*(AA44/100))/(1-$E$21))</f>
        <v>14.623137125653942</v>
      </c>
      <c r="AC44" s="95">
        <f>AB44/V44</f>
        <v>0.198766353779872</v>
      </c>
      <c r="AD44" s="93">
        <f>ROUND($E$8/(1-AC44),0)</f>
        <v>1006808</v>
      </c>
      <c r="AE44" s="87" t="str">
        <f>IF(OR(OR(AD44=AD38,AD44=(AD38+5)),AD44=(AD30-5)),"yes","not yet")</f>
        <v>yes</v>
      </c>
      <c r="AF44" s="94">
        <f>100*(1-AC44)</f>
        <v>80.12336462201279</v>
      </c>
      <c r="AG44" s="87"/>
      <c r="AH44" s="87"/>
      <c r="AI44" s="87"/>
      <c r="AJ44" s="93">
        <f>HLOOKUP($AJ$34,$AJ$37:$AR$41,($E$12)+1)</f>
        <v>1011705</v>
      </c>
      <c r="AK44" s="87"/>
      <c r="AL44" s="87"/>
      <c r="AM44" s="87"/>
      <c r="AN44" s="87"/>
      <c r="AO44" s="87"/>
      <c r="AP44" s="87"/>
      <c r="AQ44" s="87"/>
      <c r="AR44" s="87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</row>
    <row r="45" spans="1:147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4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</row>
    <row r="46" spans="1:147" ht="12.75">
      <c r="A46" s="86"/>
      <c r="B46" s="87"/>
      <c r="C46" s="87"/>
      <c r="D46" s="93"/>
      <c r="E46" s="93"/>
      <c r="F46" s="93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91" t="s">
        <v>109</v>
      </c>
      <c r="W46" s="98" t="s">
        <v>27</v>
      </c>
      <c r="X46" s="98" t="s">
        <v>58</v>
      </c>
      <c r="Y46" s="98" t="s">
        <v>59</v>
      </c>
      <c r="Z46" s="87"/>
      <c r="AA46" s="94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</row>
    <row r="47" spans="1:147" ht="12.75">
      <c r="A47" s="86"/>
      <c r="B47" s="87"/>
      <c r="C47" s="87"/>
      <c r="D47" s="93"/>
      <c r="E47" s="93"/>
      <c r="F47" s="93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4">
        <f>100*(+AD41/$E$9)</f>
        <v>74.25211784820283</v>
      </c>
      <c r="W47" s="99">
        <f>EXP(5.7226-(0.68367*LN(+V47)))</f>
        <v>16.082223223280106</v>
      </c>
      <c r="X47" s="95">
        <f>(+W47*V47)/100</f>
        <v>11.941391340360987</v>
      </c>
      <c r="Y47" s="94">
        <f>100*((((X47/100)-((X47/100)-0.03574)*$E$21)-0.03574-0.00619)/0.344)</f>
        <v>14.254297339064683</v>
      </c>
      <c r="Z47" s="87">
        <f>$E$20</f>
        <v>0.25</v>
      </c>
      <c r="AA47" s="94">
        <f>Y47+Z47</f>
        <v>14.504297339064683</v>
      </c>
      <c r="AB47" s="94">
        <f>100*($E$17*$E$19+($E$18*(AA47/100))/(1-$E$21))</f>
        <v>15.305724853695168</v>
      </c>
      <c r="AC47" s="95">
        <f>AB47/V47</f>
        <v>0.2061318289262186</v>
      </c>
      <c r="AD47" s="93">
        <f>ROUND($E$8/(1-AC47),0)</f>
        <v>1016149</v>
      </c>
      <c r="AE47" s="87" t="str">
        <f>IF(OR(OR(AD47=AD41,AD47=(AD41+1)),AD47=(AD33-1)),"yes","not yet")</f>
        <v>not yet</v>
      </c>
      <c r="AF47" s="94">
        <f>100*(1-AC47)</f>
        <v>79.38681710737814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</row>
    <row r="48" spans="1:147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4">
        <f>100*(+AD42/$E$9)</f>
        <v>73.9273127861202</v>
      </c>
      <c r="W48" s="99">
        <f>EXP(5.70827-(0.68367*LN(+V48)))</f>
        <v>15.900995052911796</v>
      </c>
      <c r="X48" s="95">
        <f>(+W48*V48)/100</f>
        <v>11.755178348871603</v>
      </c>
      <c r="Y48" s="94">
        <f>100*((((X48/100)-((X48/100)-0.03574)*$E$21)-0.03574-0.00619)/0.344)</f>
        <v>13.897028227486215</v>
      </c>
      <c r="Z48" s="87">
        <f>$E$20</f>
        <v>0.25</v>
      </c>
      <c r="AA48" s="94">
        <f>Y48+Z48</f>
        <v>14.147028227486215</v>
      </c>
      <c r="AB48" s="94">
        <f>100*($E$17*$E$19+($E$18*(AA48/100))/(1-$E$21))</f>
        <v>14.980934752260197</v>
      </c>
      <c r="AC48" s="95">
        <f>AB48/V48</f>
        <v>0.20264411335498803</v>
      </c>
      <c r="AD48" s="93">
        <f>ROUND($E$8/(1-AC48),0)</f>
        <v>1011705</v>
      </c>
      <c r="AE48" s="87" t="str">
        <f>IF(OR(OR(AD48=AD42,AD48=(AD42+1)),AD48=(AD42-1)),"yes","not yet")</f>
        <v>yes</v>
      </c>
      <c r="AF48" s="94">
        <f>100*(1-AC48)</f>
        <v>79.7355886645012</v>
      </c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</row>
    <row r="49" spans="1:147" ht="12.7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4">
        <f>100*(+AD43/$E$9)</f>
        <v>73.7089736352759</v>
      </c>
      <c r="W49" s="99">
        <f>EXP(5.6985-(0.68367*LN(V49)))</f>
        <v>15.778272704909076</v>
      </c>
      <c r="X49" s="95">
        <f>(+W49*V49)/100</f>
        <v>11.630002868163364</v>
      </c>
      <c r="Y49" s="94">
        <f>100*((((X49/100)-((X49/100)-0.03574)*$E$21)-0.03574-0.00619)/0.344)</f>
        <v>13.65686596798785</v>
      </c>
      <c r="Z49" s="87">
        <f>$E$20</f>
        <v>0.25</v>
      </c>
      <c r="AA49" s="94">
        <f>Y49+Z49</f>
        <v>13.90686596798785</v>
      </c>
      <c r="AB49" s="94">
        <f>100*($E$17*$E$19+($E$18*(AA49/100))/(1-$E$21))</f>
        <v>14.762605425443502</v>
      </c>
      <c r="AC49" s="95">
        <f>AB49/V49</f>
        <v>0.20028233602181597</v>
      </c>
      <c r="AD49" s="93">
        <f>ROUND($E$8/(1-AC49),0)</f>
        <v>1008717</v>
      </c>
      <c r="AE49" s="87" t="str">
        <f>IF(OR(OR(AD49=AD43,AD49=(AD43+1)),AD49=(AD43-1)),"yes","not yet")</f>
        <v>yes</v>
      </c>
      <c r="AF49" s="94">
        <f>100*(1-AC49)</f>
        <v>79.9717663978184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</row>
    <row r="50" spans="1:147" ht="12.7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4">
        <f>100*(+AD44/$E$9)</f>
        <v>73.56947917779205</v>
      </c>
      <c r="W50" s="99">
        <f>EXP(5.6922-(0.68367*LN(V50)))</f>
        <v>15.69950089634075</v>
      </c>
      <c r="X50" s="95">
        <f>(+W50*V50)/100</f>
        <v>11.550041042950683</v>
      </c>
      <c r="Y50" s="94">
        <f>100*((((X50/100)-((X50/100)-0.03574)*$E$21)-0.03574-0.00619)/0.344)</f>
        <v>13.503450838219337</v>
      </c>
      <c r="Z50" s="87">
        <f>$E$20</f>
        <v>0.25</v>
      </c>
      <c r="AA50" s="94">
        <f>Y50+Z50</f>
        <v>13.753450838219337</v>
      </c>
      <c r="AB50" s="94">
        <f>100*($E$17*$E$19+($E$18*(AA50/100))/(1-$E$21))</f>
        <v>14.623137125653942</v>
      </c>
      <c r="AC50" s="95">
        <f>AB50/V50</f>
        <v>0.198766353779872</v>
      </c>
      <c r="AD50" s="93">
        <f>ROUND($E$8/(1-AC50),0)</f>
        <v>1006808</v>
      </c>
      <c r="AE50" s="87" t="str">
        <f>IF(OR(OR(AD50=AD44,AD50=(AD44+1)),AD50=(AD44-1)),"yes","not yet")</f>
        <v>yes</v>
      </c>
      <c r="AF50" s="94">
        <f>100*(1-AC50)</f>
        <v>80.12336462201279</v>
      </c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</row>
    <row r="51" spans="1:147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4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</row>
    <row r="52" spans="1:147" ht="12.7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1" t="s">
        <v>110</v>
      </c>
      <c r="W52" s="98" t="s">
        <v>27</v>
      </c>
      <c r="X52" s="98" t="s">
        <v>58</v>
      </c>
      <c r="Y52" s="98" t="s">
        <v>59</v>
      </c>
      <c r="Z52" s="87"/>
      <c r="AA52" s="94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</row>
    <row r="53" spans="1:147" ht="12.7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4">
        <f>100*(+AD47/$E$9)</f>
        <v>74.25204477619786</v>
      </c>
      <c r="W53" s="99">
        <f>EXP(5.7226-(0.68367*LN(+V53)))</f>
        <v>16.082234043476596</v>
      </c>
      <c r="X53" s="95">
        <f>(+W53*V53)/100</f>
        <v>11.941387622975178</v>
      </c>
      <c r="Y53" s="94">
        <f>100*((((X53/100)-((X53/100)-0.03574)*$E$21)-0.03574-0.00619)/0.344)</f>
        <v>14.254290206870978</v>
      </c>
      <c r="Z53" s="87">
        <f>$E$20</f>
        <v>0.25</v>
      </c>
      <c r="AA53" s="94">
        <f>Y53+Z53</f>
        <v>14.504290206870978</v>
      </c>
      <c r="AB53" s="94">
        <f>100*($E$17*$E$19+($E$18*(AA53/100))/(1-$E$21))</f>
        <v>15.30571836988271</v>
      </c>
      <c r="AC53" s="95">
        <f>AB53/V53</f>
        <v>0.20613194446045868</v>
      </c>
      <c r="AD53" s="93">
        <f>ROUND($E$8/(1-AC53),0)</f>
        <v>1016150</v>
      </c>
      <c r="AE53" s="87" t="str">
        <f>IF(OR(OR(AD53=AD47,AD53=(AD47+1)),AD53=(AD39-1)),"yes","not yet")</f>
        <v>yes</v>
      </c>
      <c r="AF53" s="94">
        <f>100*(1-AC53)</f>
        <v>79.38680555395413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</row>
    <row r="54" spans="1:147" ht="12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4">
        <f>100*(+AD48/$E$9)</f>
        <v>73.9273127861202</v>
      </c>
      <c r="W54" s="99">
        <f>EXP(5.70827-(0.68367*LN(+V54)))</f>
        <v>15.900995052911796</v>
      </c>
      <c r="X54" s="95">
        <f>(+W54*V54)/100</f>
        <v>11.755178348871603</v>
      </c>
      <c r="Y54" s="94">
        <f>100*((((X54/100)-((X54/100)-0.03574)*$E$21)-0.03574-0.00619)/0.344)</f>
        <v>13.897028227486215</v>
      </c>
      <c r="Z54" s="87">
        <f>$E$20</f>
        <v>0.25</v>
      </c>
      <c r="AA54" s="94">
        <f>Y54+Z54</f>
        <v>14.147028227486215</v>
      </c>
      <c r="AB54" s="94">
        <f>100*($E$17*$E$19+($E$18*(AA54/100))/(1-$E$21))</f>
        <v>14.980934752260197</v>
      </c>
      <c r="AC54" s="95">
        <f>AB54/V54</f>
        <v>0.20264411335498803</v>
      </c>
      <c r="AD54" s="93">
        <f>ROUND($E$8/(1-AC54),0)</f>
        <v>1011705</v>
      </c>
      <c r="AE54" s="87" t="str">
        <f>IF(OR(OR(AD54=AD48,AD54=(AD48+1)),AD54=(AD48-1)),"yes","not yet")</f>
        <v>yes</v>
      </c>
      <c r="AF54" s="94">
        <f>100*(1-AC54)</f>
        <v>79.7355886645012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</row>
    <row r="55" spans="1:147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4">
        <f>100*(+AD49/$E$9)</f>
        <v>73.7089736352759</v>
      </c>
      <c r="W55" s="99">
        <f>EXP(5.6985-(0.68367*LN(V55)))</f>
        <v>15.778272704909076</v>
      </c>
      <c r="X55" s="95">
        <f>(+W55*V55)/100</f>
        <v>11.630002868163364</v>
      </c>
      <c r="Y55" s="94">
        <f>100*((((X55/100)-((X55/100)-0.03574)*$E$21)-0.03574-0.00619)/0.344)</f>
        <v>13.65686596798785</v>
      </c>
      <c r="Z55" s="87">
        <f>$E$20</f>
        <v>0.25</v>
      </c>
      <c r="AA55" s="94">
        <f>Y55+Z55</f>
        <v>13.90686596798785</v>
      </c>
      <c r="AB55" s="94">
        <f>100*($E$17*$E$19+($E$18*(AA55/100))/(1-$E$21))</f>
        <v>14.762605425443502</v>
      </c>
      <c r="AC55" s="95">
        <f>AB55/V55</f>
        <v>0.20028233602181597</v>
      </c>
      <c r="AD55" s="93">
        <f>ROUND($E$8/(1-AC55),0)</f>
        <v>1008717</v>
      </c>
      <c r="AE55" s="87" t="str">
        <f>IF(OR(OR(AD55=AD49,AD55=(AD49+1)),AD55=(AD49-1)),"yes","not yet")</f>
        <v>yes</v>
      </c>
      <c r="AF55" s="94">
        <f>100*(1-AC55)</f>
        <v>79.9717663978184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</row>
    <row r="56" spans="1:14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4">
        <f>100*(+AD50/$E$9)</f>
        <v>73.56947917779205</v>
      </c>
      <c r="W56" s="99">
        <f>EXP(5.6922-(0.68367*LN(V56)))</f>
        <v>15.69950089634075</v>
      </c>
      <c r="X56" s="95">
        <f>(+W56*V56)/100</f>
        <v>11.550041042950683</v>
      </c>
      <c r="Y56" s="94">
        <f>100*((((X56/100)-((X56/100)-0.03574)*$E$21)-0.03574-0.00619)/0.344)</f>
        <v>13.503450838219337</v>
      </c>
      <c r="Z56" s="87">
        <f>$E$20</f>
        <v>0.25</v>
      </c>
      <c r="AA56" s="94">
        <f>Y56+Z56</f>
        <v>13.753450838219337</v>
      </c>
      <c r="AB56" s="94">
        <f>100*($E$17*$E$19+($E$18*(AA56/100))/(1-$E$21))</f>
        <v>14.623137125653942</v>
      </c>
      <c r="AC56" s="95">
        <f>AB56/V56</f>
        <v>0.198766353779872</v>
      </c>
      <c r="AD56" s="93">
        <f>ROUND($E$8/(1-AC56),0)</f>
        <v>1006808</v>
      </c>
      <c r="AE56" s="87" t="str">
        <f>IF(OR(OR(AD56=AD50,AD56=(AD50+1)),AD56=(AD50-1)),"yes","not yet")</f>
        <v>yes</v>
      </c>
      <c r="AF56" s="94">
        <f>100*(1-AC56)</f>
        <v>80.12336462201279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</row>
    <row r="57" spans="1:147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4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</row>
    <row r="58" spans="1:147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</row>
    <row r="59" spans="1:147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</row>
    <row r="60" spans="1:147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</row>
    <row r="61" spans="1:147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</row>
    <row r="62" spans="1:147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</row>
    <row r="63" spans="1:147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</row>
    <row r="64" spans="1:147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</row>
    <row r="65" spans="1:147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</row>
    <row r="66" spans="1:147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</row>
    <row r="67" spans="1:147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</row>
    <row r="68" spans="1:147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</row>
    <row r="69" spans="1:147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</row>
    <row r="70" spans="1:147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</row>
    <row r="71" spans="1:147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</row>
    <row r="72" spans="1:147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</row>
    <row r="73" spans="1:147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</row>
    <row r="74" spans="1:147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</row>
    <row r="75" spans="1:147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</row>
    <row r="76" spans="1:147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</row>
    <row r="77" spans="1:147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</row>
    <row r="78" spans="1:147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</row>
    <row r="79" spans="1:147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</row>
    <row r="80" spans="1:14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</row>
    <row r="81" spans="1:147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</row>
    <row r="82" spans="1:147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</row>
    <row r="83" spans="1:147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</row>
    <row r="84" spans="1:147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</row>
    <row r="85" spans="1:147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</row>
    <row r="86" spans="1:147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</row>
    <row r="87" spans="1:147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</row>
    <row r="88" spans="1:147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</row>
    <row r="89" spans="1:147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</row>
    <row r="90" spans="1:147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</row>
    <row r="91" spans="1:147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</row>
    <row r="92" spans="1:147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</row>
    <row r="93" spans="1:147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</row>
    <row r="94" spans="1:147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</row>
    <row r="95" spans="1:147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</row>
    <row r="96" spans="1:147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</row>
    <row r="97" spans="1:147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</row>
    <row r="98" spans="1:147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</row>
    <row r="99" spans="1:147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</row>
    <row r="100" spans="1:147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</row>
    <row r="101" spans="1:147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</row>
    <row r="102" spans="1:147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</row>
    <row r="103" spans="1:147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</row>
    <row r="104" spans="1:147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</row>
    <row r="105" spans="1:147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</row>
    <row r="106" spans="1:147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</row>
    <row r="107" spans="1:147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</row>
    <row r="108" spans="1:147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</row>
    <row r="109" spans="1:147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</row>
    <row r="110" spans="1:147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</row>
    <row r="111" spans="1:147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</row>
    <row r="112" spans="1:147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</row>
    <row r="113" spans="1:147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</row>
    <row r="114" spans="1:147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</row>
    <row r="115" spans="1:147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</row>
    <row r="116" spans="1:147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</row>
    <row r="117" spans="1:147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</row>
    <row r="118" spans="1:147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</row>
    <row r="119" spans="1:147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</row>
    <row r="120" spans="1:147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</row>
    <row r="121" spans="1:147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</row>
    <row r="122" spans="1:147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</row>
    <row r="123" spans="1:147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</row>
    <row r="124" spans="1:147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</row>
    <row r="125" spans="1:147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</row>
    <row r="126" spans="1:147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</row>
    <row r="127" spans="1:147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</row>
    <row r="128" spans="1:147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</row>
    <row r="129" spans="1:147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</row>
    <row r="130" spans="1:147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</row>
    <row r="131" spans="1:147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</row>
    <row r="132" spans="1:147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</row>
    <row r="133" spans="1:147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</row>
    <row r="134" spans="1:147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</row>
    <row r="135" spans="1:147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</row>
    <row r="136" spans="1:147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</row>
    <row r="137" spans="1:147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</row>
    <row r="138" spans="1:147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</row>
    <row r="139" spans="1:147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</row>
    <row r="140" spans="1:147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</row>
    <row r="141" spans="1:147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</row>
    <row r="142" spans="1:147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</row>
    <row r="143" spans="1:147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</row>
    <row r="144" spans="1:147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</row>
    <row r="145" spans="1:147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</row>
    <row r="146" spans="1:147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</row>
    <row r="147" spans="1:147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</row>
    <row r="148" spans="1:147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</row>
    <row r="149" spans="1:147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</row>
    <row r="150" spans="1:147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</row>
    <row r="151" spans="1:147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</row>
    <row r="152" spans="1:147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</row>
    <row r="153" spans="1:147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</row>
    <row r="154" spans="1:147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</row>
    <row r="155" spans="1:147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</row>
    <row r="156" spans="1:147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</row>
    <row r="157" spans="1:147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</row>
    <row r="158" spans="1:147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</row>
    <row r="159" spans="1:147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</row>
    <row r="160" spans="1:147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</row>
    <row r="161" spans="1:147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</row>
    <row r="162" spans="1:147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</row>
    <row r="163" spans="1:147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</row>
    <row r="164" spans="1:147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</row>
    <row r="165" spans="1:147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</row>
    <row r="166" spans="1:147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</row>
    <row r="167" spans="1:147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</row>
    <row r="168" spans="1:147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</row>
    <row r="169" spans="1:147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</row>
    <row r="170" spans="1:147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</row>
    <row r="171" spans="1:147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</row>
    <row r="172" spans="1:147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</row>
    <row r="173" spans="1:147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</row>
    <row r="174" spans="1:147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</row>
    <row r="175" spans="1:147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</row>
    <row r="176" spans="1:147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</row>
    <row r="177" spans="1:147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</row>
    <row r="178" spans="1:147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</row>
    <row r="179" spans="1:147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</row>
    <row r="180" spans="1:147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</row>
    <row r="181" spans="1:147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</row>
    <row r="182" spans="1:147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</row>
    <row r="183" spans="1:147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</row>
    <row r="184" spans="1:147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</row>
    <row r="185" spans="1:147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</row>
    <row r="186" spans="1:147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</row>
    <row r="187" spans="1:147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</row>
    <row r="188" spans="1:147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</row>
    <row r="189" spans="1:147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</row>
    <row r="190" spans="1:147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</row>
    <row r="191" spans="1:147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</row>
    <row r="192" spans="1:147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</row>
    <row r="193" spans="1:147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</row>
    <row r="194" spans="1:147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</row>
    <row r="195" spans="1:147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</row>
    <row r="196" spans="1:147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</row>
    <row r="197" spans="1:147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</row>
    <row r="198" spans="1:147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</row>
    <row r="199" spans="1:147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</row>
    <row r="200" spans="1:147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</row>
    <row r="201" spans="1:147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</row>
    <row r="202" spans="1:147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</row>
    <row r="203" spans="1:147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</row>
    <row r="204" spans="1:147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</row>
    <row r="205" spans="1:147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</row>
    <row r="206" spans="1:147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</row>
    <row r="207" spans="1:147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</row>
    <row r="208" spans="1:147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</row>
    <row r="209" spans="1:147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</row>
    <row r="210" spans="1:147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</row>
    <row r="211" spans="1:147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</row>
    <row r="212" spans="1:147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</row>
    <row r="213" spans="1:147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</row>
    <row r="214" spans="1:147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</row>
    <row r="215" spans="1:147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</row>
    <row r="216" spans="1:147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</row>
    <row r="217" spans="1:147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</row>
    <row r="218" spans="1:147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</row>
    <row r="219" spans="1:147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</row>
    <row r="220" spans="1:147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</row>
    <row r="221" spans="1:147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</row>
    <row r="222" spans="1:147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</row>
    <row r="223" spans="1:147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</row>
    <row r="224" spans="1:147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</row>
    <row r="225" spans="1:147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</row>
    <row r="226" spans="1:147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</row>
    <row r="227" spans="1:147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</row>
    <row r="228" spans="1:147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</row>
    <row r="229" spans="1:147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</row>
    <row r="230" spans="1:147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</row>
    <row r="231" spans="1:147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</row>
    <row r="232" spans="1:147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</row>
    <row r="233" spans="1:147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</row>
    <row r="234" spans="1:147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</row>
    <row r="235" spans="1:147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</row>
    <row r="236" spans="1:147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</row>
    <row r="237" spans="1:147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</row>
    <row r="238" spans="1:147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</row>
    <row r="239" spans="1:147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</row>
    <row r="240" spans="1:147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</row>
    <row r="241" spans="1:147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</row>
    <row r="242" spans="1:147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</row>
    <row r="243" spans="1:147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</row>
    <row r="244" spans="1:147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</row>
    <row r="245" spans="1:147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</row>
    <row r="246" spans="1:147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</row>
    <row r="247" spans="1:147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</row>
    <row r="248" spans="1:147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</row>
    <row r="249" spans="1:147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</row>
    <row r="250" spans="1:147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</row>
    <row r="251" spans="1:147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</row>
    <row r="252" spans="1:147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</row>
    <row r="253" spans="1:147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</row>
    <row r="254" spans="1:147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</row>
    <row r="255" spans="1:147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</row>
    <row r="256" spans="1:147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</row>
    <row r="257" spans="1:147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</row>
    <row r="258" spans="1:147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</row>
    <row r="259" spans="1:147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</row>
    <row r="260" spans="1:147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</row>
    <row r="261" spans="1:147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</row>
    <row r="262" spans="1:147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</row>
    <row r="263" spans="1:147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</row>
    <row r="264" spans="1:147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</row>
    <row r="265" spans="1:147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</row>
    <row r="266" spans="1:147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</row>
    <row r="267" spans="1:147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</row>
    <row r="268" spans="1:147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</row>
    <row r="269" spans="1:147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</row>
    <row r="270" spans="1:147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</row>
    <row r="271" spans="1:147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</row>
    <row r="272" spans="1:147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</row>
    <row r="273" spans="1:147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</row>
    <row r="274" spans="1:147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</row>
    <row r="275" spans="1:147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</row>
    <row r="276" spans="1:147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</row>
    <row r="277" spans="1:147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</row>
    <row r="278" spans="1:147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</row>
    <row r="279" spans="1:147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</row>
    <row r="280" spans="1:147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</row>
    <row r="281" spans="1:147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</row>
    <row r="282" spans="1:147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</row>
    <row r="283" spans="1:147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</row>
    <row r="284" spans="1:147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</row>
    <row r="285" spans="1:147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</row>
    <row r="286" spans="1:147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</row>
    <row r="287" spans="1:147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</row>
    <row r="288" spans="1:147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</row>
    <row r="289" spans="1:147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</row>
    <row r="290" spans="1:147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</row>
    <row r="291" spans="1:147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</row>
    <row r="292" spans="1:147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</row>
    <row r="293" spans="1:147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</row>
    <row r="294" spans="1:147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</row>
    <row r="295" spans="1:147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</row>
    <row r="296" spans="1:147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</row>
    <row r="297" spans="1:147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</row>
    <row r="298" spans="1:147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</row>
    <row r="299" spans="1:147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</row>
    <row r="300" spans="1:147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</row>
    <row r="301" spans="1:147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</row>
    <row r="302" spans="1:147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</row>
    <row r="303" spans="1:147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</row>
    <row r="304" spans="1:147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</row>
    <row r="305" spans="1:147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</row>
    <row r="306" spans="1:147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</row>
    <row r="307" spans="1:147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</row>
    <row r="308" spans="1:147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</row>
    <row r="309" spans="1:147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</row>
    <row r="310" spans="1:147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</row>
    <row r="311" spans="1:147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</row>
    <row r="312" spans="1:147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</row>
    <row r="313" spans="1:147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</row>
    <row r="314" spans="1:147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</row>
    <row r="315" spans="1:147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</row>
    <row r="316" spans="1:147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</row>
    <row r="317" spans="1:147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</row>
    <row r="318" spans="1:147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</row>
    <row r="319" spans="1:147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</row>
    <row r="320" spans="1:147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</row>
    <row r="321" spans="1:147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</row>
    <row r="322" spans="1:147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</row>
    <row r="323" spans="1:147" ht="12.7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</row>
    <row r="324" spans="1:147" ht="12.7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</row>
    <row r="325" spans="1:147" ht="12.7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</row>
    <row r="326" spans="1:147" ht="12.7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</row>
    <row r="327" spans="1:147" ht="12.7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</row>
    <row r="328" spans="1:147" ht="12.7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</row>
    <row r="329" spans="1:147" ht="12.7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</row>
    <row r="330" spans="1:147" ht="12.7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</row>
    <row r="331" spans="1:147" ht="12.7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</row>
    <row r="332" spans="1:147" ht="12.7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</row>
    <row r="333" spans="1:147" ht="12.7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</row>
    <row r="334" spans="1:147" ht="12.7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</row>
    <row r="335" spans="1:147" ht="12.7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</row>
    <row r="336" spans="1:147" ht="12.7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</row>
    <row r="337" spans="1:147" ht="12.7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</row>
    <row r="338" spans="1:147" ht="12.7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</row>
    <row r="339" spans="1:147" ht="12.7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5">
      <selection activeCell="C29" sqref="C29"/>
    </sheetView>
  </sheetViews>
  <sheetFormatPr defaultColWidth="8.796875" defaultRowHeight="12"/>
  <cols>
    <col min="1" max="1" width="4.296875" style="57" customWidth="1"/>
    <col min="2" max="2" width="12.09765625" style="57" customWidth="1"/>
    <col min="3" max="3" width="8.8984375" style="57" customWidth="1"/>
    <col min="4" max="4" width="9.09765625" style="57" bestFit="1" customWidth="1"/>
    <col min="5" max="16384" width="8.8984375" style="57" customWidth="1"/>
  </cols>
  <sheetData>
    <row r="1" spans="1:29" ht="14.25">
      <c r="A1" s="16"/>
      <c r="B1" s="206" t="s">
        <v>275</v>
      </c>
      <c r="C1" s="206"/>
      <c r="D1" s="110"/>
      <c r="E1" s="110"/>
      <c r="F1" s="110"/>
      <c r="G1" s="110"/>
      <c r="H1" s="110"/>
      <c r="I1" s="110"/>
      <c r="J1" s="111"/>
      <c r="K1" s="110"/>
      <c r="L1" s="112"/>
      <c r="M1" s="110"/>
      <c r="N1" s="110"/>
      <c r="O1" s="110"/>
      <c r="P1" s="110"/>
      <c r="Q1" s="110"/>
      <c r="R1" s="110"/>
      <c r="S1" s="111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4.25">
      <c r="A2" s="16"/>
      <c r="B2" s="206"/>
      <c r="C2" s="206"/>
      <c r="D2" s="110"/>
      <c r="E2" s="110"/>
      <c r="F2" s="110"/>
      <c r="G2" s="110"/>
      <c r="H2" s="110"/>
      <c r="I2" s="110"/>
      <c r="J2" s="111"/>
      <c r="K2" s="110"/>
      <c r="L2" s="112"/>
      <c r="M2" s="110"/>
      <c r="N2" s="110"/>
      <c r="O2" s="110"/>
      <c r="P2" s="110"/>
      <c r="Q2" s="110"/>
      <c r="R2" s="110"/>
      <c r="S2" s="111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ht="11.25">
      <c r="A3" s="16"/>
      <c r="B3" s="110"/>
      <c r="C3" s="110"/>
      <c r="D3" s="110"/>
      <c r="E3" s="110"/>
      <c r="F3" s="110"/>
      <c r="G3" s="110"/>
      <c r="H3" s="110"/>
      <c r="I3" s="113" t="s">
        <v>276</v>
      </c>
      <c r="J3" s="114" t="s">
        <v>277</v>
      </c>
      <c r="K3" s="113" t="s">
        <v>3</v>
      </c>
      <c r="L3" s="112"/>
      <c r="M3" s="110"/>
      <c r="N3" s="110" t="s">
        <v>0</v>
      </c>
      <c r="O3" s="111" t="s">
        <v>0</v>
      </c>
      <c r="P3" s="110"/>
      <c r="Q3" s="110"/>
      <c r="R3" s="110"/>
      <c r="S3" s="111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ht="11.25">
      <c r="A4" s="16"/>
      <c r="B4" s="110"/>
      <c r="C4" s="110"/>
      <c r="D4" s="110"/>
      <c r="E4" s="110"/>
      <c r="F4" s="110"/>
      <c r="G4" s="115" t="s">
        <v>278</v>
      </c>
      <c r="H4" s="110" t="s">
        <v>279</v>
      </c>
      <c r="I4" s="116">
        <v>1420.8</v>
      </c>
      <c r="J4" s="116">
        <v>4039</v>
      </c>
      <c r="K4" s="117">
        <f>I4+J4</f>
        <v>5459.8</v>
      </c>
      <c r="L4" s="112"/>
      <c r="M4" s="110"/>
      <c r="N4" s="110"/>
      <c r="O4" s="111"/>
      <c r="P4" s="110"/>
      <c r="Q4" s="110"/>
      <c r="R4" s="110"/>
      <c r="S4" s="111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ht="11.25">
      <c r="A5" s="16"/>
      <c r="B5" s="110" t="s">
        <v>280</v>
      </c>
      <c r="C5" s="110"/>
      <c r="D5" s="110"/>
      <c r="E5" s="110"/>
      <c r="F5" s="110"/>
      <c r="G5" s="115" t="s">
        <v>281</v>
      </c>
      <c r="H5" s="110" t="s">
        <v>282</v>
      </c>
      <c r="I5" s="118"/>
      <c r="J5" s="116"/>
      <c r="K5" s="117">
        <f>J5</f>
        <v>0</v>
      </c>
      <c r="L5" s="112"/>
      <c r="M5" s="119"/>
      <c r="N5" s="110"/>
      <c r="O5" s="111"/>
      <c r="P5" s="110"/>
      <c r="Q5" s="110"/>
      <c r="R5" s="110"/>
      <c r="S5" s="111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ht="11.25">
      <c r="A6" s="16"/>
      <c r="B6" s="110" t="s">
        <v>283</v>
      </c>
      <c r="C6" s="110"/>
      <c r="D6" s="110"/>
      <c r="E6" s="110"/>
      <c r="F6" s="110"/>
      <c r="G6" s="110"/>
      <c r="H6" s="110" t="s">
        <v>284</v>
      </c>
      <c r="I6" s="118"/>
      <c r="J6" s="116">
        <f>O145</f>
        <v>0</v>
      </c>
      <c r="K6" s="117">
        <f>J6</f>
        <v>0</v>
      </c>
      <c r="L6" s="112"/>
      <c r="M6" s="110"/>
      <c r="N6" s="112"/>
      <c r="O6" s="111"/>
      <c r="P6" s="110"/>
      <c r="Q6" s="110"/>
      <c r="R6" s="110"/>
      <c r="S6" s="111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1.25">
      <c r="A7" s="16"/>
      <c r="B7" s="110"/>
      <c r="C7" s="110"/>
      <c r="D7" s="110"/>
      <c r="E7" s="110"/>
      <c r="F7" s="110"/>
      <c r="G7" s="110"/>
      <c r="H7" s="110" t="s">
        <v>285</v>
      </c>
      <c r="I7" s="118"/>
      <c r="J7" s="120">
        <v>0</v>
      </c>
      <c r="K7" s="117">
        <f>J7</f>
        <v>0</v>
      </c>
      <c r="L7" s="112"/>
      <c r="M7" s="111"/>
      <c r="N7" s="110"/>
      <c r="O7" s="111"/>
      <c r="P7" s="110"/>
      <c r="Q7" s="110"/>
      <c r="R7" s="110"/>
      <c r="S7" s="111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1.25">
      <c r="A8" s="16"/>
      <c r="B8" s="115" t="s">
        <v>365</v>
      </c>
      <c r="C8" s="110"/>
      <c r="D8" s="110"/>
      <c r="E8" s="110"/>
      <c r="F8" s="110"/>
      <c r="G8" s="110"/>
      <c r="H8" s="113" t="s">
        <v>287</v>
      </c>
      <c r="I8" s="121">
        <f>N146</f>
        <v>0</v>
      </c>
      <c r="J8" s="121"/>
      <c r="K8" s="122">
        <f>SUM(I8:J8)</f>
        <v>0</v>
      </c>
      <c r="L8" s="112"/>
      <c r="M8" s="123"/>
      <c r="N8" s="110"/>
      <c r="O8" s="111"/>
      <c r="P8" s="110"/>
      <c r="Q8" s="110"/>
      <c r="R8" s="110"/>
      <c r="S8" s="111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ht="11.25">
      <c r="A9" s="16"/>
      <c r="B9" s="110"/>
      <c r="C9" s="110"/>
      <c r="D9" s="110"/>
      <c r="E9" s="110"/>
      <c r="F9" s="110"/>
      <c r="G9" s="110"/>
      <c r="H9" s="110"/>
      <c r="I9" s="120">
        <f>SUM(I4:I8)</f>
        <v>1420.8</v>
      </c>
      <c r="J9" s="121">
        <f>SUM(J4:J8)</f>
        <v>4039</v>
      </c>
      <c r="K9" s="122">
        <f>SUM(K4:K8)</f>
        <v>5459.8</v>
      </c>
      <c r="L9" s="112"/>
      <c r="M9" s="110"/>
      <c r="N9" s="110"/>
      <c r="O9" s="111"/>
      <c r="P9" s="110"/>
      <c r="Q9" s="110"/>
      <c r="R9" s="110"/>
      <c r="S9" s="111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1.25">
      <c r="A10" s="16"/>
      <c r="B10" s="110"/>
      <c r="C10" s="110"/>
      <c r="D10" s="110"/>
      <c r="E10" s="110"/>
      <c r="F10" s="110"/>
      <c r="G10" s="110"/>
      <c r="H10" s="110"/>
      <c r="I10" s="110"/>
      <c r="J10" s="124"/>
      <c r="K10" s="125"/>
      <c r="L10" s="112"/>
      <c r="M10" s="110"/>
      <c r="N10" s="110"/>
      <c r="O10" s="111"/>
      <c r="P10" s="110"/>
      <c r="Q10" s="110"/>
      <c r="R10" s="110"/>
      <c r="S10" s="111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ht="11.25">
      <c r="A11" s="16"/>
      <c r="B11" s="110"/>
      <c r="C11" s="110"/>
      <c r="D11" s="110"/>
      <c r="E11" s="110"/>
      <c r="F11" s="110"/>
      <c r="G11" s="110"/>
      <c r="H11" s="110"/>
      <c r="I11" s="110"/>
      <c r="J11" s="124"/>
      <c r="K11" s="125"/>
      <c r="L11" s="112"/>
      <c r="M11" s="110"/>
      <c r="N11" s="110"/>
      <c r="O11" s="111"/>
      <c r="P11" s="110"/>
      <c r="Q11" s="110"/>
      <c r="R11" s="110"/>
      <c r="S11" s="111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ht="11.25">
      <c r="A12" s="16"/>
      <c r="B12" s="110"/>
      <c r="C12" s="110" t="s">
        <v>286</v>
      </c>
      <c r="D12" s="126">
        <f>Proforma!C11/I23</f>
        <v>1.0003456037519298</v>
      </c>
      <c r="E12" s="110"/>
      <c r="F12" s="110"/>
      <c r="G12" s="110"/>
      <c r="H12" s="110"/>
      <c r="I12" s="125"/>
      <c r="J12" s="124"/>
      <c r="K12" s="125"/>
      <c r="L12" s="112"/>
      <c r="M12" s="110"/>
      <c r="N12" s="110"/>
      <c r="O12" s="110"/>
      <c r="P12" s="110"/>
      <c r="Q12" s="110"/>
      <c r="R12" s="110"/>
      <c r="S12" s="111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ht="11.25">
      <c r="A13" s="16"/>
      <c r="B13" s="110"/>
      <c r="C13" s="110"/>
      <c r="D13" s="126"/>
      <c r="E13" s="110"/>
      <c r="F13" s="110"/>
      <c r="G13" s="110"/>
      <c r="H13" s="110"/>
      <c r="I13" s="110"/>
      <c r="J13" s="111"/>
      <c r="K13" s="110"/>
      <c r="L13" s="112"/>
      <c r="M13" s="110"/>
      <c r="N13" s="110"/>
      <c r="O13" s="110"/>
      <c r="P13" s="110"/>
      <c r="Q13" s="110"/>
      <c r="R13" s="110"/>
      <c r="S13" s="114" t="s">
        <v>288</v>
      </c>
      <c r="T13" s="113" t="s">
        <v>289</v>
      </c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ht="11.25">
      <c r="A14" s="16"/>
      <c r="B14" s="110"/>
      <c r="C14" s="110"/>
      <c r="D14" s="126"/>
      <c r="E14" s="110"/>
      <c r="F14" s="110"/>
      <c r="G14" s="110"/>
      <c r="H14" s="110"/>
      <c r="I14" s="113" t="s">
        <v>290</v>
      </c>
      <c r="J14" s="114" t="s">
        <v>291</v>
      </c>
      <c r="K14" s="110"/>
      <c r="L14" s="112"/>
      <c r="M14" s="110"/>
      <c r="N14" s="110"/>
      <c r="O14" s="110"/>
      <c r="P14" s="110"/>
      <c r="Q14" s="110"/>
      <c r="R14" s="110"/>
      <c r="S14" s="114" t="s">
        <v>292</v>
      </c>
      <c r="T14" s="113" t="s">
        <v>292</v>
      </c>
      <c r="U14" s="110"/>
      <c r="V14" s="110"/>
      <c r="W14" s="110"/>
      <c r="X14" s="110"/>
      <c r="Y14" s="113" t="s">
        <v>293</v>
      </c>
      <c r="Z14" s="110"/>
      <c r="AA14" s="110"/>
      <c r="AB14" s="110"/>
      <c r="AC14" s="110"/>
    </row>
    <row r="15" spans="1:29" ht="11.25">
      <c r="A15" s="16"/>
      <c r="B15" s="110"/>
      <c r="C15" s="110"/>
      <c r="D15" s="113" t="s">
        <v>291</v>
      </c>
      <c r="E15" s="113" t="s">
        <v>294</v>
      </c>
      <c r="F15" s="113" t="s">
        <v>295</v>
      </c>
      <c r="G15" s="113" t="s">
        <v>296</v>
      </c>
      <c r="H15" s="110"/>
      <c r="I15" s="113" t="s">
        <v>75</v>
      </c>
      <c r="J15" s="114" t="s">
        <v>75</v>
      </c>
      <c r="K15" s="113" t="s">
        <v>297</v>
      </c>
      <c r="L15" s="127" t="s">
        <v>298</v>
      </c>
      <c r="M15" s="110" t="s">
        <v>299</v>
      </c>
      <c r="N15" s="113" t="s">
        <v>300</v>
      </c>
      <c r="O15" s="113" t="s">
        <v>301</v>
      </c>
      <c r="P15" s="113" t="s">
        <v>302</v>
      </c>
      <c r="Q15" s="113" t="s">
        <v>303</v>
      </c>
      <c r="R15" s="113" t="s">
        <v>304</v>
      </c>
      <c r="S15" s="114" t="s">
        <v>305</v>
      </c>
      <c r="T15" s="113" t="s">
        <v>306</v>
      </c>
      <c r="U15" s="113" t="s">
        <v>307</v>
      </c>
      <c r="V15" s="113" t="s">
        <v>308</v>
      </c>
      <c r="W15" s="113" t="s">
        <v>282</v>
      </c>
      <c r="X15" s="113" t="s">
        <v>309</v>
      </c>
      <c r="Y15" s="113" t="s">
        <v>310</v>
      </c>
      <c r="Z15" s="113" t="s">
        <v>311</v>
      </c>
      <c r="AA15" s="113" t="s">
        <v>312</v>
      </c>
      <c r="AB15" s="110" t="s">
        <v>313</v>
      </c>
      <c r="AC15" s="113" t="s">
        <v>314</v>
      </c>
    </row>
    <row r="16" spans="1:29" ht="11.25">
      <c r="A16" s="16"/>
      <c r="B16" s="110" t="s">
        <v>315</v>
      </c>
      <c r="C16" s="113" t="s">
        <v>316</v>
      </c>
      <c r="D16" s="113" t="s">
        <v>316</v>
      </c>
      <c r="E16" s="113" t="s">
        <v>317</v>
      </c>
      <c r="F16" s="113" t="s">
        <v>318</v>
      </c>
      <c r="G16" s="113" t="s">
        <v>319</v>
      </c>
      <c r="H16" s="113" t="s">
        <v>51</v>
      </c>
      <c r="I16" s="113" t="s">
        <v>320</v>
      </c>
      <c r="J16" s="114" t="s">
        <v>320</v>
      </c>
      <c r="K16" s="110"/>
      <c r="L16" s="127" t="s">
        <v>321</v>
      </c>
      <c r="M16" s="113" t="s">
        <v>322</v>
      </c>
      <c r="N16" s="113" t="s">
        <v>323</v>
      </c>
      <c r="O16" s="110"/>
      <c r="P16" s="110"/>
      <c r="Q16" s="113" t="s">
        <v>324</v>
      </c>
      <c r="R16" s="110"/>
      <c r="S16" s="111"/>
      <c r="T16" s="110"/>
      <c r="U16" s="110"/>
      <c r="V16" s="111"/>
      <c r="W16" s="111"/>
      <c r="X16" s="113" t="s">
        <v>325</v>
      </c>
      <c r="Y16" s="110"/>
      <c r="Z16" s="111"/>
      <c r="AA16" s="110"/>
      <c r="AB16" s="113" t="s">
        <v>51</v>
      </c>
      <c r="AC16" s="110"/>
    </row>
    <row r="17" spans="1:29" ht="11.25">
      <c r="A17" s="16"/>
      <c r="B17" s="110"/>
      <c r="C17" s="110"/>
      <c r="D17" s="110"/>
      <c r="E17" s="110"/>
      <c r="F17" s="110"/>
      <c r="G17" s="110"/>
      <c r="H17" s="110"/>
      <c r="I17" s="110"/>
      <c r="J17" s="111"/>
      <c r="K17" s="110"/>
      <c r="L17" s="112"/>
      <c r="M17" s="110"/>
      <c r="N17" s="113" t="s">
        <v>326</v>
      </c>
      <c r="O17" s="110"/>
      <c r="P17" s="110"/>
      <c r="Q17" s="128">
        <v>0</v>
      </c>
      <c r="R17" s="124">
        <f>Proforma!C24+Proforma!C25+Proforma!C28+Proforma!C29+Proforma!C31+Proforma!C32</f>
        <v>57127.692571428575</v>
      </c>
      <c r="S17" s="111">
        <f>Proforma!C17+Proforma!C18+Proforma!C19+Proforma!C35+Proforma!C37+Depr!Q19+Proforma!C26+Proforma!C27+Proforma!C22+Proforma!C23+Proforma!C16</f>
        <v>397361.50537237246</v>
      </c>
      <c r="T17" s="128">
        <v>0</v>
      </c>
      <c r="U17" s="128">
        <f>Proforma!C15+Proforma!C38+Proforma!C20</f>
        <v>269350.6160823925</v>
      </c>
      <c r="V17" s="128">
        <f>Depr!Q23+Depr!Q34+Proforma!C36</f>
        <v>62969.735400000005</v>
      </c>
      <c r="W17" s="128"/>
      <c r="X17" s="124">
        <f>R17+S17+U17+V17</f>
        <v>786809.5494261936</v>
      </c>
      <c r="Y17" s="128">
        <f>Proforma!C21+Proforma!C34</f>
        <v>19879.1392580521</v>
      </c>
      <c r="Z17" s="130">
        <f>X17+Y17</f>
        <v>806688.6886842457</v>
      </c>
      <c r="AA17" s="131">
        <f>LG!H15/100</f>
        <v>0.7973558866450119</v>
      </c>
      <c r="AB17" s="110"/>
      <c r="AC17" s="110"/>
    </row>
    <row r="18" spans="1:29" ht="11.25">
      <c r="A18" s="16"/>
      <c r="B18" s="115" t="s">
        <v>327</v>
      </c>
      <c r="C18" s="110"/>
      <c r="D18" s="110"/>
      <c r="E18" s="110"/>
      <c r="F18" s="110"/>
      <c r="G18" s="110"/>
      <c r="H18" s="110"/>
      <c r="I18" s="110"/>
      <c r="J18" s="111"/>
      <c r="K18" s="111">
        <f>L91</f>
        <v>0</v>
      </c>
      <c r="L18" s="112">
        <f>L93</f>
        <v>0</v>
      </c>
      <c r="M18" s="110"/>
      <c r="N18" s="132" t="s">
        <v>328</v>
      </c>
      <c r="O18" s="132" t="s">
        <v>329</v>
      </c>
      <c r="P18" s="115" t="s">
        <v>330</v>
      </c>
      <c r="Q18" s="132" t="s">
        <v>329</v>
      </c>
      <c r="R18" s="132" t="s">
        <v>331</v>
      </c>
      <c r="S18" s="133" t="s">
        <v>332</v>
      </c>
      <c r="T18" s="132" t="s">
        <v>333</v>
      </c>
      <c r="U18" s="132" t="s">
        <v>302</v>
      </c>
      <c r="V18" s="132" t="s">
        <v>334</v>
      </c>
      <c r="W18" s="132" t="s">
        <v>335</v>
      </c>
      <c r="X18" s="110"/>
      <c r="Y18" s="132" t="s">
        <v>336</v>
      </c>
      <c r="Z18" s="132" t="s">
        <v>3</v>
      </c>
      <c r="AA18" s="110"/>
      <c r="AB18" s="134"/>
      <c r="AC18" s="134"/>
    </row>
    <row r="19" spans="1:29" ht="11.25">
      <c r="A19" s="16"/>
      <c r="B19" s="113" t="s">
        <v>337</v>
      </c>
      <c r="C19" s="113" t="s">
        <v>338</v>
      </c>
      <c r="D19" s="113" t="s">
        <v>339</v>
      </c>
      <c r="E19" s="113" t="s">
        <v>340</v>
      </c>
      <c r="F19" s="113" t="s">
        <v>341</v>
      </c>
      <c r="G19" s="113" t="s">
        <v>342</v>
      </c>
      <c r="H19" s="113" t="s">
        <v>343</v>
      </c>
      <c r="I19" s="113" t="s">
        <v>344</v>
      </c>
      <c r="J19" s="114" t="s">
        <v>345</v>
      </c>
      <c r="K19" s="113" t="s">
        <v>346</v>
      </c>
      <c r="L19" s="127" t="s">
        <v>347</v>
      </c>
      <c r="M19" s="113" t="s">
        <v>348</v>
      </c>
      <c r="N19" s="113" t="s">
        <v>349</v>
      </c>
      <c r="O19" s="113" t="s">
        <v>350</v>
      </c>
      <c r="P19" s="113" t="s">
        <v>351</v>
      </c>
      <c r="Q19" s="113" t="s">
        <v>352</v>
      </c>
      <c r="R19" s="113" t="s">
        <v>353</v>
      </c>
      <c r="S19" s="114" t="s">
        <v>354</v>
      </c>
      <c r="T19" s="113" t="s">
        <v>355</v>
      </c>
      <c r="U19" s="113" t="s">
        <v>356</v>
      </c>
      <c r="V19" s="113" t="s">
        <v>357</v>
      </c>
      <c r="W19" s="113" t="s">
        <v>358</v>
      </c>
      <c r="X19" s="113" t="s">
        <v>359</v>
      </c>
      <c r="Y19" s="113" t="s">
        <v>360</v>
      </c>
      <c r="Z19" s="113" t="s">
        <v>361</v>
      </c>
      <c r="AA19" s="113" t="s">
        <v>362</v>
      </c>
      <c r="AB19" s="135" t="s">
        <v>363</v>
      </c>
      <c r="AC19" s="134"/>
    </row>
    <row r="20" spans="1:29" ht="11.25">
      <c r="A20" s="20">
        <f>AB20</f>
        <v>8.20239383669245</v>
      </c>
      <c r="B20" s="110" t="s">
        <v>428</v>
      </c>
      <c r="C20" s="136">
        <v>10275</v>
      </c>
      <c r="D20" s="137">
        <f>C20*$D$12</f>
        <v>10278.55107855108</v>
      </c>
      <c r="E20" s="110">
        <v>1</v>
      </c>
      <c r="F20" s="129">
        <f>(E20*D20)/2.17</f>
        <v>4736.659483203262</v>
      </c>
      <c r="G20" s="112">
        <f>D20*E20</f>
        <v>10278.55107855108</v>
      </c>
      <c r="H20" s="138">
        <v>8.19</v>
      </c>
      <c r="I20" s="111">
        <f>H20*C20*12</f>
        <v>1009827</v>
      </c>
      <c r="J20" s="124">
        <f>H20*D20*12</f>
        <v>1010176.0000000001</v>
      </c>
      <c r="K20" s="110">
        <v>16</v>
      </c>
      <c r="L20" s="139">
        <f>K20*26*D20/2000</f>
        <v>2137.9386243386243</v>
      </c>
      <c r="M20" s="110">
        <v>20</v>
      </c>
      <c r="N20" s="125">
        <f>M20*26*D20/3600</f>
        <v>1484.679600235156</v>
      </c>
      <c r="O20" s="140">
        <f>$J$4*(L20)/($L$23)</f>
        <v>4039</v>
      </c>
      <c r="P20" s="125">
        <f>O20+N20</f>
        <v>5523.679600235156</v>
      </c>
      <c r="Q20" s="110"/>
      <c r="R20" s="129">
        <f>$R$17*F20/$F$23</f>
        <v>57127.692571428575</v>
      </c>
      <c r="S20" s="124">
        <f>$S$17*P20/$P$23</f>
        <v>397361.50537237246</v>
      </c>
      <c r="T20" s="110"/>
      <c r="U20" s="129">
        <f>$U$17*P20/$P$23</f>
        <v>269350.6160823925</v>
      </c>
      <c r="V20" s="129">
        <f>$V$17*G20/$G$23</f>
        <v>62969.7354</v>
      </c>
      <c r="W20" s="110"/>
      <c r="X20" s="125">
        <f>R20+S20+U20+V20</f>
        <v>786809.5494261936</v>
      </c>
      <c r="Y20" s="139">
        <f>$Y$17*(J20/$J$23)</f>
        <v>19879.1392580521</v>
      </c>
      <c r="Z20" s="130">
        <f>X20+Y20</f>
        <v>806688.6886842457</v>
      </c>
      <c r="AA20" s="124">
        <f>Z20/$AA$17</f>
        <v>1011704.688202031</v>
      </c>
      <c r="AB20" s="141">
        <f>(AA20/D20)/12</f>
        <v>8.20239383669245</v>
      </c>
      <c r="AC20" s="142">
        <f>(AB20-H20)/H20</f>
        <v>0.0015132889734371022</v>
      </c>
    </row>
    <row r="21" spans="1:29" ht="11.25">
      <c r="A21" s="20"/>
      <c r="B21" s="110" t="s">
        <v>364</v>
      </c>
      <c r="C21" s="143">
        <v>0</v>
      </c>
      <c r="D21" s="137">
        <f>C21*$D$12</f>
        <v>0</v>
      </c>
      <c r="E21" s="110">
        <v>2</v>
      </c>
      <c r="F21" s="129">
        <f>(E21*D21)/2.17</f>
        <v>0</v>
      </c>
      <c r="G21" s="112">
        <f>D21*E21</f>
        <v>0</v>
      </c>
      <c r="H21" s="144">
        <v>16</v>
      </c>
      <c r="I21" s="111">
        <f>H21*C21*12</f>
        <v>0</v>
      </c>
      <c r="J21" s="124">
        <f>H21*D21*12</f>
        <v>0</v>
      </c>
      <c r="K21" s="110">
        <v>0</v>
      </c>
      <c r="L21" s="139">
        <f>K21*26*D21/2000</f>
        <v>0</v>
      </c>
      <c r="M21" s="110">
        <v>0</v>
      </c>
      <c r="N21" s="125">
        <f>M21*26*D21/3600</f>
        <v>0</v>
      </c>
      <c r="O21" s="140">
        <f>$J$4*(L21)/($L$23)</f>
        <v>0</v>
      </c>
      <c r="P21" s="125">
        <f>O21+N21</f>
        <v>0</v>
      </c>
      <c r="Q21" s="110"/>
      <c r="R21" s="129">
        <f>$R$17*F21/$F$23</f>
        <v>0</v>
      </c>
      <c r="S21" s="124">
        <f>$S$17*P21/$P$23</f>
        <v>0</v>
      </c>
      <c r="T21" s="110"/>
      <c r="U21" s="129">
        <f>$U$17*P21/$P$23</f>
        <v>0</v>
      </c>
      <c r="V21" s="129">
        <f>$V$17*G21/$G$23</f>
        <v>0</v>
      </c>
      <c r="W21" s="110"/>
      <c r="X21" s="125">
        <f>R21+S21+U21+V21</f>
        <v>0</v>
      </c>
      <c r="Y21" s="139">
        <f>$Y$17*(J21/$J$23)</f>
        <v>0</v>
      </c>
      <c r="Z21" s="130">
        <f>X21+Y21</f>
        <v>0</v>
      </c>
      <c r="AA21" s="124">
        <f>Z21/$AA$17</f>
        <v>0</v>
      </c>
      <c r="AB21" s="145"/>
      <c r="AC21" s="142"/>
    </row>
    <row r="22" spans="1:29" ht="11.25">
      <c r="A22" s="16"/>
      <c r="B22" s="110" t="s">
        <v>3</v>
      </c>
      <c r="C22" s="136"/>
      <c r="D22" s="137"/>
      <c r="E22" s="110"/>
      <c r="F22" s="129"/>
      <c r="G22" s="110"/>
      <c r="H22" s="144"/>
      <c r="I22" s="111"/>
      <c r="J22" s="124"/>
      <c r="K22" s="110"/>
      <c r="L22" s="139"/>
      <c r="M22" s="110"/>
      <c r="N22" s="125"/>
      <c r="O22" s="140"/>
      <c r="P22" s="125"/>
      <c r="Q22" s="110"/>
      <c r="R22" s="129"/>
      <c r="S22" s="124"/>
      <c r="T22" s="110"/>
      <c r="U22" s="129"/>
      <c r="V22" s="110"/>
      <c r="W22" s="110"/>
      <c r="X22" s="125"/>
      <c r="Y22" s="139"/>
      <c r="Z22" s="125"/>
      <c r="AA22" s="129"/>
      <c r="AB22" s="145"/>
      <c r="AC22" s="142"/>
    </row>
    <row r="23" spans="1:29" ht="11.25">
      <c r="A23" s="161"/>
      <c r="B23" s="146"/>
      <c r="C23" s="147">
        <f>SUM(C20:C21)</f>
        <v>10275</v>
      </c>
      <c r="D23" s="148">
        <f>SUM(D20:D21)</f>
        <v>10278.55107855108</v>
      </c>
      <c r="E23" s="146"/>
      <c r="F23" s="148">
        <f>SUM(F20:F21)</f>
        <v>4736.659483203262</v>
      </c>
      <c r="G23" s="148">
        <f>SUM(G20:G21)</f>
        <v>10278.55107855108</v>
      </c>
      <c r="H23" s="149"/>
      <c r="I23" s="150">
        <f aca="true" t="shared" si="0" ref="I23:P23">SUM(I20:I22)</f>
        <v>1009827</v>
      </c>
      <c r="J23" s="150">
        <f t="shared" si="0"/>
        <v>1010176.0000000001</v>
      </c>
      <c r="K23" s="151">
        <f t="shared" si="0"/>
        <v>16</v>
      </c>
      <c r="L23" s="150">
        <f t="shared" si="0"/>
        <v>2137.9386243386243</v>
      </c>
      <c r="M23" s="150">
        <f t="shared" si="0"/>
        <v>20</v>
      </c>
      <c r="N23" s="150">
        <f t="shared" si="0"/>
        <v>1484.679600235156</v>
      </c>
      <c r="O23" s="150">
        <f t="shared" si="0"/>
        <v>4039</v>
      </c>
      <c r="P23" s="150">
        <f t="shared" si="0"/>
        <v>5523.679600235156</v>
      </c>
      <c r="Q23" s="146"/>
      <c r="R23" s="150">
        <f>SUM(R20:R22)</f>
        <v>57127.692571428575</v>
      </c>
      <c r="S23" s="150">
        <f>SUM(S20:S22)</f>
        <v>397361.50537237246</v>
      </c>
      <c r="T23" s="146"/>
      <c r="U23" s="150">
        <f>SUM(U20:U22)</f>
        <v>269350.6160823925</v>
      </c>
      <c r="V23" s="150">
        <f>SUM(V20:V22)</f>
        <v>62969.7354</v>
      </c>
      <c r="W23" s="146"/>
      <c r="X23" s="150">
        <f>SUM(X20:X22)</f>
        <v>786809.5494261936</v>
      </c>
      <c r="Y23" s="150">
        <f>SUM(Y20:Y22)</f>
        <v>19879.1392580521</v>
      </c>
      <c r="Z23" s="150">
        <f>SUM(Z20:Z22)</f>
        <v>806688.6886842457</v>
      </c>
      <c r="AA23" s="150"/>
      <c r="AB23" s="152"/>
      <c r="AC23" s="153"/>
    </row>
    <row r="24" spans="1:29" ht="11.25">
      <c r="A24" s="16"/>
      <c r="B24" s="110"/>
      <c r="C24" s="154"/>
      <c r="D24" s="137"/>
      <c r="E24" s="110"/>
      <c r="F24" s="129"/>
      <c r="G24" s="110"/>
      <c r="H24" s="155"/>
      <c r="I24" s="111"/>
      <c r="J24" s="124"/>
      <c r="K24" s="110"/>
      <c r="L24" s="139" t="s">
        <v>0</v>
      </c>
      <c r="M24" s="110"/>
      <c r="N24" s="125"/>
      <c r="O24" s="125"/>
      <c r="P24" s="125"/>
      <c r="Q24" s="110"/>
      <c r="R24" s="129"/>
      <c r="S24" s="124"/>
      <c r="T24" s="110"/>
      <c r="U24" s="129"/>
      <c r="V24" s="110"/>
      <c r="W24" s="110"/>
      <c r="X24" s="125"/>
      <c r="Y24" s="139"/>
      <c r="Z24" s="125"/>
      <c r="AA24" s="129"/>
      <c r="AB24" s="145"/>
      <c r="AC24" s="142"/>
    </row>
    <row r="25" spans="1:29" ht="11.25">
      <c r="A25" s="16"/>
      <c r="B25" s="110"/>
      <c r="C25" s="154"/>
      <c r="D25" s="137"/>
      <c r="E25" s="156"/>
      <c r="F25" s="129"/>
      <c r="G25" s="110"/>
      <c r="H25" s="155"/>
      <c r="I25" s="111"/>
      <c r="J25" s="124"/>
      <c r="K25" s="110"/>
      <c r="L25" s="139"/>
      <c r="M25" s="110"/>
      <c r="N25" s="125"/>
      <c r="O25" s="125"/>
      <c r="P25" s="125"/>
      <c r="Q25" s="110"/>
      <c r="R25" s="129"/>
      <c r="S25" s="124"/>
      <c r="T25" s="110"/>
      <c r="U25" s="129"/>
      <c r="V25" s="110"/>
      <c r="W25" s="110"/>
      <c r="X25" s="125"/>
      <c r="Y25" s="139"/>
      <c r="Z25" s="125"/>
      <c r="AA25" s="157"/>
      <c r="AB25" s="158"/>
      <c r="AC25" s="142"/>
    </row>
    <row r="26" spans="1:29" ht="11.25">
      <c r="A26" s="16"/>
      <c r="B26" s="110"/>
      <c r="C26" s="110"/>
      <c r="D26" s="137"/>
      <c r="E26" s="110"/>
      <c r="F26" s="174" t="s">
        <v>429</v>
      </c>
      <c r="G26" s="157">
        <v>8.56</v>
      </c>
      <c r="H26" s="144">
        <f>H20</f>
        <v>8.19</v>
      </c>
      <c r="I26" s="144">
        <v>8.4</v>
      </c>
      <c r="J26" s="124"/>
      <c r="K26" s="110"/>
      <c r="L26" s="160"/>
      <c r="M26" s="111"/>
      <c r="N26" s="125"/>
      <c r="O26" s="125"/>
      <c r="P26" s="125"/>
      <c r="Q26" s="110"/>
      <c r="R26" s="129"/>
      <c r="S26" s="124"/>
      <c r="T26" s="110"/>
      <c r="U26" s="129"/>
      <c r="V26" s="111"/>
      <c r="W26" s="110"/>
      <c r="X26" s="125"/>
      <c r="Y26" s="125"/>
      <c r="Z26" s="125"/>
      <c r="AA26" s="157"/>
      <c r="AB26" s="158"/>
      <c r="AC26" s="134"/>
    </row>
    <row r="27" spans="1:29" ht="11.25">
      <c r="A27" s="16"/>
      <c r="B27" s="110"/>
      <c r="C27" s="110"/>
      <c r="D27" s="137"/>
      <c r="E27" s="168"/>
      <c r="F27" s="129"/>
      <c r="G27" s="125"/>
      <c r="H27" s="144">
        <v>-1.15</v>
      </c>
      <c r="I27" s="144">
        <v>-1.65</v>
      </c>
      <c r="J27" s="124"/>
      <c r="K27" s="110"/>
      <c r="L27" s="139"/>
      <c r="M27" s="159"/>
      <c r="N27" s="125"/>
      <c r="O27" s="125"/>
      <c r="P27" s="125"/>
      <c r="Q27" s="110"/>
      <c r="R27" s="129"/>
      <c r="S27" s="124"/>
      <c r="T27" s="110"/>
      <c r="U27" s="129"/>
      <c r="V27" s="111"/>
      <c r="W27" s="110"/>
      <c r="X27" s="125"/>
      <c r="Y27" s="139"/>
      <c r="Z27" s="125"/>
      <c r="AA27" s="157"/>
      <c r="AB27" s="158"/>
      <c r="AC27" s="134"/>
    </row>
    <row r="28" spans="1:29" ht="11.25">
      <c r="A28" s="16"/>
      <c r="B28" s="110"/>
      <c r="C28" s="110"/>
      <c r="D28" s="137"/>
      <c r="E28" s="110"/>
      <c r="F28" s="129"/>
      <c r="G28" s="125"/>
      <c r="H28" s="144">
        <f>SUM(H26:H27)</f>
        <v>7.039999999999999</v>
      </c>
      <c r="I28" s="144">
        <f>SUM(I26:I27)</f>
        <v>6.75</v>
      </c>
      <c r="J28" s="124"/>
      <c r="K28" s="110"/>
      <c r="L28" s="139"/>
      <c r="M28" s="110"/>
      <c r="N28" s="125"/>
      <c r="O28" s="125"/>
      <c r="P28" s="125"/>
      <c r="Q28" s="110"/>
      <c r="R28" s="129"/>
      <c r="S28" s="124"/>
      <c r="T28" s="110"/>
      <c r="U28" s="129"/>
      <c r="V28" s="111"/>
      <c r="W28" s="110"/>
      <c r="X28" s="125"/>
      <c r="Y28" s="139"/>
      <c r="Z28" s="125"/>
      <c r="AA28" s="129"/>
      <c r="AB28" s="158"/>
      <c r="AC28" s="134"/>
    </row>
    <row r="29" spans="1:29" ht="11.25">
      <c r="A29" s="16"/>
      <c r="B29" s="110"/>
      <c r="C29" s="110"/>
      <c r="D29" s="137"/>
      <c r="E29" s="110"/>
      <c r="F29" s="129"/>
      <c r="G29" s="125"/>
      <c r="H29" s="144"/>
      <c r="I29" s="111"/>
      <c r="J29" s="124"/>
      <c r="K29" s="110"/>
      <c r="L29" s="139"/>
      <c r="M29" s="110"/>
      <c r="N29" s="125"/>
      <c r="O29" s="125"/>
      <c r="P29" s="125"/>
      <c r="Q29" s="110"/>
      <c r="R29" s="129"/>
      <c r="S29" s="124"/>
      <c r="T29" s="110"/>
      <c r="U29" s="129"/>
      <c r="V29" s="111"/>
      <c r="W29" s="110"/>
      <c r="X29" s="125"/>
      <c r="Y29" s="139"/>
      <c r="Z29" s="125"/>
      <c r="AA29" s="157"/>
      <c r="AB29" s="145"/>
      <c r="AC29" s="134"/>
    </row>
    <row r="30" spans="1:29" ht="11.25">
      <c r="A30" s="16"/>
      <c r="B30" s="110"/>
      <c r="C30" s="110"/>
      <c r="D30" s="137"/>
      <c r="E30" s="110"/>
      <c r="F30" s="129" t="s">
        <v>430</v>
      </c>
      <c r="G30" s="125" t="s">
        <v>432</v>
      </c>
      <c r="H30" s="157">
        <v>19.22</v>
      </c>
      <c r="I30" s="159"/>
      <c r="J30" s="124"/>
      <c r="K30" s="110"/>
      <c r="L30" s="139"/>
      <c r="M30" s="110"/>
      <c r="N30" s="125"/>
      <c r="O30" s="125"/>
      <c r="P30" s="125"/>
      <c r="Q30" s="110"/>
      <c r="R30" s="129"/>
      <c r="S30" s="124"/>
      <c r="T30" s="110"/>
      <c r="U30" s="129"/>
      <c r="V30" s="111"/>
      <c r="W30" s="110"/>
      <c r="X30" s="125"/>
      <c r="Y30" s="139"/>
      <c r="Z30" s="125"/>
      <c r="AA30" s="129"/>
      <c r="AB30" s="145"/>
      <c r="AC30" s="134"/>
    </row>
    <row r="31" spans="1:29" ht="11.25">
      <c r="A31" s="16"/>
      <c r="B31" s="16"/>
      <c r="C31" s="16"/>
      <c r="D31" s="16"/>
      <c r="E31" s="16"/>
      <c r="F31" s="16"/>
      <c r="G31" s="16" t="s">
        <v>431</v>
      </c>
      <c r="H31" s="20">
        <v>-6.3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1.25">
      <c r="A32" s="16"/>
      <c r="B32" s="16"/>
      <c r="C32" s="16"/>
      <c r="D32" s="16"/>
      <c r="E32" s="16"/>
      <c r="F32" s="16"/>
      <c r="G32" s="16"/>
      <c r="H32" s="20">
        <f>SUM(H30:H31)</f>
        <v>12.919999999999998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1.25">
      <c r="A33" s="16"/>
      <c r="B33" s="16"/>
      <c r="C33" s="16"/>
      <c r="D33" s="16"/>
      <c r="E33" s="16"/>
      <c r="F33" s="16"/>
      <c r="G33" s="16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1.25">
      <c r="A34" s="16"/>
      <c r="B34" s="16"/>
      <c r="C34" s="16"/>
      <c r="D34" s="16"/>
      <c r="E34" s="16"/>
      <c r="F34" s="16"/>
      <c r="G34" s="16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1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1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1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1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1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1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2009-10-12T20:53:38Z</cp:lastPrinted>
  <dcterms:created xsi:type="dcterms:W3CDTF">2003-09-11T05:30:40Z</dcterms:created>
  <dcterms:modified xsi:type="dcterms:W3CDTF">2009-10-12T22:15:20Z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090899</vt:lpwstr>
  </property>
  <property fmtid="{D5CDD505-2E9C-101B-9397-08002B2CF9AE}" pid="6" name="IsConfidenti">
    <vt:lpwstr>0</vt:lpwstr>
  </property>
  <property fmtid="{D5CDD505-2E9C-101B-9397-08002B2CF9AE}" pid="7" name="Dat">
    <vt:lpwstr>2009-10-12T00:00:00Z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2009-06-12T00:00:00Z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