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4455" yWindow="375" windowWidth="15450" windowHeight="11385"/>
  </bookViews>
  <sheets>
    <sheet name="WAID Act vs Budget savings" sheetId="12" r:id="rId1"/>
    <sheet name="WA-Sch91 Bal Projection" sheetId="21" state="hidden" r:id="rId2"/>
    <sheet name="WA-Sch91 Rider Balance" sheetId="9" r:id="rId3"/>
    <sheet name="WA-Sch91 Budget-Act Exp" sheetId="10" r:id="rId4"/>
    <sheet name="WA-Sch191 Bal Projection " sheetId="22" state="hidden" r:id="rId5"/>
    <sheet name="WA-Sch191 Rider Balance" sheetId="3" r:id="rId6"/>
    <sheet name="WA-Sch191 Budget-Act Exp " sheetId="11" r:id="rId7"/>
    <sheet name="ID-Sch91 Bal Projection " sheetId="23" state="hidden" r:id="rId8"/>
    <sheet name="ID-Sch91 Rider Balance" sheetId="2" r:id="rId9"/>
    <sheet name="ID-Sch91 Budget-Act Exp" sheetId="19" r:id="rId10"/>
    <sheet name="ID-Sch191 Bal Projection" sheetId="24" state="hidden" r:id="rId11"/>
    <sheet name="ID-Sch191 Rider Balance" sheetId="4" r:id="rId12"/>
    <sheet name="ID-Sch191 Budget-Act Exp" sheetId="14" r:id="rId13"/>
    <sheet name="Sheet1" sheetId="25" r:id="rId14"/>
  </sheets>
  <definedNames>
    <definedName name="DSMFlag" localSheetId="9">'ID-Sch91 Budget-Act Exp'!#REF!</definedName>
    <definedName name="DSMFlag" localSheetId="6">'WA-Sch191 Budget-Act Exp '!#REF!</definedName>
    <definedName name="DSMFlag" localSheetId="3">'WA-Sch91 Budget-Act Exp'!#REF!</definedName>
    <definedName name="DSMFlag" localSheetId="2">'WA-Sch91 Rider Balance'!$F$35</definedName>
    <definedName name="DSMFlag">#REF!</definedName>
    <definedName name="_xlnm.Print_Area" localSheetId="3">'WA-Sch91 Budget-Act Exp'!$B$1:$O$81</definedName>
    <definedName name="_xlnm.Print_Titles" localSheetId="11">'ID-Sch191 Rider Balance'!$A:$B</definedName>
    <definedName name="_xlnm.Print_Titles" localSheetId="8">'ID-Sch91 Rider Balance'!$A:$B</definedName>
    <definedName name="_xlnm.Print_Titles" localSheetId="5">'WA-Sch191 Rider Balance'!$A:$B</definedName>
    <definedName name="_xlnm.Print_Titles" localSheetId="2">'WA-Sch91 Rider Balance'!$A:$B</definedName>
  </definedNames>
  <calcPr calcId="125725"/>
</workbook>
</file>

<file path=xl/calcChain.xml><?xml version="1.0" encoding="utf-8"?>
<calcChain xmlns="http://schemas.openxmlformats.org/spreadsheetml/2006/main">
  <c r="G31" i="12"/>
  <c r="G27"/>
  <c r="G22"/>
  <c r="G25"/>
  <c r="G20"/>
  <c r="F40" i="14" l="1"/>
  <c r="E40"/>
  <c r="D40"/>
  <c r="C40"/>
  <c r="C24"/>
  <c r="C23"/>
  <c r="C18"/>
  <c r="C17"/>
  <c r="D42" i="19"/>
  <c r="F40"/>
  <c r="E40"/>
  <c r="D40"/>
  <c r="C40"/>
  <c r="C24"/>
  <c r="C23"/>
  <c r="C18"/>
  <c r="C17"/>
  <c r="F42" i="11" l="1"/>
  <c r="F40"/>
  <c r="E40"/>
  <c r="D40"/>
  <c r="C40"/>
  <c r="C24"/>
  <c r="C23"/>
  <c r="C19"/>
  <c r="C18"/>
  <c r="C17"/>
  <c r="F42" i="10"/>
  <c r="F41"/>
  <c r="F40"/>
  <c r="E42"/>
  <c r="E41"/>
  <c r="E40"/>
  <c r="D42"/>
  <c r="D41"/>
  <c r="D40"/>
  <c r="C42"/>
  <c r="C41"/>
  <c r="C40"/>
  <c r="C24"/>
  <c r="C23"/>
  <c r="C22"/>
  <c r="C19"/>
  <c r="C18"/>
  <c r="C17"/>
  <c r="C28" i="12" l="1"/>
  <c r="C22"/>
  <c r="D20"/>
  <c r="C20"/>
  <c r="C26" l="1"/>
  <c r="C21"/>
  <c r="D16"/>
  <c r="C16"/>
  <c r="D15"/>
  <c r="C19" i="14" l="1"/>
  <c r="C7"/>
  <c r="C9"/>
  <c r="C8"/>
  <c r="D8" s="1"/>
  <c r="E8" s="1"/>
  <c r="F8" s="1"/>
  <c r="G8" s="1"/>
  <c r="H8" s="1"/>
  <c r="I8" s="1"/>
  <c r="J8" s="1"/>
  <c r="K8" s="1"/>
  <c r="L8" s="1"/>
  <c r="M8" s="1"/>
  <c r="N8" s="1"/>
  <c r="D24"/>
  <c r="E24" s="1"/>
  <c r="F24" s="1"/>
  <c r="G24" s="1"/>
  <c r="H24" s="1"/>
  <c r="I24" s="1"/>
  <c r="J24" s="1"/>
  <c r="K24" s="1"/>
  <c r="L24" s="1"/>
  <c r="M24" s="1"/>
  <c r="N24" s="1"/>
  <c r="D23"/>
  <c r="E23" s="1"/>
  <c r="F23" s="1"/>
  <c r="G23" s="1"/>
  <c r="H23" s="1"/>
  <c r="I23" s="1"/>
  <c r="J23" s="1"/>
  <c r="K23" s="1"/>
  <c r="L23" s="1"/>
  <c r="M23" s="1"/>
  <c r="N23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7"/>
  <c r="E7" s="1"/>
  <c r="F7" s="1"/>
  <c r="G7" s="1"/>
  <c r="H7" s="1"/>
  <c r="I7" s="1"/>
  <c r="J7" s="1"/>
  <c r="K7" s="1"/>
  <c r="L7" s="1"/>
  <c r="M7" s="1"/>
  <c r="N7" s="1"/>
  <c r="N70" l="1"/>
  <c r="M70"/>
  <c r="L70"/>
  <c r="K70"/>
  <c r="J70"/>
  <c r="I70"/>
  <c r="H70"/>
  <c r="G70"/>
  <c r="F70"/>
  <c r="E70"/>
  <c r="D70"/>
  <c r="C70"/>
  <c r="O47"/>
  <c r="O46"/>
  <c r="O45"/>
  <c r="O44"/>
  <c r="O43"/>
  <c r="O42"/>
  <c r="O41"/>
  <c r="O40"/>
  <c r="O32"/>
  <c r="O31"/>
  <c r="O30"/>
  <c r="O23"/>
  <c r="D3"/>
  <c r="E3" s="1"/>
  <c r="F3" s="1"/>
  <c r="G3" s="1"/>
  <c r="H3" s="1"/>
  <c r="I3" s="1"/>
  <c r="J3" s="1"/>
  <c r="K3" s="1"/>
  <c r="L3" s="1"/>
  <c r="M3" s="1"/>
  <c r="N3" s="1"/>
  <c r="C70" i="19"/>
  <c r="C22"/>
  <c r="C19"/>
  <c r="C7"/>
  <c r="C9"/>
  <c r="C8"/>
  <c r="O46"/>
  <c r="O70" i="14" l="1"/>
  <c r="D23" i="19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9"/>
  <c r="E9" s="1"/>
  <c r="F9" s="1"/>
  <c r="G9" s="1"/>
  <c r="H9" s="1"/>
  <c r="I9" s="1"/>
  <c r="J9" s="1"/>
  <c r="K9" s="1"/>
  <c r="L9" s="1"/>
  <c r="M9" s="1"/>
  <c r="N9" s="1"/>
  <c r="D8"/>
  <c r="E8" s="1"/>
  <c r="F8" s="1"/>
  <c r="G8" s="1"/>
  <c r="H8" s="1"/>
  <c r="I8" s="1"/>
  <c r="J8" s="1"/>
  <c r="K8" s="1"/>
  <c r="L8" s="1"/>
  <c r="M8" s="1"/>
  <c r="N8" s="1"/>
  <c r="D7"/>
  <c r="E7" s="1"/>
  <c r="F7" s="1"/>
  <c r="G7" s="1"/>
  <c r="H7" s="1"/>
  <c r="I7" s="1"/>
  <c r="J7" s="1"/>
  <c r="K7" s="1"/>
  <c r="L7" s="1"/>
  <c r="M7" s="1"/>
  <c r="N7" s="1"/>
  <c r="D3"/>
  <c r="E3" s="1"/>
  <c r="F3" s="1"/>
  <c r="G3" s="1"/>
  <c r="H3" s="1"/>
  <c r="I3" s="1"/>
  <c r="J3" s="1"/>
  <c r="K3" s="1"/>
  <c r="L3" s="1"/>
  <c r="M3" s="1"/>
  <c r="N3" s="1"/>
  <c r="C70" i="11"/>
  <c r="O46"/>
  <c r="D23"/>
  <c r="D70" s="1"/>
  <c r="C7"/>
  <c r="C9"/>
  <c r="D9" s="1"/>
  <c r="E9" s="1"/>
  <c r="F9" s="1"/>
  <c r="G9" s="1"/>
  <c r="C8"/>
  <c r="D8" s="1"/>
  <c r="E8" s="1"/>
  <c r="F8" s="1"/>
  <c r="G8" s="1"/>
  <c r="D7"/>
  <c r="E7" s="1"/>
  <c r="F7" s="1"/>
  <c r="G7" s="1"/>
  <c r="H7" s="1"/>
  <c r="D24"/>
  <c r="E24" s="1"/>
  <c r="F24" s="1"/>
  <c r="G24" s="1"/>
  <c r="H24" s="1"/>
  <c r="I24" s="1"/>
  <c r="J24" s="1"/>
  <c r="K24" s="1"/>
  <c r="L24" s="1"/>
  <c r="M24" s="1"/>
  <c r="N24" s="1"/>
  <c r="D22"/>
  <c r="E22" s="1"/>
  <c r="F22" s="1"/>
  <c r="G22" s="1"/>
  <c r="H22" s="1"/>
  <c r="I22" s="1"/>
  <c r="J22" s="1"/>
  <c r="K22" s="1"/>
  <c r="L22" s="1"/>
  <c r="M22" s="1"/>
  <c r="N22" s="1"/>
  <c r="D19"/>
  <c r="E19" s="1"/>
  <c r="F19" s="1"/>
  <c r="G19" s="1"/>
  <c r="H19" s="1"/>
  <c r="I19" s="1"/>
  <c r="J19" s="1"/>
  <c r="K19" s="1"/>
  <c r="L19" s="1"/>
  <c r="M19" s="1"/>
  <c r="N19" s="1"/>
  <c r="D18"/>
  <c r="E18" s="1"/>
  <c r="F18" s="1"/>
  <c r="G18" s="1"/>
  <c r="H18" s="1"/>
  <c r="I18" s="1"/>
  <c r="J18" s="1"/>
  <c r="K18" s="1"/>
  <c r="L18" s="1"/>
  <c r="M18" s="1"/>
  <c r="N18" s="1"/>
  <c r="D17"/>
  <c r="E17" s="1"/>
  <c r="F17" s="1"/>
  <c r="G17" s="1"/>
  <c r="H17" s="1"/>
  <c r="I17" s="1"/>
  <c r="J17" s="1"/>
  <c r="K17" s="1"/>
  <c r="L17" s="1"/>
  <c r="M17" s="1"/>
  <c r="N17" s="1"/>
  <c r="D3"/>
  <c r="E3" s="1"/>
  <c r="F3" s="1"/>
  <c r="G3" s="1"/>
  <c r="H3" s="1"/>
  <c r="I3" s="1"/>
  <c r="J3" s="1"/>
  <c r="K3" s="1"/>
  <c r="L3" s="1"/>
  <c r="M3" s="1"/>
  <c r="N3" s="1"/>
  <c r="D22" i="10"/>
  <c r="E22" s="1"/>
  <c r="F22" s="1"/>
  <c r="G22" s="1"/>
  <c r="H22" s="1"/>
  <c r="I22" s="1"/>
  <c r="J22" s="1"/>
  <c r="K22" s="1"/>
  <c r="L22" s="1"/>
  <c r="M22" s="1"/>
  <c r="N22" s="1"/>
  <c r="D24"/>
  <c r="E24" s="1"/>
  <c r="F24" s="1"/>
  <c r="G24" s="1"/>
  <c r="H24" s="1"/>
  <c r="I24" s="1"/>
  <c r="J24" s="1"/>
  <c r="K24" s="1"/>
  <c r="L24" s="1"/>
  <c r="M24" s="1"/>
  <c r="N24" s="1"/>
  <c r="D23"/>
  <c r="E23" s="1"/>
  <c r="D21"/>
  <c r="E21" s="1"/>
  <c r="F21" s="1"/>
  <c r="G21" s="1"/>
  <c r="H21" s="1"/>
  <c r="I21" s="1"/>
  <c r="J21" s="1"/>
  <c r="K21" s="1"/>
  <c r="L21" s="1"/>
  <c r="M21" s="1"/>
  <c r="N21" s="1"/>
  <c r="D20"/>
  <c r="E20" s="1"/>
  <c r="F20" s="1"/>
  <c r="G20" s="1"/>
  <c r="H20" s="1"/>
  <c r="I20" s="1"/>
  <c r="J20" s="1"/>
  <c r="K20" s="1"/>
  <c r="L20" s="1"/>
  <c r="M20" s="1"/>
  <c r="N20" s="1"/>
  <c r="D19"/>
  <c r="D68" s="1"/>
  <c r="D17"/>
  <c r="E17" s="1"/>
  <c r="F17" s="1"/>
  <c r="G17" s="1"/>
  <c r="H17" s="1"/>
  <c r="I17" s="1"/>
  <c r="J17" s="1"/>
  <c r="K17" s="1"/>
  <c r="L17" s="1"/>
  <c r="M17" s="1"/>
  <c r="N17" s="1"/>
  <c r="D18"/>
  <c r="E18" s="1"/>
  <c r="F18" s="1"/>
  <c r="G18" s="1"/>
  <c r="H18" s="1"/>
  <c r="I18" s="1"/>
  <c r="J18" s="1"/>
  <c r="K18" s="1"/>
  <c r="L18" s="1"/>
  <c r="M18" s="1"/>
  <c r="N18" s="1"/>
  <c r="C7"/>
  <c r="D7" s="1"/>
  <c r="E7" s="1"/>
  <c r="F7" s="1"/>
  <c r="G7" s="1"/>
  <c r="H7" s="1"/>
  <c r="I7" s="1"/>
  <c r="J7" s="1"/>
  <c r="K7" s="1"/>
  <c r="L7" s="1"/>
  <c r="M7" s="1"/>
  <c r="N7" s="1"/>
  <c r="C9"/>
  <c r="D9" s="1"/>
  <c r="E9" s="1"/>
  <c r="F9" s="1"/>
  <c r="G9" s="1"/>
  <c r="H9" s="1"/>
  <c r="I9" s="1"/>
  <c r="J9" s="1"/>
  <c r="K9" s="1"/>
  <c r="L9" s="1"/>
  <c r="M9" s="1"/>
  <c r="N9" s="1"/>
  <c r="C8"/>
  <c r="D8" s="1"/>
  <c r="E8" s="1"/>
  <c r="F8" s="1"/>
  <c r="G8" s="1"/>
  <c r="H8" s="1"/>
  <c r="I8" s="1"/>
  <c r="J8" s="1"/>
  <c r="K8" s="1"/>
  <c r="L8" s="1"/>
  <c r="M8" s="1"/>
  <c r="N8" s="1"/>
  <c r="D3"/>
  <c r="E3" s="1"/>
  <c r="F3" s="1"/>
  <c r="G3" s="1"/>
  <c r="H3" s="1"/>
  <c r="I3" s="1"/>
  <c r="J3" s="1"/>
  <c r="K3" s="1"/>
  <c r="L3" s="1"/>
  <c r="M3" s="1"/>
  <c r="N3" s="1"/>
  <c r="C68"/>
  <c r="O46"/>
  <c r="D70"/>
  <c r="F2" i="12"/>
  <c r="G2" s="1"/>
  <c r="H2" s="1"/>
  <c r="I2" s="1"/>
  <c r="J2" s="1"/>
  <c r="K2" s="1"/>
  <c r="L2" s="1"/>
  <c r="M2" s="1"/>
  <c r="N2" s="1"/>
  <c r="E2"/>
  <c r="D2"/>
  <c r="E23" i="19" l="1"/>
  <c r="D70"/>
  <c r="E23" i="11"/>
  <c r="H9"/>
  <c r="I9" s="1"/>
  <c r="J9" s="1"/>
  <c r="K9" s="1"/>
  <c r="L9" s="1"/>
  <c r="M9" s="1"/>
  <c r="N9" s="1"/>
  <c r="H8"/>
  <c r="I8" s="1"/>
  <c r="J8" s="1"/>
  <c r="K8" s="1"/>
  <c r="L8" s="1"/>
  <c r="M8" s="1"/>
  <c r="N8" s="1"/>
  <c r="I7"/>
  <c r="J7" s="1"/>
  <c r="K7" s="1"/>
  <c r="L7" s="1"/>
  <c r="M7" s="1"/>
  <c r="N7" s="1"/>
  <c r="F23" i="10"/>
  <c r="F70" s="1"/>
  <c r="E70"/>
  <c r="E19"/>
  <c r="C70"/>
  <c r="G23" l="1"/>
  <c r="G70" s="1"/>
  <c r="F23" i="19"/>
  <c r="E70"/>
  <c r="F23" i="11"/>
  <c r="E70"/>
  <c r="F19" i="10"/>
  <c r="E68"/>
  <c r="H23"/>
  <c r="G23" i="19" l="1"/>
  <c r="F70"/>
  <c r="G23" i="11"/>
  <c r="F70"/>
  <c r="F68" i="10"/>
  <c r="G19"/>
  <c r="I23"/>
  <c r="H70"/>
  <c r="N71" i="19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K56" i="14"/>
  <c r="K55"/>
  <c r="K54"/>
  <c r="N71"/>
  <c r="M71"/>
  <c r="L71"/>
  <c r="K71"/>
  <c r="N69"/>
  <c r="M69"/>
  <c r="L69"/>
  <c r="K69"/>
  <c r="N68"/>
  <c r="M68"/>
  <c r="L68"/>
  <c r="K68"/>
  <c r="N67"/>
  <c r="M67"/>
  <c r="L67"/>
  <c r="K67"/>
  <c r="N66"/>
  <c r="M66"/>
  <c r="L66"/>
  <c r="K66"/>
  <c r="N65"/>
  <c r="M65"/>
  <c r="L65"/>
  <c r="K65"/>
  <c r="N64"/>
  <c r="M64"/>
  <c r="L64"/>
  <c r="K64"/>
  <c r="N60"/>
  <c r="M60"/>
  <c r="L60"/>
  <c r="K60"/>
  <c r="N59"/>
  <c r="M59"/>
  <c r="L59"/>
  <c r="K59"/>
  <c r="N58"/>
  <c r="M58"/>
  <c r="L58"/>
  <c r="K58"/>
  <c r="N57"/>
  <c r="M57"/>
  <c r="L57"/>
  <c r="K57"/>
  <c r="N56"/>
  <c r="M56"/>
  <c r="L56"/>
  <c r="N55"/>
  <c r="M55"/>
  <c r="L55"/>
  <c r="N54"/>
  <c r="M54"/>
  <c r="L54"/>
  <c r="N71" i="11"/>
  <c r="N69"/>
  <c r="N68"/>
  <c r="N67"/>
  <c r="N66"/>
  <c r="N65"/>
  <c r="N64"/>
  <c r="N60"/>
  <c r="N59"/>
  <c r="N58"/>
  <c r="N57"/>
  <c r="N56"/>
  <c r="N55"/>
  <c r="N54"/>
  <c r="M71"/>
  <c r="M69"/>
  <c r="M68"/>
  <c r="M67"/>
  <c r="M66"/>
  <c r="M65"/>
  <c r="M64"/>
  <c r="M60"/>
  <c r="M59"/>
  <c r="M58"/>
  <c r="M57"/>
  <c r="M56"/>
  <c r="M55"/>
  <c r="M54"/>
  <c r="L71"/>
  <c r="L69"/>
  <c r="L68"/>
  <c r="L67"/>
  <c r="L66"/>
  <c r="L65"/>
  <c r="L64"/>
  <c r="L60"/>
  <c r="L59"/>
  <c r="L58"/>
  <c r="L57"/>
  <c r="L56"/>
  <c r="L55"/>
  <c r="L54"/>
  <c r="K71"/>
  <c r="K69"/>
  <c r="K68"/>
  <c r="K67"/>
  <c r="K66"/>
  <c r="K65"/>
  <c r="K64"/>
  <c r="K60"/>
  <c r="K59"/>
  <c r="K58"/>
  <c r="K57"/>
  <c r="K56"/>
  <c r="K55"/>
  <c r="K54"/>
  <c r="N67" i="10"/>
  <c r="N66"/>
  <c r="N60"/>
  <c r="N59"/>
  <c r="N58"/>
  <c r="N57"/>
  <c r="M67"/>
  <c r="M66"/>
  <c r="M60"/>
  <c r="M59"/>
  <c r="M58"/>
  <c r="M57"/>
  <c r="L67"/>
  <c r="L66"/>
  <c r="L60"/>
  <c r="L59"/>
  <c r="L58"/>
  <c r="L57"/>
  <c r="K67"/>
  <c r="K66"/>
  <c r="K60"/>
  <c r="K59"/>
  <c r="K58"/>
  <c r="K57"/>
  <c r="H23" i="19" l="1"/>
  <c r="G70"/>
  <c r="H23" i="11"/>
  <c r="G70"/>
  <c r="H19" i="10"/>
  <c r="G68"/>
  <c r="J23"/>
  <c r="I70"/>
  <c r="B5" i="24"/>
  <c r="B6" s="1"/>
  <c r="B12"/>
  <c r="B5" i="23"/>
  <c r="B6" s="1"/>
  <c r="B12"/>
  <c r="I23" i="19" l="1"/>
  <c r="H70"/>
  <c r="I23" i="11"/>
  <c r="H70"/>
  <c r="H68" i="10"/>
  <c r="I19"/>
  <c r="J70"/>
  <c r="K23"/>
  <c r="B5" i="22"/>
  <c r="B6" s="1"/>
  <c r="B12"/>
  <c r="B12" i="21"/>
  <c r="J71" i="14"/>
  <c r="J69"/>
  <c r="J68"/>
  <c r="J67"/>
  <c r="J66"/>
  <c r="J65"/>
  <c r="J64"/>
  <c r="J60"/>
  <c r="J59"/>
  <c r="J58"/>
  <c r="J57"/>
  <c r="J56"/>
  <c r="J55"/>
  <c r="J54"/>
  <c r="J71" i="19"/>
  <c r="J69"/>
  <c r="J68"/>
  <c r="J67"/>
  <c r="J66"/>
  <c r="J65"/>
  <c r="J64"/>
  <c r="J60"/>
  <c r="J59"/>
  <c r="J58"/>
  <c r="J57"/>
  <c r="J56"/>
  <c r="J55"/>
  <c r="J54"/>
  <c r="G21" i="12"/>
  <c r="G23"/>
  <c r="G26"/>
  <c r="G28"/>
  <c r="J23" i="19" l="1"/>
  <c r="I70"/>
  <c r="J23" i="11"/>
  <c r="I70"/>
  <c r="J19" i="10"/>
  <c r="I68"/>
  <c r="K70"/>
  <c r="L23"/>
  <c r="J71" i="11"/>
  <c r="J69"/>
  <c r="J68"/>
  <c r="J67"/>
  <c r="J66"/>
  <c r="J65"/>
  <c r="J64"/>
  <c r="J60"/>
  <c r="J59"/>
  <c r="J58"/>
  <c r="J57"/>
  <c r="J56"/>
  <c r="J55"/>
  <c r="J54"/>
  <c r="J67" i="10"/>
  <c r="J66"/>
  <c r="J60"/>
  <c r="J59"/>
  <c r="J58"/>
  <c r="J57"/>
  <c r="K23" i="19" l="1"/>
  <c r="J70"/>
  <c r="K23" i="11"/>
  <c r="J70"/>
  <c r="K19" i="10"/>
  <c r="J68"/>
  <c r="M23"/>
  <c r="L70"/>
  <c r="L23" i="19" l="1"/>
  <c r="K70"/>
  <c r="L23" i="11"/>
  <c r="K70"/>
  <c r="L19" i="10"/>
  <c r="K68"/>
  <c r="N23"/>
  <c r="M70"/>
  <c r="I71" i="14"/>
  <c r="I69"/>
  <c r="I68"/>
  <c r="I67"/>
  <c r="I66"/>
  <c r="I65"/>
  <c r="I64"/>
  <c r="I60"/>
  <c r="I59"/>
  <c r="I58"/>
  <c r="I57"/>
  <c r="I56"/>
  <c r="I55"/>
  <c r="I54"/>
  <c r="I71" i="11"/>
  <c r="I69"/>
  <c r="I68"/>
  <c r="I67"/>
  <c r="I66"/>
  <c r="I65"/>
  <c r="I64"/>
  <c r="I60"/>
  <c r="I59"/>
  <c r="I58"/>
  <c r="I57"/>
  <c r="I56"/>
  <c r="I55"/>
  <c r="I54"/>
  <c r="I71" i="19"/>
  <c r="I69"/>
  <c r="I68"/>
  <c r="I67"/>
  <c r="I66"/>
  <c r="I65"/>
  <c r="I64"/>
  <c r="I60"/>
  <c r="I59"/>
  <c r="I58"/>
  <c r="I57"/>
  <c r="I56"/>
  <c r="I55"/>
  <c r="I54"/>
  <c r="I67" i="10"/>
  <c r="I66"/>
  <c r="I60"/>
  <c r="I59"/>
  <c r="I58"/>
  <c r="I57"/>
  <c r="M23" i="19" l="1"/>
  <c r="L70"/>
  <c r="M23" i="11"/>
  <c r="L70"/>
  <c r="M19" i="10"/>
  <c r="L68"/>
  <c r="N70"/>
  <c r="O70" s="1"/>
  <c r="O23"/>
  <c r="H67"/>
  <c r="H66"/>
  <c r="H60"/>
  <c r="H59"/>
  <c r="H58"/>
  <c r="H57"/>
  <c r="N23" i="19" l="1"/>
  <c r="M70"/>
  <c r="N23" i="11"/>
  <c r="N70" s="1"/>
  <c r="O70" s="1"/>
  <c r="M70"/>
  <c r="N19" i="10"/>
  <c r="M68"/>
  <c r="H71" i="14"/>
  <c r="H69"/>
  <c r="H68"/>
  <c r="H67"/>
  <c r="H66"/>
  <c r="H65"/>
  <c r="H64"/>
  <c r="H60"/>
  <c r="H59"/>
  <c r="H58"/>
  <c r="H57"/>
  <c r="H56"/>
  <c r="H55"/>
  <c r="H54"/>
  <c r="H71" i="19"/>
  <c r="H69"/>
  <c r="H68"/>
  <c r="H67"/>
  <c r="H66"/>
  <c r="H65"/>
  <c r="H64"/>
  <c r="H60"/>
  <c r="H59"/>
  <c r="H58"/>
  <c r="H57"/>
  <c r="H56"/>
  <c r="H55"/>
  <c r="H54"/>
  <c r="H71" i="11"/>
  <c r="H69"/>
  <c r="H68"/>
  <c r="H67"/>
  <c r="H66"/>
  <c r="H65"/>
  <c r="H64"/>
  <c r="H60"/>
  <c r="H59"/>
  <c r="H58"/>
  <c r="H57"/>
  <c r="H56"/>
  <c r="H55"/>
  <c r="H54"/>
  <c r="N70" i="19" l="1"/>
  <c r="O70" s="1"/>
  <c r="O23"/>
  <c r="O23" i="11"/>
  <c r="N68" i="10"/>
  <c r="O68" s="1"/>
  <c r="G30" i="12"/>
  <c r="G71" i="14" l="1"/>
  <c r="G69"/>
  <c r="G68"/>
  <c r="G67"/>
  <c r="G66"/>
  <c r="G65"/>
  <c r="G64"/>
  <c r="G60"/>
  <c r="G59"/>
  <c r="G58"/>
  <c r="G57"/>
  <c r="G56"/>
  <c r="G55"/>
  <c r="G54"/>
  <c r="G71" i="19"/>
  <c r="G69"/>
  <c r="G68"/>
  <c r="G67"/>
  <c r="G66"/>
  <c r="G65"/>
  <c r="G64"/>
  <c r="G60"/>
  <c r="G59"/>
  <c r="G58"/>
  <c r="G57"/>
  <c r="G56"/>
  <c r="G55"/>
  <c r="G54"/>
  <c r="G71" i="11"/>
  <c r="G69"/>
  <c r="G68"/>
  <c r="G67"/>
  <c r="G66"/>
  <c r="G65"/>
  <c r="G64"/>
  <c r="G60"/>
  <c r="G59"/>
  <c r="G58"/>
  <c r="G57"/>
  <c r="G56"/>
  <c r="G55"/>
  <c r="G54"/>
  <c r="G67" i="10"/>
  <c r="G66"/>
  <c r="G60"/>
  <c r="G59"/>
  <c r="G58"/>
  <c r="G57"/>
  <c r="F71" i="14" l="1"/>
  <c r="F69"/>
  <c r="F68"/>
  <c r="F67"/>
  <c r="F66"/>
  <c r="F65"/>
  <c r="F64"/>
  <c r="F60"/>
  <c r="F59"/>
  <c r="F58"/>
  <c r="F57"/>
  <c r="F56"/>
  <c r="F55"/>
  <c r="F54"/>
  <c r="F48" i="19"/>
  <c r="F50" s="1"/>
  <c r="F37"/>
  <c r="F71"/>
  <c r="F69"/>
  <c r="F68"/>
  <c r="F67"/>
  <c r="F66"/>
  <c r="F65"/>
  <c r="F64"/>
  <c r="F60"/>
  <c r="F59"/>
  <c r="F58"/>
  <c r="F57"/>
  <c r="F56"/>
  <c r="F55"/>
  <c r="F54"/>
  <c r="F71" i="11"/>
  <c r="F69"/>
  <c r="F68"/>
  <c r="F67"/>
  <c r="F66"/>
  <c r="F65"/>
  <c r="F64"/>
  <c r="F60"/>
  <c r="F59"/>
  <c r="F58"/>
  <c r="F57"/>
  <c r="F56"/>
  <c r="F55"/>
  <c r="F54"/>
  <c r="F67" i="10"/>
  <c r="F66"/>
  <c r="F60"/>
  <c r="F59"/>
  <c r="F58"/>
  <c r="F57"/>
  <c r="I31" i="12" l="1"/>
  <c r="I30"/>
  <c r="I28"/>
  <c r="I26"/>
  <c r="I23"/>
  <c r="I22"/>
  <c r="I21"/>
  <c r="G16"/>
  <c r="I16" s="1"/>
  <c r="G17"/>
  <c r="I17" s="1"/>
  <c r="G18"/>
  <c r="I18" s="1"/>
  <c r="G15"/>
  <c r="I15" s="1"/>
  <c r="G32"/>
  <c r="E32"/>
  <c r="D25"/>
  <c r="I20"/>
  <c r="C27"/>
  <c r="I27" s="1"/>
  <c r="E28"/>
  <c r="E26"/>
  <c r="E16"/>
  <c r="E17"/>
  <c r="E18"/>
  <c r="E20"/>
  <c r="E21"/>
  <c r="E22"/>
  <c r="E23"/>
  <c r="E15"/>
  <c r="I32" l="1"/>
  <c r="E27"/>
  <c r="C25"/>
  <c r="I25" s="1"/>
  <c r="E25" l="1"/>
  <c r="E68" i="19" l="1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N48"/>
  <c r="M48"/>
  <c r="L48"/>
  <c r="K48"/>
  <c r="J48"/>
  <c r="I48"/>
  <c r="H48"/>
  <c r="G48"/>
  <c r="E48"/>
  <c r="D48"/>
  <c r="C48"/>
  <c r="O47"/>
  <c r="P47" s="1"/>
  <c r="O45"/>
  <c r="P45" s="1"/>
  <c r="O44"/>
  <c r="P44" s="1"/>
  <c r="O43"/>
  <c r="P43" s="1"/>
  <c r="O42"/>
  <c r="P42" s="1"/>
  <c r="O41"/>
  <c r="P41" s="1"/>
  <c r="O40"/>
  <c r="N37"/>
  <c r="M37"/>
  <c r="L37"/>
  <c r="K37"/>
  <c r="J37"/>
  <c r="I37"/>
  <c r="H37"/>
  <c r="G37"/>
  <c r="E37"/>
  <c r="D37"/>
  <c r="C37"/>
  <c r="O36"/>
  <c r="P36" s="1"/>
  <c r="O35"/>
  <c r="P35" s="1"/>
  <c r="O34"/>
  <c r="P34" s="1"/>
  <c r="O33"/>
  <c r="P33" s="1"/>
  <c r="O32"/>
  <c r="P32" s="1"/>
  <c r="O31"/>
  <c r="P31" s="1"/>
  <c r="O30"/>
  <c r="E71"/>
  <c r="D71"/>
  <c r="C71"/>
  <c r="E69"/>
  <c r="D69"/>
  <c r="C69"/>
  <c r="O21"/>
  <c r="O20"/>
  <c r="O19"/>
  <c r="E65"/>
  <c r="D65"/>
  <c r="C65"/>
  <c r="N25"/>
  <c r="M25"/>
  <c r="L25"/>
  <c r="K25"/>
  <c r="J25"/>
  <c r="I25"/>
  <c r="H25"/>
  <c r="G25"/>
  <c r="F25"/>
  <c r="E64"/>
  <c r="D64"/>
  <c r="C64"/>
  <c r="O13"/>
  <c r="O12"/>
  <c r="O11"/>
  <c r="O10"/>
  <c r="E56"/>
  <c r="D56"/>
  <c r="C56"/>
  <c r="E55"/>
  <c r="D55"/>
  <c r="C55"/>
  <c r="N14"/>
  <c r="N61" s="1"/>
  <c r="M14"/>
  <c r="L14"/>
  <c r="K14"/>
  <c r="K61" s="1"/>
  <c r="J14"/>
  <c r="I14"/>
  <c r="I61" s="1"/>
  <c r="H14"/>
  <c r="H61" s="1"/>
  <c r="G14"/>
  <c r="F14"/>
  <c r="F61" s="1"/>
  <c r="E54"/>
  <c r="D54"/>
  <c r="C54"/>
  <c r="G27" l="1"/>
  <c r="G50"/>
  <c r="K50"/>
  <c r="L27"/>
  <c r="C50"/>
  <c r="H50"/>
  <c r="L50"/>
  <c r="E50"/>
  <c r="J50"/>
  <c r="N50"/>
  <c r="D50"/>
  <c r="I50"/>
  <c r="M50"/>
  <c r="I72"/>
  <c r="I27"/>
  <c r="I74" s="1"/>
  <c r="M27"/>
  <c r="H72"/>
  <c r="H27"/>
  <c r="K72"/>
  <c r="K27"/>
  <c r="F72"/>
  <c r="F27"/>
  <c r="J72"/>
  <c r="J27"/>
  <c r="N72"/>
  <c r="N27"/>
  <c r="O60"/>
  <c r="O58"/>
  <c r="M72"/>
  <c r="L72"/>
  <c r="G72"/>
  <c r="O67"/>
  <c r="G61"/>
  <c r="J61"/>
  <c r="M61"/>
  <c r="L61"/>
  <c r="O48"/>
  <c r="O71"/>
  <c r="O69"/>
  <c r="O37"/>
  <c r="P40"/>
  <c r="P48" s="1"/>
  <c r="O57"/>
  <c r="O59"/>
  <c r="O66"/>
  <c r="O68"/>
  <c r="O54"/>
  <c r="O55"/>
  <c r="O56"/>
  <c r="O64"/>
  <c r="O65"/>
  <c r="K74"/>
  <c r="O7"/>
  <c r="O9"/>
  <c r="D14"/>
  <c r="D61" s="1"/>
  <c r="O17"/>
  <c r="O24"/>
  <c r="D25"/>
  <c r="P30"/>
  <c r="P37" s="1"/>
  <c r="O8"/>
  <c r="C14"/>
  <c r="C61" s="1"/>
  <c r="E14"/>
  <c r="E61" s="1"/>
  <c r="O18"/>
  <c r="O22"/>
  <c r="C25"/>
  <c r="E25"/>
  <c r="O50" l="1"/>
  <c r="C72"/>
  <c r="C27"/>
  <c r="C74" s="1"/>
  <c r="E72"/>
  <c r="E27"/>
  <c r="D72"/>
  <c r="D27"/>
  <c r="D74" s="1"/>
  <c r="N74"/>
  <c r="H74"/>
  <c r="F74"/>
  <c r="M74"/>
  <c r="L74"/>
  <c r="J74"/>
  <c r="G74"/>
  <c r="P50"/>
  <c r="O72"/>
  <c r="E74"/>
  <c r="O14"/>
  <c r="O61"/>
  <c r="O25"/>
  <c r="O74" l="1"/>
  <c r="O27"/>
  <c r="E69" i="14" l="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E69" i="11"/>
  <c r="D69"/>
  <c r="C69"/>
  <c r="E68"/>
  <c r="D68"/>
  <c r="C68"/>
  <c r="E67"/>
  <c r="D67"/>
  <c r="C67"/>
  <c r="E66"/>
  <c r="D66"/>
  <c r="C66"/>
  <c r="E60"/>
  <c r="D60"/>
  <c r="C60"/>
  <c r="E59"/>
  <c r="D59"/>
  <c r="C59"/>
  <c r="E58"/>
  <c r="D58"/>
  <c r="C58"/>
  <c r="E57"/>
  <c r="D57"/>
  <c r="C57"/>
  <c r="O47" i="10"/>
  <c r="P47" s="1"/>
  <c r="O45"/>
  <c r="P45" s="1"/>
  <c r="O44"/>
  <c r="P44" s="1"/>
  <c r="O43"/>
  <c r="P43" s="1"/>
  <c r="O42"/>
  <c r="P42" s="1"/>
  <c r="O41"/>
  <c r="P41" s="1"/>
  <c r="O40"/>
  <c r="P40" s="1"/>
  <c r="O36"/>
  <c r="O35"/>
  <c r="O34"/>
  <c r="O33"/>
  <c r="P33" s="1"/>
  <c r="O32"/>
  <c r="P32" s="1"/>
  <c r="O31"/>
  <c r="P31" s="1"/>
  <c r="O30"/>
  <c r="E67"/>
  <c r="D67"/>
  <c r="C67"/>
  <c r="E66"/>
  <c r="D66"/>
  <c r="C66"/>
  <c r="E60"/>
  <c r="D60"/>
  <c r="E59"/>
  <c r="D59"/>
  <c r="E58"/>
  <c r="D58"/>
  <c r="E57"/>
  <c r="D57"/>
  <c r="C57"/>
  <c r="C58"/>
  <c r="C59"/>
  <c r="O59" s="1"/>
  <c r="C60"/>
  <c r="E71" i="14"/>
  <c r="D71"/>
  <c r="E65"/>
  <c r="D65"/>
  <c r="E64"/>
  <c r="D64"/>
  <c r="C71"/>
  <c r="C65"/>
  <c r="C64"/>
  <c r="E56"/>
  <c r="D56"/>
  <c r="C56"/>
  <c r="E55"/>
  <c r="D55"/>
  <c r="E54"/>
  <c r="D54"/>
  <c r="C55"/>
  <c r="C54"/>
  <c r="O48"/>
  <c r="N48"/>
  <c r="M48"/>
  <c r="L48"/>
  <c r="K48"/>
  <c r="J48"/>
  <c r="I48"/>
  <c r="H48"/>
  <c r="G48"/>
  <c r="F48"/>
  <c r="E48"/>
  <c r="D48"/>
  <c r="C48"/>
  <c r="P47"/>
  <c r="P45"/>
  <c r="P44"/>
  <c r="P43"/>
  <c r="P42"/>
  <c r="P41"/>
  <c r="P40"/>
  <c r="O37"/>
  <c r="N37"/>
  <c r="M37"/>
  <c r="L37"/>
  <c r="K37"/>
  <c r="J37"/>
  <c r="I37"/>
  <c r="H37"/>
  <c r="G37"/>
  <c r="F37"/>
  <c r="E37"/>
  <c r="D37"/>
  <c r="C37"/>
  <c r="P36"/>
  <c r="P35"/>
  <c r="P34"/>
  <c r="P33"/>
  <c r="P32"/>
  <c r="P31"/>
  <c r="P30"/>
  <c r="O21"/>
  <c r="O19"/>
  <c r="M25"/>
  <c r="K25"/>
  <c r="I25"/>
  <c r="G25"/>
  <c r="E25"/>
  <c r="C25"/>
  <c r="O13"/>
  <c r="O12"/>
  <c r="O11"/>
  <c r="O10"/>
  <c r="M14"/>
  <c r="K14"/>
  <c r="I14"/>
  <c r="G14"/>
  <c r="E14"/>
  <c r="C14"/>
  <c r="E48" i="10"/>
  <c r="E50" s="1"/>
  <c r="D48"/>
  <c r="C48"/>
  <c r="E37"/>
  <c r="D37"/>
  <c r="C37"/>
  <c r="N48"/>
  <c r="M48"/>
  <c r="L48"/>
  <c r="K48"/>
  <c r="J48"/>
  <c r="I48"/>
  <c r="H48"/>
  <c r="G48"/>
  <c r="F48"/>
  <c r="N37"/>
  <c r="M37"/>
  <c r="L37"/>
  <c r="K37"/>
  <c r="J37"/>
  <c r="I37"/>
  <c r="H37"/>
  <c r="G37"/>
  <c r="F37"/>
  <c r="P36"/>
  <c r="P35"/>
  <c r="P34"/>
  <c r="P30"/>
  <c r="O47" i="11"/>
  <c r="O45"/>
  <c r="O44"/>
  <c r="O43"/>
  <c r="O42"/>
  <c r="O41"/>
  <c r="O40"/>
  <c r="N48"/>
  <c r="M48"/>
  <c r="L48"/>
  <c r="K48"/>
  <c r="J48"/>
  <c r="I48"/>
  <c r="H48"/>
  <c r="G48"/>
  <c r="F48"/>
  <c r="E48"/>
  <c r="D48"/>
  <c r="C48"/>
  <c r="O36"/>
  <c r="O35"/>
  <c r="O34"/>
  <c r="O33"/>
  <c r="O32"/>
  <c r="O31"/>
  <c r="O30"/>
  <c r="N37"/>
  <c r="M37"/>
  <c r="L37"/>
  <c r="K37"/>
  <c r="J37"/>
  <c r="I37"/>
  <c r="H37"/>
  <c r="G37"/>
  <c r="F37"/>
  <c r="E37"/>
  <c r="D37"/>
  <c r="C37"/>
  <c r="F50" i="10" l="1"/>
  <c r="J50"/>
  <c r="N50"/>
  <c r="C50" i="11"/>
  <c r="G50"/>
  <c r="K50"/>
  <c r="C27" i="14"/>
  <c r="K27"/>
  <c r="D50"/>
  <c r="H50"/>
  <c r="L50"/>
  <c r="I27"/>
  <c r="C50"/>
  <c r="G50"/>
  <c r="K50"/>
  <c r="O50"/>
  <c r="F50"/>
  <c r="J50"/>
  <c r="N50"/>
  <c r="E50"/>
  <c r="I50"/>
  <c r="M50"/>
  <c r="G27"/>
  <c r="E27"/>
  <c r="M27"/>
  <c r="F50" i="11"/>
  <c r="E50"/>
  <c r="I50"/>
  <c r="M50"/>
  <c r="D50"/>
  <c r="H50"/>
  <c r="L50"/>
  <c r="J50"/>
  <c r="N50"/>
  <c r="O58"/>
  <c r="I50" i="10"/>
  <c r="M50"/>
  <c r="H50"/>
  <c r="L50"/>
  <c r="G50"/>
  <c r="K50"/>
  <c r="D50"/>
  <c r="C50"/>
  <c r="E72" i="14"/>
  <c r="O66"/>
  <c r="C72"/>
  <c r="C61"/>
  <c r="O64"/>
  <c r="G61"/>
  <c r="K61"/>
  <c r="I61"/>
  <c r="M61"/>
  <c r="O56"/>
  <c r="O68"/>
  <c r="G72"/>
  <c r="K72"/>
  <c r="I72"/>
  <c r="M72"/>
  <c r="O60"/>
  <c r="O71"/>
  <c r="O58"/>
  <c r="O60" i="11"/>
  <c r="O68"/>
  <c r="O57" i="10"/>
  <c r="O66"/>
  <c r="O67"/>
  <c r="O58"/>
  <c r="O60"/>
  <c r="E61" i="14"/>
  <c r="O48" i="10"/>
  <c r="O37"/>
  <c r="O54" i="14"/>
  <c r="O65"/>
  <c r="O55"/>
  <c r="P37"/>
  <c r="O57"/>
  <c r="O59"/>
  <c r="O67"/>
  <c r="O69"/>
  <c r="O66" i="11"/>
  <c r="O57"/>
  <c r="O59"/>
  <c r="O67"/>
  <c r="O69"/>
  <c r="P37" i="10"/>
  <c r="P48" i="14"/>
  <c r="O7"/>
  <c r="O9"/>
  <c r="D14"/>
  <c r="D61" s="1"/>
  <c r="F14"/>
  <c r="F61" s="1"/>
  <c r="H14"/>
  <c r="H61" s="1"/>
  <c r="J14"/>
  <c r="J61" s="1"/>
  <c r="L14"/>
  <c r="L61" s="1"/>
  <c r="N14"/>
  <c r="N61" s="1"/>
  <c r="O17"/>
  <c r="O24"/>
  <c r="D25"/>
  <c r="F25"/>
  <c r="H25"/>
  <c r="J25"/>
  <c r="L25"/>
  <c r="N25"/>
  <c r="O8"/>
  <c r="O18"/>
  <c r="O20"/>
  <c r="O22"/>
  <c r="P48" i="10"/>
  <c r="O48" i="11"/>
  <c r="O37"/>
  <c r="O50" i="10" l="1"/>
  <c r="O50" i="11"/>
  <c r="L72" i="14"/>
  <c r="L27"/>
  <c r="N72"/>
  <c r="N27"/>
  <c r="H72"/>
  <c r="H27"/>
  <c r="J72"/>
  <c r="J27"/>
  <c r="D72"/>
  <c r="D27"/>
  <c r="F72"/>
  <c r="F27"/>
  <c r="M74"/>
  <c r="K74"/>
  <c r="I74"/>
  <c r="G74"/>
  <c r="P50"/>
  <c r="O72"/>
  <c r="C74"/>
  <c r="E74"/>
  <c r="O61"/>
  <c r="P50" i="10"/>
  <c r="N74" i="14"/>
  <c r="J74"/>
  <c r="F74"/>
  <c r="O25"/>
  <c r="O14"/>
  <c r="L74"/>
  <c r="H74"/>
  <c r="D74"/>
  <c r="N4" i="12"/>
  <c r="M4"/>
  <c r="L4"/>
  <c r="K4"/>
  <c r="J4"/>
  <c r="I4"/>
  <c r="H4"/>
  <c r="G4"/>
  <c r="F4"/>
  <c r="E4"/>
  <c r="D4"/>
  <c r="C4"/>
  <c r="O9"/>
  <c r="O5"/>
  <c r="O6" s="1"/>
  <c r="E71" i="11"/>
  <c r="D71"/>
  <c r="E65"/>
  <c r="D65"/>
  <c r="E64"/>
  <c r="D64"/>
  <c r="C71"/>
  <c r="C65"/>
  <c r="C64"/>
  <c r="E56"/>
  <c r="D56"/>
  <c r="E55"/>
  <c r="D55"/>
  <c r="E54"/>
  <c r="D54"/>
  <c r="C56"/>
  <c r="C55"/>
  <c r="C54"/>
  <c r="N6" i="12"/>
  <c r="M6"/>
  <c r="L6"/>
  <c r="K6"/>
  <c r="J6"/>
  <c r="I6"/>
  <c r="H6"/>
  <c r="G6"/>
  <c r="F6"/>
  <c r="E6"/>
  <c r="D6"/>
  <c r="C6"/>
  <c r="O24" i="11"/>
  <c r="O22"/>
  <c r="O21"/>
  <c r="O20"/>
  <c r="O19"/>
  <c r="O18"/>
  <c r="N25"/>
  <c r="M25"/>
  <c r="L25"/>
  <c r="K25"/>
  <c r="J25"/>
  <c r="I25"/>
  <c r="H25"/>
  <c r="G25"/>
  <c r="F25"/>
  <c r="E25"/>
  <c r="D25"/>
  <c r="C25"/>
  <c r="O13"/>
  <c r="O12"/>
  <c r="O11"/>
  <c r="O10"/>
  <c r="O8"/>
  <c r="N14"/>
  <c r="N61" s="1"/>
  <c r="M14"/>
  <c r="M61" s="1"/>
  <c r="L14"/>
  <c r="L61" s="1"/>
  <c r="K14"/>
  <c r="K61" s="1"/>
  <c r="J14"/>
  <c r="J61" s="1"/>
  <c r="I14"/>
  <c r="I61" s="1"/>
  <c r="H14"/>
  <c r="H61" s="1"/>
  <c r="G14"/>
  <c r="G61" s="1"/>
  <c r="F14"/>
  <c r="F61" s="1"/>
  <c r="E14"/>
  <c r="E61" s="1"/>
  <c r="D14"/>
  <c r="D61" s="1"/>
  <c r="O74" i="14" l="1"/>
  <c r="O27"/>
  <c r="G72" i="11"/>
  <c r="G27"/>
  <c r="I72"/>
  <c r="I27"/>
  <c r="C72"/>
  <c r="E72"/>
  <c r="E27"/>
  <c r="M72"/>
  <c r="M27"/>
  <c r="D72"/>
  <c r="D27"/>
  <c r="H72"/>
  <c r="H27"/>
  <c r="L72"/>
  <c r="L27"/>
  <c r="K72"/>
  <c r="K27"/>
  <c r="F72"/>
  <c r="F27"/>
  <c r="J72"/>
  <c r="J27"/>
  <c r="J74" s="1"/>
  <c r="N72"/>
  <c r="N27"/>
  <c r="O64"/>
  <c r="O54"/>
  <c r="O56"/>
  <c r="O71"/>
  <c r="O55"/>
  <c r="O65"/>
  <c r="O9"/>
  <c r="C14"/>
  <c r="C61" s="1"/>
  <c r="E74"/>
  <c r="G74"/>
  <c r="I74"/>
  <c r="K74"/>
  <c r="M74"/>
  <c r="D74"/>
  <c r="F74"/>
  <c r="H74"/>
  <c r="L74"/>
  <c r="N74"/>
  <c r="O7"/>
  <c r="O17"/>
  <c r="O25" s="1"/>
  <c r="C27" l="1"/>
  <c r="O14"/>
  <c r="O27" s="1"/>
  <c r="C74"/>
  <c r="O61"/>
  <c r="O72"/>
  <c r="O74" l="1"/>
  <c r="N54" i="10" l="1"/>
  <c r="N71"/>
  <c r="M71"/>
  <c r="L71"/>
  <c r="K71"/>
  <c r="J71"/>
  <c r="I71"/>
  <c r="H71"/>
  <c r="G71"/>
  <c r="F71"/>
  <c r="E71"/>
  <c r="D71"/>
  <c r="M69"/>
  <c r="K69"/>
  <c r="I69"/>
  <c r="G69"/>
  <c r="E69"/>
  <c r="D69"/>
  <c r="C71"/>
  <c r="C69"/>
  <c r="N65"/>
  <c r="M65"/>
  <c r="L65"/>
  <c r="K65"/>
  <c r="J65"/>
  <c r="I65"/>
  <c r="H65"/>
  <c r="G65"/>
  <c r="F65"/>
  <c r="E65"/>
  <c r="D65"/>
  <c r="C65"/>
  <c r="O21"/>
  <c r="O20"/>
  <c r="O19"/>
  <c r="N64"/>
  <c r="M64"/>
  <c r="L64"/>
  <c r="K64"/>
  <c r="J64"/>
  <c r="I64"/>
  <c r="H64"/>
  <c r="G64"/>
  <c r="F64"/>
  <c r="E64"/>
  <c r="D64"/>
  <c r="C25"/>
  <c r="M25"/>
  <c r="K25"/>
  <c r="I25"/>
  <c r="E25"/>
  <c r="N56"/>
  <c r="M56"/>
  <c r="L56"/>
  <c r="K56"/>
  <c r="J56"/>
  <c r="I56"/>
  <c r="H56"/>
  <c r="G56"/>
  <c r="F56"/>
  <c r="E56"/>
  <c r="D56"/>
  <c r="C56"/>
  <c r="O13"/>
  <c r="O12"/>
  <c r="O11"/>
  <c r="O10"/>
  <c r="M55"/>
  <c r="L55"/>
  <c r="K55"/>
  <c r="J55"/>
  <c r="I55"/>
  <c r="H55"/>
  <c r="G55"/>
  <c r="F55"/>
  <c r="E55"/>
  <c r="D55"/>
  <c r="C55"/>
  <c r="L54"/>
  <c r="J54"/>
  <c r="H54"/>
  <c r="F54"/>
  <c r="I72" l="1"/>
  <c r="E72"/>
  <c r="C72"/>
  <c r="M72"/>
  <c r="K72"/>
  <c r="O22"/>
  <c r="O65"/>
  <c r="G14"/>
  <c r="G61" s="1"/>
  <c r="G54"/>
  <c r="I14"/>
  <c r="I61" s="1"/>
  <c r="I54"/>
  <c r="N14"/>
  <c r="N61" s="1"/>
  <c r="N55"/>
  <c r="O55" s="1"/>
  <c r="G25"/>
  <c r="K14"/>
  <c r="K61" s="1"/>
  <c r="K54"/>
  <c r="F25"/>
  <c r="F69"/>
  <c r="J25"/>
  <c r="J69"/>
  <c r="N25"/>
  <c r="N69"/>
  <c r="O56"/>
  <c r="O18"/>
  <c r="M14"/>
  <c r="M61" s="1"/>
  <c r="M54"/>
  <c r="H25"/>
  <c r="H69"/>
  <c r="L25"/>
  <c r="L69"/>
  <c r="C14"/>
  <c r="C61" s="1"/>
  <c r="C54"/>
  <c r="E14"/>
  <c r="E61" s="1"/>
  <c r="E54"/>
  <c r="O17"/>
  <c r="C64"/>
  <c r="O64" s="1"/>
  <c r="D14"/>
  <c r="D61" s="1"/>
  <c r="D54"/>
  <c r="O8"/>
  <c r="F14"/>
  <c r="F61" s="1"/>
  <c r="H14"/>
  <c r="H61" s="1"/>
  <c r="J14"/>
  <c r="J61" s="1"/>
  <c r="L14"/>
  <c r="O9"/>
  <c r="D25"/>
  <c r="O24"/>
  <c r="O71"/>
  <c r="O7"/>
  <c r="L72" l="1"/>
  <c r="L27"/>
  <c r="N72"/>
  <c r="N27"/>
  <c r="J72"/>
  <c r="J27"/>
  <c r="D72"/>
  <c r="D27"/>
  <c r="K27"/>
  <c r="C27"/>
  <c r="I27"/>
  <c r="H72"/>
  <c r="H27"/>
  <c r="F72"/>
  <c r="F27"/>
  <c r="G72"/>
  <c r="G27"/>
  <c r="M27"/>
  <c r="E27"/>
  <c r="O25"/>
  <c r="J74"/>
  <c r="O14"/>
  <c r="N74"/>
  <c r="O69"/>
  <c r="O72" s="1"/>
  <c r="L61"/>
  <c r="G74"/>
  <c r="I74"/>
  <c r="K74"/>
  <c r="M74"/>
  <c r="O54"/>
  <c r="O61" s="1"/>
  <c r="O74" l="1"/>
  <c r="O27"/>
  <c r="F74"/>
  <c r="H74"/>
  <c r="C74"/>
  <c r="L74"/>
  <c r="D74"/>
  <c r="E74"/>
  <c r="B5" i="21" l="1"/>
  <c r="B6" s="1"/>
  <c r="B2" i="24" l="1"/>
  <c r="B8" s="1"/>
  <c r="B14" s="1"/>
  <c r="B2" i="22"/>
  <c r="B8" s="1"/>
  <c r="B14" s="1"/>
  <c r="B2" i="21"/>
  <c r="B8" s="1"/>
  <c r="B14" s="1"/>
  <c r="B2" i="23" l="1"/>
  <c r="B8" s="1"/>
  <c r="B14" s="1"/>
  <c r="O10" i="12" l="1"/>
  <c r="M8"/>
  <c r="M10" s="1"/>
  <c r="K8"/>
  <c r="K10" s="1"/>
  <c r="I8"/>
  <c r="I10" s="1"/>
  <c r="G8"/>
  <c r="G10" s="1"/>
  <c r="E8"/>
  <c r="E10" s="1"/>
  <c r="N8"/>
  <c r="N10" s="1"/>
  <c r="L8"/>
  <c r="L10" s="1"/>
  <c r="J8"/>
  <c r="J10" s="1"/>
  <c r="H8"/>
  <c r="H10" s="1"/>
  <c r="F8"/>
  <c r="F10" s="1"/>
  <c r="C8"/>
  <c r="C10" s="1"/>
  <c r="D8"/>
  <c r="D10" s="1"/>
</calcChain>
</file>

<file path=xl/comments1.xml><?xml version="1.0" encoding="utf-8"?>
<comments xmlns="http://schemas.openxmlformats.org/spreadsheetml/2006/main">
  <authors>
    <author>bz4j93</author>
  </authors>
  <commentList>
    <comment ref="C15" authorId="0">
      <text>
        <r>
          <rPr>
            <sz val="8"/>
            <color indexed="81"/>
            <rFont val="Tahoma"/>
            <family val="2"/>
          </rPr>
          <t>2009 Electric IRP
Chpt 3 page 10</t>
        </r>
      </text>
    </comment>
    <comment ref="D15" authorId="0">
      <text>
        <r>
          <rPr>
            <sz val="8"/>
            <color indexed="81"/>
            <rFont val="Tahoma"/>
            <family val="2"/>
          </rPr>
          <t>2009 Electric IRP
Chpt 3 page 10
for 2.9
8,760,000 mwh in a year ?</t>
        </r>
      </text>
    </comment>
    <comment ref="C16" authorId="0">
      <text>
        <r>
          <rPr>
            <sz val="8"/>
            <color indexed="81"/>
            <rFont val="Tahoma"/>
            <family val="2"/>
          </rPr>
          <t>total kWH for WA &amp; ID - NEAA kWh for WA &amp; ID
Business Plan</t>
        </r>
      </text>
    </comment>
    <comment ref="D16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17" authorId="0">
      <text>
        <r>
          <rPr>
            <sz val="8"/>
            <color indexed="81"/>
            <rFont val="Tahoma"/>
            <family val="2"/>
          </rPr>
          <t>2009 Gas IRP
Chpt 4 page 9</t>
        </r>
      </text>
    </comment>
    <comment ref="C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D20" authorId="0">
      <text>
        <r>
          <rPr>
            <sz val="8"/>
            <color indexed="81"/>
            <rFont val="Tahoma"/>
            <family val="2"/>
          </rPr>
          <t>% from 2009 IRP plan for the year 2011.
Electric sales forecast (Randy Barcus)
WA 5,747,638,140
ID 3,548,804,550
WA % =
5,747,368,140/(5,747,638,140+3,548,804,550)
= 61.8262%</t>
        </r>
      </text>
    </comment>
    <comment ref="G20" authorId="0">
      <text>
        <r>
          <rPr>
            <sz val="8"/>
            <color indexed="81"/>
            <rFont val="Tahoma"/>
            <family val="2"/>
          </rPr>
          <t>YTD thru 6/30/11 WA kWh
low income 863638
nonres 15231195
res 3916350
CFL res 104782
2nd refrig res 356520
simple steps res 4011990</t>
        </r>
      </text>
    </comment>
    <comment ref="C21" authorId="0">
      <text>
        <r>
          <rPr>
            <sz val="8"/>
            <color indexed="81"/>
            <rFont val="Tahoma"/>
            <family val="2"/>
          </rPr>
          <t>total WA kWH - NEAA kWH
Business Plan</t>
        </r>
      </text>
    </comment>
    <comment ref="D21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C22" authorId="0">
      <text>
        <r>
          <rPr>
            <sz val="8"/>
            <color indexed="81"/>
            <rFont val="Tahoma"/>
            <family val="2"/>
          </rPr>
          <t>% from 2009 IRP plan for the year 2011.
Gas sales forecast (Randy Barcus)
WA 187,230,004
ID 79,617,003
WA % =
187,230,004/(187,230,004+79,617,003)
= 70.1638%</t>
        </r>
      </text>
    </comment>
    <comment ref="G22" authorId="0">
      <text>
        <r>
          <rPr>
            <sz val="8"/>
            <color indexed="81"/>
            <rFont val="Tahoma"/>
            <family val="2"/>
          </rPr>
          <t xml:space="preserve">YTD thru 6/30/11 WA therm
low income 10253
nonres 329639
res 319698
</t>
        </r>
      </text>
    </comment>
    <comment ref="C23" authorId="0">
      <text>
        <r>
          <rPr>
            <sz val="8"/>
            <color indexed="81"/>
            <rFont val="Tahoma"/>
            <family val="2"/>
          </rPr>
          <t>business plan</t>
        </r>
      </text>
    </comment>
    <comment ref="G25" authorId="0">
      <text>
        <r>
          <rPr>
            <sz val="8"/>
            <color indexed="81"/>
            <rFont val="Tahoma"/>
            <family val="2"/>
          </rPr>
          <t>YTD thru 6/30/11 ID kWh
low income 492462
nonres 5363563
res 1944702
CFL res 44296
2nd refrig res 84031
simple steps res 1719424</t>
        </r>
      </text>
    </comment>
    <comment ref="C26" authorId="0">
      <text>
        <r>
          <rPr>
            <sz val="8"/>
            <color indexed="81"/>
            <rFont val="Tahoma"/>
            <family val="2"/>
          </rPr>
          <t>total ID kWH - NEAA kWH
Business Plan</t>
        </r>
      </text>
    </comment>
    <comment ref="G27" authorId="0">
      <text>
        <r>
          <rPr>
            <sz val="8"/>
            <color indexed="81"/>
            <rFont val="Tahoma"/>
            <family val="2"/>
          </rPr>
          <t xml:space="preserve">YTD thru 6/30/11 ID therm
low income 21307
nonres 59373
res 119719
</t>
        </r>
      </text>
    </comment>
    <comment ref="G31" authorId="0">
      <text>
        <r>
          <rPr>
            <sz val="8"/>
            <color indexed="81"/>
            <rFont val="Tahoma"/>
            <family val="2"/>
          </rPr>
          <t>WA
res 233814+320235
LI 372165+439793</t>
        </r>
      </text>
    </comment>
  </commentList>
</comments>
</file>

<file path=xl/comments2.xml><?xml version="1.0" encoding="utf-8"?>
<comments xmlns="http://schemas.openxmlformats.org/spreadsheetml/2006/main">
  <authors>
    <author>Energy Section</author>
  </authors>
  <commentList>
    <comment ref="B11" authorId="0">
      <text>
        <r>
          <rPr>
            <b/>
            <sz val="8"/>
            <color indexed="81"/>
            <rFont val="Tahoma"/>
            <family val="2"/>
          </rPr>
          <t>Energy Section:</t>
        </r>
        <r>
          <rPr>
            <sz val="8"/>
            <color indexed="81"/>
            <rFont val="Tahoma"/>
            <family val="2"/>
          </rPr>
          <t xml:space="preserve">
from sheet "WA(E)-Budget Exp"
</t>
        </r>
      </text>
    </comment>
  </commentList>
</comments>
</file>

<file path=xl/sharedStrings.xml><?xml version="1.0" encoding="utf-8"?>
<sst xmlns="http://schemas.openxmlformats.org/spreadsheetml/2006/main" count="780" uniqueCount="153">
  <si>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</si>
  <si>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</si>
  <si>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</si>
  <si>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</si>
  <si>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</si>
  <si>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</si>
  <si>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</si>
  <si>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</si>
  <si>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</si>
  <si>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</si>
  <si>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</si>
  <si>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</si>
  <si>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Washington Electric Schedule 91 </t>
  </si>
  <si>
    <t>Tariff Rider Balance</t>
  </si>
  <si>
    <t>Forecasted tariff rider collections</t>
  </si>
  <si>
    <t>Actual tariff rider collections</t>
  </si>
  <si>
    <t>Favorable (Unfavorble) Variance</t>
  </si>
  <si>
    <t>Actual expenditures</t>
  </si>
  <si>
    <t>Budgeted expenditures</t>
  </si>
  <si>
    <t>Favorable (Unfavorable) Variance</t>
  </si>
  <si>
    <t>[c]</t>
  </si>
  <si>
    <t>[b]</t>
  </si>
  <si>
    <t>[a]</t>
  </si>
  <si>
    <t>Favorable (Unfavorable) Net monthly activity ([b]-[c])</t>
  </si>
  <si>
    <t>[d]</t>
  </si>
  <si>
    <t>Tariff Rider Ending Balance ([a]-[d])</t>
  </si>
  <si>
    <t>Variance Explanations:</t>
  </si>
  <si>
    <t xml:space="preserve">Idaho Electric Schedule 91 </t>
  </si>
  <si>
    <t>Projected Tariff Rider Balance</t>
  </si>
  <si>
    <t>Total 2011</t>
  </si>
  <si>
    <t>Projected and Actual kWh</t>
  </si>
  <si>
    <t>Non-residential</t>
  </si>
  <si>
    <t>Residential</t>
  </si>
  <si>
    <t>Demand Response</t>
  </si>
  <si>
    <t>Distributed Gen</t>
  </si>
  <si>
    <t>Regional</t>
  </si>
  <si>
    <t>Common</t>
  </si>
  <si>
    <t>Total Budget-Direct Customer Incentives</t>
  </si>
  <si>
    <t>Total Actual-Direct Customer Incentives</t>
  </si>
  <si>
    <t>Budget-Actual Variance</t>
  </si>
  <si>
    <t>Total Variance</t>
  </si>
  <si>
    <t>I-Direct Customer Incentives:</t>
  </si>
  <si>
    <t>DSM Functional Categories</t>
  </si>
  <si>
    <t>kWh Savings-Forecasted</t>
  </si>
  <si>
    <t>kWh Savings-Actual</t>
  </si>
  <si>
    <t>Variance (%)</t>
  </si>
  <si>
    <t>Therm Savings-Actual</t>
  </si>
  <si>
    <t>Therm Savings-Forecasted</t>
  </si>
  <si>
    <t xml:space="preserve">Washington Natural Gas Schedule 191 </t>
  </si>
  <si>
    <t>Local Savings</t>
  </si>
  <si>
    <t>Notes:</t>
  </si>
  <si>
    <t xml:space="preserve">Idaho Natural Gas Schedule 191 </t>
  </si>
  <si>
    <t>Variance explanations:</t>
  </si>
  <si>
    <t xml:space="preserve"> </t>
  </si>
  <si>
    <t>1st Qtr</t>
  </si>
  <si>
    <t>2nd Qtr</t>
  </si>
  <si>
    <t>3rd Qtr</t>
  </si>
  <si>
    <t>4th Qtr</t>
  </si>
  <si>
    <t>DSM Budget-Direct Customer Incentives:</t>
  </si>
  <si>
    <t>DSM Actual-Direct Customer Incentives:</t>
  </si>
  <si>
    <t>Direct Customer Incentives:</t>
  </si>
  <si>
    <t>kWh</t>
  </si>
  <si>
    <t>therms</t>
  </si>
  <si>
    <t>regional prg</t>
  </si>
  <si>
    <t>total</t>
  </si>
  <si>
    <t>local prg</t>
  </si>
  <si>
    <t>E to G Conversions</t>
  </si>
  <si>
    <t>ytd local savings</t>
  </si>
  <si>
    <t>Pct ach'd as compared with local targets</t>
  </si>
  <si>
    <t>Current balance as of 8/31/10</t>
  </si>
  <si>
    <t>Forecasted funding to be collected Sep-Dec 2010</t>
  </si>
  <si>
    <t>Budgeted expenditures for Sep-Dec 2010</t>
  </si>
  <si>
    <t>Updated projection of 2010 year-end tariff rider balance</t>
  </si>
  <si>
    <t>Forecasted funding to be collected 2011</t>
  </si>
  <si>
    <t>Budgeted expenditures from 2011 Business Plan</t>
  </si>
  <si>
    <t>Projection of 2011 year-end tariff rider balance</t>
  </si>
  <si>
    <t>Low Income</t>
  </si>
  <si>
    <t>Progress toward various targets:</t>
  </si>
  <si>
    <t>EMV</t>
  </si>
  <si>
    <t>2011 IRP electric target</t>
  </si>
  <si>
    <t>2011 IRP natural gas target</t>
  </si>
  <si>
    <t>2011 business plan electric target</t>
  </si>
  <si>
    <t>2011 business plan natural gas target</t>
  </si>
  <si>
    <t>2011 b-plan electric target (WA)</t>
  </si>
  <si>
    <t>2011 b-plan natural gas target (WA)</t>
  </si>
  <si>
    <t>2011 b-plan electric target (ID)</t>
  </si>
  <si>
    <t>2011 b-plan natural gas target (ID)</t>
  </si>
  <si>
    <t>2011 I-937 electric target (WA) 6th Plan</t>
  </si>
  <si>
    <t xml:space="preserve">2011 I-937 electric target (WA) </t>
  </si>
  <si>
    <t>2011 IRP electric target (WA)</t>
  </si>
  <si>
    <t>2011 IRP electric target (ID)</t>
  </si>
  <si>
    <t>2011 IRP natural gas target (ID</t>
  </si>
  <si>
    <t>2011 IRP natural gas target (WA)</t>
  </si>
  <si>
    <t>Jan - $420k unfavorable variance due to processing more rebates</t>
  </si>
  <si>
    <t>Jan - Expenses were higher than budgeted.</t>
  </si>
  <si>
    <t>Jan - $177k unfavorable variance due to processing more rebates</t>
  </si>
  <si>
    <t>Jan - Revenue was higher and expenses were lower than budgeted.</t>
  </si>
  <si>
    <t>Jan - $3k unfavorable variance due to processing more rebates</t>
  </si>
  <si>
    <t>Jan - Revenue was lower than budgeted.</t>
  </si>
  <si>
    <t>Jan - Revenue was significantly higher than budgeted.</t>
  </si>
  <si>
    <t>Feb - $634k favorable variance due to processing less rebates and less implementation costs</t>
  </si>
  <si>
    <t>Feb - Expenses were significantly lower than budgeted.</t>
  </si>
  <si>
    <t>Feb - Revenue was higher than budgeted, Heating Degree Days 11% above 30 average.</t>
  </si>
  <si>
    <t>Feb - Revenue was higher and expenses were lower than budgeted.</t>
  </si>
  <si>
    <t>Feb - Revenue was significantly higher and expenses were lower than budgeted, Heating Degree Days 11% above 30 average in Spokane area.</t>
  </si>
  <si>
    <t>Mar - $13k unfavorable variance due to more implementation costs than budgeted</t>
  </si>
  <si>
    <t>Mar - Revenue was higher than budgeted, Heating Degree Days 3% above 30 average.</t>
  </si>
  <si>
    <t>Mar - Expenses were lower than budgeted.  Revenue higher due to collection of revenue higher and corrections for conversion factors in Oct-Dec '10 and a rate correction in Jan</t>
  </si>
  <si>
    <t>Mar - Expenses were lower than budgeted.</t>
  </si>
  <si>
    <t>Apr - $126k unfavorable variance due to more rebates and more implementation expenses than budgeted</t>
  </si>
  <si>
    <t>Apr - $172k favorable variance due to significantly less rebates than budgeted</t>
  </si>
  <si>
    <t>Apr - Revenue higher and expenses were lower than budgeted, heating degree days 29% higher than 30 year average.</t>
  </si>
  <si>
    <t>Apr - Revenue was higher and expenses lower than budgeted, Heating Degree Days 29% above 30 year average.</t>
  </si>
  <si>
    <t>Apr - Revenue was slightly higher and expenses were higher than budgeted.</t>
  </si>
  <si>
    <t>Apr - Revenue was significantly higher than budgeted, heating degree days were 29% higher than 30 year average.</t>
  </si>
  <si>
    <t>DSM Budget-Non-Incentive Funding:</t>
  </si>
  <si>
    <t>Total Budget-Non-incentive Funding</t>
  </si>
  <si>
    <t>[a]+[b]</t>
  </si>
  <si>
    <t>[c]+[d]</t>
  </si>
  <si>
    <t>DSM Actual-Non-Incentive Funding:</t>
  </si>
  <si>
    <t>DSM Actual-Non-Incentive Funding</t>
  </si>
  <si>
    <t>[a]-[c]</t>
  </si>
  <si>
    <t>[b]-[d]</t>
  </si>
  <si>
    <t>Mar - $226k favorable variance due to less implementation costs</t>
  </si>
  <si>
    <t>Apr - $183k favorable variance due to less rebates than budgeted</t>
  </si>
  <si>
    <t>Non-Incentive Funding:</t>
  </si>
  <si>
    <t>Total Budget-Non-Incentive Funding</t>
  </si>
  <si>
    <t>Feb - $26k favorable variance due to implementation costs</t>
  </si>
  <si>
    <t>Jan - $44k favorable variance due to less implementation costs than budgeted</t>
  </si>
  <si>
    <t>Feb - $217k favorable variance due to less rebates and less implementation costs than budgeted</t>
  </si>
  <si>
    <t>Mar - $142k favorable variance due to less rebates and less implementation costs than budgeted</t>
  </si>
  <si>
    <t>Feb - $32k favorable variance due to less rebates and less implementation costs than budgeted</t>
  </si>
  <si>
    <t>Mar - $51k favorable variance due to less rebates and less implementation costs than budgeted</t>
  </si>
  <si>
    <t>Apr - $2k favorable variance due to less rebates and less implementation costs than budgeted</t>
  </si>
  <si>
    <t>1) DSM expenditures are budgeted on a annual basis and spread monthly on an equal basis.  This timing difference between budget vs actual could attribute to some variances</t>
  </si>
  <si>
    <t>May - $151k favorable variance due to significantly less rebates than budgeted</t>
  </si>
  <si>
    <t>May - $628k favorable variance due to less rebates and less implementaton costs than budgeted</t>
  </si>
  <si>
    <t>May - $254k favorable variance due to less rebates and less implementation expenses than budgeted</t>
  </si>
  <si>
    <t>May - $75k favorable variance due to less rebates than budgeted</t>
  </si>
  <si>
    <t>May - Revenue was significantly higher than budgeted, heating degree days were 25% higher than 30 year average.</t>
  </si>
  <si>
    <t>May - Revenue higher (including $45k interest and $200k low income home energy audits) and expenses were lower than budgeted, heating degree days 25% higher than 30 year average.</t>
  </si>
  <si>
    <t>May - Revenue was higher (including $200k for low income home energy audits) and expenses lower than budgeted, Heating Degree Days 29% above 30 year average.</t>
  </si>
  <si>
    <t>May - Revenue was higher (including $5k interest accumulated since Oct 2010) and expenses were higher than budgeted.</t>
  </si>
  <si>
    <t>2011 Aggregate DSM Budget</t>
  </si>
  <si>
    <t>2011 Aggregate DSM Actual</t>
  </si>
  <si>
    <t>Jun - $35k unfavorable variance due to more implementation costs than budgeted</t>
  </si>
  <si>
    <t>Jun - $365k unfavorable variance due to more rebates than budgeted</t>
  </si>
  <si>
    <t>Jun - $113k unfavorable variance due to more rebates than budgeted</t>
  </si>
  <si>
    <t>Jun - $65k unfavorable variance due to more rebates and more implementation costs than budgeted</t>
  </si>
  <si>
    <t>Jun - Revenue was higher and expenses lower than budgeted, Heating Degree Days 33% above 30 year average.</t>
  </si>
  <si>
    <t>Jun - Revenue higher (including $20k interest) and expenses were higher than budgeted, heating degree days 33% higher than 30 year average.</t>
  </si>
  <si>
    <t>Jun - Revenue was lower (including $6k interest) and expenses were higher than budgeted.</t>
  </si>
  <si>
    <t>Jun - Revenue was higher and implementation costs higher than budgeted, heating degree days were 33 higher than 30 year average.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</si>
</sst>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4" fontId="0" fillId="0" borderId="0" xfId="1" applyNumberFormat="1" applyFont="1"/>
    <xf numFmtId="164" fontId="0" fillId="0" borderId="0" xfId="1" applyNumberFormat="1" applyFont="1">
      <alignment readingOrder="1"/>
    </xf>
    <xf numFmtId="164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center"/>
    </xf>
    <xf numFmtId="164" fontId="10" fillId="0" borderId="0" xfId="0" applyNumberFormat="1" applyFont="1"/>
    <xf numFmtId="164" fontId="11" fillId="0" borderId="0" xfId="0" applyNumberFormat="1" applyFont="1"/>
    <xf numFmtId="0" fontId="10" fillId="0" borderId="0" xfId="0" applyFont="1" applyAlignment="1">
      <alignment horizontal="center"/>
    </xf>
    <xf numFmtId="164" fontId="10" fillId="0" borderId="0" xfId="1" applyNumberFormat="1" applyFont="1"/>
    <xf numFmtId="165" fontId="10" fillId="0" borderId="1" xfId="2" applyNumberFormat="1" applyFont="1" applyBorder="1"/>
    <xf numFmtId="165" fontId="10" fillId="0" borderId="0" xfId="2" applyNumberFormat="1" applyFont="1"/>
    <xf numFmtId="165" fontId="12" fillId="0" borderId="2" xfId="0" applyNumberFormat="1" applyFont="1" applyBorder="1"/>
    <xf numFmtId="164" fontId="0" fillId="0" borderId="1" xfId="0" applyNumberFormat="1" applyBorder="1"/>
    <xf numFmtId="164" fontId="0" fillId="0" borderId="1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>
      <alignment readingOrder="1"/>
    </xf>
    <xf numFmtId="3" fontId="0" fillId="0" borderId="0" xfId="0" applyNumberFormat="1"/>
    <xf numFmtId="10" fontId="0" fillId="0" borderId="1" xfId="3" applyNumberFormat="1" applyFont="1" applyBorder="1"/>
    <xf numFmtId="164" fontId="0" fillId="0" borderId="0" xfId="1" applyNumberFormat="1" applyFont="1" applyBorder="1"/>
    <xf numFmtId="164" fontId="7" fillId="0" borderId="0" xfId="1" applyNumberFormat="1" applyFont="1"/>
    <xf numFmtId="164" fontId="3" fillId="0" borderId="0" xfId="1" applyNumberFormat="1" applyFont="1"/>
    <xf numFmtId="164" fontId="6" fillId="0" borderId="0" xfId="1" applyNumberFormat="1" applyFont="1"/>
    <xf numFmtId="164" fontId="8" fillId="0" borderId="0" xfId="1" applyNumberFormat="1" applyFont="1"/>
    <xf numFmtId="164" fontId="9" fillId="0" borderId="0" xfId="1" applyNumberFormat="1" applyFont="1"/>
    <xf numFmtId="9" fontId="10" fillId="0" borderId="0" xfId="3" applyFont="1"/>
    <xf numFmtId="164" fontId="10" fillId="0" borderId="0" xfId="3" applyNumberFormat="1" applyFont="1"/>
    <xf numFmtId="165" fontId="10" fillId="0" borderId="0" xfId="2" applyNumberFormat="1" applyFont="1" applyAlignment="1">
      <alignment horizontal="center"/>
    </xf>
    <xf numFmtId="165" fontId="12" fillId="0" borderId="2" xfId="2" applyNumberFormat="1" applyFont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5" fontId="14" fillId="0" borderId="0" xfId="2" applyNumberFormat="1" applyFont="1"/>
    <xf numFmtId="165" fontId="14" fillId="0" borderId="0" xfId="0" applyNumberFormat="1" applyFont="1"/>
    <xf numFmtId="164" fontId="14" fillId="0" borderId="0" xfId="1" applyNumberFormat="1" applyFont="1"/>
    <xf numFmtId="164" fontId="14" fillId="0" borderId="0" xfId="1" applyNumberFormat="1" applyFont="1">
      <alignment readingOrder="1"/>
    </xf>
    <xf numFmtId="164" fontId="14" fillId="0" borderId="0" xfId="0" applyNumberFormat="1" applyFont="1"/>
    <xf numFmtId="164" fontId="14" fillId="0" borderId="1" xfId="0" applyNumberFormat="1" applyFont="1" applyBorder="1"/>
    <xf numFmtId="164" fontId="14" fillId="0" borderId="1" xfId="1" applyNumberFormat="1" applyFont="1" applyBorder="1"/>
    <xf numFmtId="0" fontId="14" fillId="0" borderId="0" xfId="0" applyFont="1" applyAlignment="1">
      <alignment wrapText="1"/>
    </xf>
    <xf numFmtId="0" fontId="16" fillId="0" borderId="0" xfId="0" applyFont="1"/>
    <xf numFmtId="164" fontId="17" fillId="0" borderId="0" xfId="0" applyNumberFormat="1" applyFont="1"/>
    <xf numFmtId="165" fontId="17" fillId="0" borderId="1" xfId="2" applyNumberFormat="1" applyFont="1" applyBorder="1"/>
    <xf numFmtId="0" fontId="17" fillId="0" borderId="0" xfId="0" applyFont="1"/>
    <xf numFmtId="165" fontId="18" fillId="0" borderId="2" xfId="0" applyNumberFormat="1" applyFont="1" applyBorder="1"/>
    <xf numFmtId="164" fontId="17" fillId="0" borderId="0" xfId="1" applyNumberFormat="1" applyFont="1"/>
    <xf numFmtId="165" fontId="18" fillId="0" borderId="2" xfId="2" applyNumberFormat="1" applyFont="1" applyBorder="1"/>
    <xf numFmtId="165" fontId="17" fillId="0" borderId="0" xfId="2" applyNumberFormat="1" applyFont="1"/>
    <xf numFmtId="164" fontId="0" fillId="0" borderId="2" xfId="0" applyNumberFormat="1" applyBorder="1"/>
    <xf numFmtId="164" fontId="14" fillId="0" borderId="2" xfId="0" applyNumberFormat="1" applyFont="1" applyBorder="1"/>
    <xf numFmtId="0" fontId="19" fillId="0" borderId="0" xfId="0" applyFont="1"/>
    <xf numFmtId="165" fontId="18" fillId="0" borderId="0" xfId="2" applyNumberFormat="1" applyFont="1"/>
    <xf numFmtId="0" fontId="18" fillId="0" borderId="0" xfId="0" applyFont="1"/>
    <xf numFmtId="0" fontId="0" fillId="0" borderId="3" xfId="0" applyBorder="1"/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/>
    <xf numFmtId="0" fontId="0" fillId="0" borderId="0" xfId="0" applyBorder="1"/>
    <xf numFmtId="9" fontId="0" fillId="0" borderId="7" xfId="3" applyFont="1" applyBorder="1"/>
    <xf numFmtId="0" fontId="0" fillId="0" borderId="6" xfId="0" applyFill="1" applyBorder="1"/>
    <xf numFmtId="164" fontId="0" fillId="0" borderId="0" xfId="1" applyNumberFormat="1" applyFont="1" applyFill="1" applyBorder="1"/>
    <xf numFmtId="0" fontId="0" fillId="0" borderId="0" xfId="0" applyFill="1" applyBorder="1"/>
    <xf numFmtId="9" fontId="0" fillId="0" borderId="7" xfId="3" applyFont="1" applyFill="1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164" fontId="0" fillId="0" borderId="9" xfId="1" applyNumberFormat="1" applyFont="1" applyBorder="1"/>
    <xf numFmtId="9" fontId="0" fillId="0" borderId="10" xfId="3" applyFont="1" applyBorder="1"/>
    <xf numFmtId="10" fontId="0" fillId="0" borderId="0" xfId="3" applyNumberFormat="1" applyFont="1" applyBorder="1"/>
    <xf numFmtId="0" fontId="0" fillId="0" borderId="0" xfId="0" applyAlignment="1">
      <alignment horizontal="left"/>
    </xf>
    <xf numFmtId="0" fontId="20" fillId="0" borderId="4" xfId="0" applyFont="1" applyBorder="1" applyAlignment="1">
      <alignment horizontal="center" wrapText="1"/>
    </xf>
    <xf numFmtId="164" fontId="20" fillId="0" borderId="0" xfId="1" applyNumberFormat="1" applyFont="1" applyBorder="1"/>
    <xf numFmtId="164" fontId="20" fillId="0" borderId="0" xfId="1" applyNumberFormat="1" applyFont="1" applyFill="1" applyBorder="1"/>
    <xf numFmtId="0" fontId="13" fillId="0" borderId="0" xfId="0" applyFont="1" applyAlignment="1">
      <alignment horizontal="left"/>
    </xf>
    <xf numFmtId="164" fontId="0" fillId="0" borderId="11" xfId="1" applyNumberFormat="1" applyFont="1" applyBorder="1"/>
    <xf numFmtId="0" fontId="0" fillId="2" borderId="11" xfId="0" applyFill="1" applyBorder="1"/>
    <xf numFmtId="164" fontId="14" fillId="0" borderId="0" xfId="1" applyNumberFormat="1" applyFont="1" applyBorder="1"/>
    <xf numFmtId="164" fontId="14" fillId="0" borderId="0" xfId="1" applyNumberFormat="1" applyFont="1" applyFill="1" applyBorder="1"/>
    <xf numFmtId="164" fontId="14" fillId="0" borderId="9" xfId="1" applyNumberFormat="1" applyFont="1" applyFill="1" applyBorder="1"/>
    <xf numFmtId="0" fontId="13" fillId="0" borderId="0" xfId="0" applyFont="1" applyAlignment="1">
      <alignment horizontal="left"/>
    </xf>
    <xf numFmtId="0" fontId="15" fillId="3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164" fontId="0" fillId="0" borderId="0" xfId="1" applyNumberFormat="1" applyFont="1" applyAlignment="1">
      <alignment horizontal="left" wrapText="1"/>
    </xf>
    <xf numFmtId="0" fontId="13" fillId="0" borderId="0" xfId="0" applyFont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B1:BD32"/>
  <sheetViews>
    <sheetView tabSelected="1" workbookViewId="0">
      <selection activeCell="B11" sqref="B11"/>
    </sheetView>
  </sheetViews>
  <sheetFormatPr defaultColWidth="11.42578125" defaultRowHeight="15"/>
  <cols>
    <col min="1" max="1" width="2.42578125" customWidth="1"/>
    <col min="2" max="2" width="34" bestFit="1" customWidth="1"/>
    <col min="3" max="3" width="14.28515625" bestFit="1" customWidth="1"/>
    <col min="4" max="4" width="11.5703125" bestFit="1" customWidth="1"/>
    <col min="5" max="5" width="14.28515625" bestFit="1" customWidth="1"/>
    <col min="7" max="7" width="11.5703125" bestFit="1" customWidth="1"/>
    <col min="10" max="10" width="11.5703125" bestFit="1" customWidth="1"/>
    <col min="15" max="15" width="13.28515625" bestFit="1" customWidth="1"/>
  </cols>
  <sheetData>
    <row r="1" spans="2:56">
      <c r="B1" t="s">
        <v>49</v>
      </c>
    </row>
    <row r="2" spans="2:56">
      <c r="C2" s="8">
        <v>2011</v>
      </c>
      <c r="D2" s="8">
        <f>C2</f>
        <v>2011</v>
      </c>
      <c r="E2" s="8">
        <f t="shared" ref="E2:N2" si="0">D2</f>
        <v>2011</v>
      </c>
      <c r="F2" s="8">
        <f t="shared" si="0"/>
        <v>2011</v>
      </c>
      <c r="G2" s="8">
        <f t="shared" si="0"/>
        <v>2011</v>
      </c>
      <c r="H2" s="8">
        <f t="shared" si="0"/>
        <v>2011</v>
      </c>
      <c r="I2" s="8">
        <f t="shared" si="0"/>
        <v>2011</v>
      </c>
      <c r="J2" s="8">
        <f t="shared" si="0"/>
        <v>2011</v>
      </c>
      <c r="K2" s="8">
        <f t="shared" si="0"/>
        <v>2011</v>
      </c>
      <c r="L2" s="8">
        <f t="shared" si="0"/>
        <v>2011</v>
      </c>
      <c r="M2" s="8">
        <f t="shared" si="0"/>
        <v>2011</v>
      </c>
      <c r="N2" s="8">
        <f t="shared" si="0"/>
        <v>2011</v>
      </c>
      <c r="O2" s="8" t="s">
        <v>29</v>
      </c>
    </row>
    <row r="3" spans="2:56">
      <c r="C3" s="25" t="s">
        <v>0</v>
      </c>
      <c r="D3" s="25" t="s">
        <v>1</v>
      </c>
      <c r="E3" s="25" t="s">
        <v>2</v>
      </c>
      <c r="F3" s="25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5" t="s">
        <v>10</v>
      </c>
      <c r="N3" s="25" t="s">
        <v>11</v>
      </c>
      <c r="O3" s="24"/>
    </row>
    <row r="4" spans="2:56">
      <c r="B4" s="40" t="s">
        <v>43</v>
      </c>
      <c r="C4" s="3">
        <f>$O$4/12</f>
        <v>7123535.666666667</v>
      </c>
      <c r="D4" s="3">
        <f t="shared" ref="D4:N4" si="1">$O$4/12</f>
        <v>7123535.666666667</v>
      </c>
      <c r="E4" s="3">
        <f t="shared" si="1"/>
        <v>7123535.666666667</v>
      </c>
      <c r="F4" s="3">
        <f t="shared" si="1"/>
        <v>7123535.666666667</v>
      </c>
      <c r="G4" s="3">
        <f t="shared" si="1"/>
        <v>7123535.666666667</v>
      </c>
      <c r="H4" s="3">
        <f t="shared" si="1"/>
        <v>7123535.666666667</v>
      </c>
      <c r="I4" s="3">
        <f t="shared" si="1"/>
        <v>7123535.666666667</v>
      </c>
      <c r="J4" s="3">
        <f t="shared" si="1"/>
        <v>7123535.666666667</v>
      </c>
      <c r="K4" s="3">
        <f t="shared" si="1"/>
        <v>7123535.666666667</v>
      </c>
      <c r="L4" s="3">
        <f t="shared" si="1"/>
        <v>7123535.666666667</v>
      </c>
      <c r="M4" s="3">
        <f t="shared" si="1"/>
        <v>7123535.666666667</v>
      </c>
      <c r="N4" s="3">
        <f t="shared" si="1"/>
        <v>7123535.666666667</v>
      </c>
      <c r="O4" s="3">
        <v>85482428</v>
      </c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</row>
    <row r="5" spans="2:56">
      <c r="B5" s="40" t="s">
        <v>44</v>
      </c>
      <c r="C5" s="1">
        <v>8348414</v>
      </c>
      <c r="D5" s="1">
        <v>5071285</v>
      </c>
      <c r="E5" s="1">
        <v>3846944</v>
      </c>
      <c r="F5" s="1">
        <v>5880915</v>
      </c>
      <c r="G5" s="1">
        <v>6010589</v>
      </c>
      <c r="H5" s="1">
        <v>4974806</v>
      </c>
      <c r="I5" s="1"/>
      <c r="J5" s="1"/>
      <c r="K5" s="1"/>
      <c r="L5" s="1"/>
      <c r="M5" s="1"/>
      <c r="N5" s="1"/>
      <c r="O5" s="3">
        <f>SUM(C5:N5)</f>
        <v>34132953</v>
      </c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</row>
    <row r="6" spans="2:56">
      <c r="B6" s="40" t="s">
        <v>45</v>
      </c>
      <c r="C6" s="28">
        <f>(C5-C4)/C4</f>
        <v>0.17194808738937545</v>
      </c>
      <c r="D6" s="28">
        <f t="shared" ref="D6:O6" si="2">(D5-D4)/D4</f>
        <v>-0.28809439058048286</v>
      </c>
      <c r="E6" s="28">
        <f t="shared" si="2"/>
        <v>-0.45996704726262572</v>
      </c>
      <c r="F6" s="28">
        <f t="shared" si="2"/>
        <v>-0.17443875131857511</v>
      </c>
      <c r="G6" s="28">
        <f t="shared" si="2"/>
        <v>-0.15623515045688691</v>
      </c>
      <c r="H6" s="28">
        <f t="shared" si="2"/>
        <v>-0.30163808636787903</v>
      </c>
      <c r="I6" s="28">
        <f t="shared" si="2"/>
        <v>-1</v>
      </c>
      <c r="J6" s="28">
        <f t="shared" si="2"/>
        <v>-1</v>
      </c>
      <c r="K6" s="28">
        <f t="shared" si="2"/>
        <v>-1</v>
      </c>
      <c r="L6" s="28">
        <f t="shared" si="2"/>
        <v>-1</v>
      </c>
      <c r="M6" s="28">
        <f t="shared" si="2"/>
        <v>-1</v>
      </c>
      <c r="N6" s="28">
        <f t="shared" si="2"/>
        <v>-1</v>
      </c>
      <c r="O6" s="28">
        <f t="shared" si="2"/>
        <v>-0.60070211154975617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</row>
    <row r="7" spans="2:56">
      <c r="B7" s="40"/>
    </row>
    <row r="8" spans="2:56">
      <c r="B8" s="40" t="s">
        <v>47</v>
      </c>
      <c r="C8" s="1">
        <f>$O$8/12</f>
        <v>165448.66666666666</v>
      </c>
      <c r="D8" s="1">
        <f t="shared" ref="D8:N8" si="3">$O$8/12</f>
        <v>165448.66666666666</v>
      </c>
      <c r="E8" s="1">
        <f t="shared" si="3"/>
        <v>165448.66666666666</v>
      </c>
      <c r="F8" s="1">
        <f t="shared" si="3"/>
        <v>165448.66666666666</v>
      </c>
      <c r="G8" s="1">
        <f t="shared" si="3"/>
        <v>165448.66666666666</v>
      </c>
      <c r="H8" s="1">
        <f t="shared" si="3"/>
        <v>165448.66666666666</v>
      </c>
      <c r="I8" s="1">
        <f t="shared" si="3"/>
        <v>165448.66666666666</v>
      </c>
      <c r="J8" s="1">
        <f t="shared" si="3"/>
        <v>165448.66666666666</v>
      </c>
      <c r="K8" s="1">
        <f t="shared" si="3"/>
        <v>165448.66666666666</v>
      </c>
      <c r="L8" s="1">
        <f t="shared" si="3"/>
        <v>165448.66666666666</v>
      </c>
      <c r="M8" s="1">
        <f t="shared" si="3"/>
        <v>165448.66666666666</v>
      </c>
      <c r="N8" s="1">
        <f t="shared" si="3"/>
        <v>165448.66666666666</v>
      </c>
      <c r="O8" s="1">
        <v>1985384</v>
      </c>
    </row>
    <row r="9" spans="2:56">
      <c r="B9" s="40" t="s">
        <v>46</v>
      </c>
      <c r="C9" s="1">
        <v>204928</v>
      </c>
      <c r="D9" s="1">
        <v>102760</v>
      </c>
      <c r="E9" s="1">
        <v>182510</v>
      </c>
      <c r="F9" s="1">
        <v>101392</v>
      </c>
      <c r="G9" s="1">
        <v>169850</v>
      </c>
      <c r="H9" s="1">
        <v>98549</v>
      </c>
      <c r="I9" s="1"/>
      <c r="J9" s="1"/>
      <c r="K9" s="1"/>
      <c r="L9" s="1"/>
      <c r="M9" s="1"/>
      <c r="N9" s="1"/>
      <c r="O9" s="1">
        <f>SUM(C9:N9)</f>
        <v>859989</v>
      </c>
      <c r="P9" s="1"/>
    </row>
    <row r="10" spans="2:56">
      <c r="B10" s="40" t="s">
        <v>45</v>
      </c>
      <c r="C10" s="28">
        <f>(C9-C8)/C8</f>
        <v>0.23861983374500859</v>
      </c>
      <c r="D10" s="28">
        <f t="shared" ref="D10" si="4">(D9-D8)/D8</f>
        <v>-0.37890100857063413</v>
      </c>
      <c r="E10" s="28">
        <f t="shared" ref="E10" si="5">(E9-E8)/E8</f>
        <v>0.10312161274594744</v>
      </c>
      <c r="F10" s="28">
        <f t="shared" ref="F10" si="6">(F9-F8)/F8</f>
        <v>-0.38716943422531858</v>
      </c>
      <c r="G10" s="28">
        <f t="shared" ref="G10" si="7">(G9-G8)/G8</f>
        <v>2.6602410415315181E-2</v>
      </c>
      <c r="H10" s="28">
        <f t="shared" ref="H10" si="8">(H9-H8)/H8</f>
        <v>-0.40435301181030969</v>
      </c>
      <c r="I10" s="28">
        <f t="shared" ref="I10" si="9">(I9-I8)/I8</f>
        <v>-1</v>
      </c>
      <c r="J10" s="28">
        <f t="shared" ref="J10" si="10">(J9-J8)/J8</f>
        <v>-1</v>
      </c>
      <c r="K10" s="28">
        <f t="shared" ref="K10" si="11">(K9-K8)/K8</f>
        <v>-1</v>
      </c>
      <c r="L10" s="28">
        <f t="shared" ref="L10" si="12">(L9-L8)/L8</f>
        <v>-1</v>
      </c>
      <c r="M10" s="28">
        <f t="shared" ref="M10" si="13">(M9-M8)/M8</f>
        <v>-1</v>
      </c>
      <c r="N10" s="28">
        <f t="shared" ref="N10" si="14">(N9-N8)/N8</f>
        <v>-1</v>
      </c>
      <c r="O10" s="28">
        <f t="shared" ref="O10" si="15">(O9-O8)/O8</f>
        <v>-0.56683996647499935</v>
      </c>
    </row>
    <row r="13" spans="2:56" ht="15.75" thickBot="1">
      <c r="B13" s="41" t="s">
        <v>77</v>
      </c>
    </row>
    <row r="14" spans="2:56" ht="60">
      <c r="B14" s="64"/>
      <c r="C14" s="65" t="s">
        <v>65</v>
      </c>
      <c r="D14" s="65" t="s">
        <v>63</v>
      </c>
      <c r="E14" s="65" t="s">
        <v>64</v>
      </c>
      <c r="F14" s="65"/>
      <c r="G14" s="81" t="s">
        <v>67</v>
      </c>
      <c r="H14" s="65"/>
      <c r="I14" s="66" t="s">
        <v>68</v>
      </c>
    </row>
    <row r="15" spans="2:56">
      <c r="B15" s="67" t="s">
        <v>79</v>
      </c>
      <c r="C15" s="29">
        <v>68269598</v>
      </c>
      <c r="D15" s="29">
        <f>8760000*2.9</f>
        <v>25404000</v>
      </c>
      <c r="E15" s="29">
        <f>SUM(C15:D15)</f>
        <v>93673598</v>
      </c>
      <c r="F15" s="68" t="s">
        <v>61</v>
      </c>
      <c r="G15" s="87">
        <f>G20+G25</f>
        <v>34132953</v>
      </c>
      <c r="H15" s="29" t="s">
        <v>61</v>
      </c>
      <c r="I15" s="69">
        <f>G15/C15</f>
        <v>0.49997296014545156</v>
      </c>
    </row>
    <row r="16" spans="2:56">
      <c r="B16" s="67" t="s">
        <v>81</v>
      </c>
      <c r="C16" s="29">
        <f>85482428-(7358400+3153600)</f>
        <v>74970428</v>
      </c>
      <c r="D16" s="29">
        <f>7358400+3153600</f>
        <v>10512000</v>
      </c>
      <c r="E16" s="29">
        <f t="shared" ref="E16:E23" si="16">SUM(C16:D16)</f>
        <v>85482428</v>
      </c>
      <c r="F16" s="68" t="s">
        <v>61</v>
      </c>
      <c r="G16" s="87">
        <f t="shared" ref="G16:G18" si="17">G21+G26</f>
        <v>34132953</v>
      </c>
      <c r="H16" s="29" t="s">
        <v>61</v>
      </c>
      <c r="I16" s="69">
        <f t="shared" ref="I16:I18" si="18">G16/C16</f>
        <v>0.4552855560595172</v>
      </c>
    </row>
    <row r="17" spans="2:9">
      <c r="B17" s="70" t="s">
        <v>80</v>
      </c>
      <c r="C17" s="71">
        <v>2336541</v>
      </c>
      <c r="D17" s="71">
        <v>0</v>
      </c>
      <c r="E17" s="71">
        <f t="shared" si="16"/>
        <v>2336541</v>
      </c>
      <c r="F17" s="72" t="s">
        <v>62</v>
      </c>
      <c r="G17" s="88">
        <f t="shared" si="17"/>
        <v>859989</v>
      </c>
      <c r="H17" s="71" t="s">
        <v>62</v>
      </c>
      <c r="I17" s="73">
        <f t="shared" si="18"/>
        <v>0.36806073593401528</v>
      </c>
    </row>
    <row r="18" spans="2:9">
      <c r="B18" s="70" t="s">
        <v>82</v>
      </c>
      <c r="C18" s="71">
        <v>1985384</v>
      </c>
      <c r="D18" s="71">
        <v>0</v>
      </c>
      <c r="E18" s="71">
        <f t="shared" si="16"/>
        <v>1985384</v>
      </c>
      <c r="F18" s="72" t="s">
        <v>62</v>
      </c>
      <c r="G18" s="88">
        <f t="shared" si="17"/>
        <v>859989</v>
      </c>
      <c r="H18" s="71" t="s">
        <v>62</v>
      </c>
      <c r="I18" s="73">
        <f t="shared" si="18"/>
        <v>0.43316003352500071</v>
      </c>
    </row>
    <row r="19" spans="2:9">
      <c r="B19" s="67"/>
      <c r="C19" s="29"/>
      <c r="D19" s="29"/>
      <c r="E19" s="29"/>
      <c r="F19" s="68"/>
      <c r="G19" s="82"/>
      <c r="H19" s="29"/>
      <c r="I19" s="74"/>
    </row>
    <row r="20" spans="2:9">
      <c r="B20" s="67" t="s">
        <v>89</v>
      </c>
      <c r="C20" s="29">
        <f>C15*0.618262</f>
        <v>42208498.198675998</v>
      </c>
      <c r="D20" s="29">
        <f>D15*0.618262</f>
        <v>15706327.847999999</v>
      </c>
      <c r="E20" s="29">
        <f t="shared" si="16"/>
        <v>57914826.046675995</v>
      </c>
      <c r="F20" s="68" t="s">
        <v>61</v>
      </c>
      <c r="G20" s="82">
        <f>863638+15231195+3916350+104782+356520+4011990</f>
        <v>24484475</v>
      </c>
      <c r="H20" s="29" t="s">
        <v>61</v>
      </c>
      <c r="I20" s="69">
        <f>G20/C20</f>
        <v>0.5800840125784914</v>
      </c>
    </row>
    <row r="21" spans="2:9">
      <c r="B21" s="67" t="s">
        <v>83</v>
      </c>
      <c r="C21" s="29">
        <f>60151634-7358400</f>
        <v>52793234</v>
      </c>
      <c r="D21" s="29">
        <v>7358400</v>
      </c>
      <c r="E21" s="29">
        <f t="shared" si="16"/>
        <v>60151634</v>
      </c>
      <c r="F21" s="68" t="s">
        <v>61</v>
      </c>
      <c r="G21" s="87">
        <f>G20</f>
        <v>24484475</v>
      </c>
      <c r="H21" s="29" t="s">
        <v>61</v>
      </c>
      <c r="I21" s="69">
        <f t="shared" ref="I21:I23" si="19">G21/C21</f>
        <v>0.46378054809068903</v>
      </c>
    </row>
    <row r="22" spans="2:9">
      <c r="B22" s="70" t="s">
        <v>92</v>
      </c>
      <c r="C22" s="71">
        <f>C17*0.701638</f>
        <v>1639405.9541579999</v>
      </c>
      <c r="D22" s="71">
        <v>0</v>
      </c>
      <c r="E22" s="71">
        <f t="shared" si="16"/>
        <v>1639405.9541579999</v>
      </c>
      <c r="F22" s="72" t="s">
        <v>62</v>
      </c>
      <c r="G22" s="83">
        <f>10253+329639+319698</f>
        <v>659590</v>
      </c>
      <c r="H22" s="71" t="s">
        <v>62</v>
      </c>
      <c r="I22" s="73">
        <f t="shared" si="19"/>
        <v>0.40233475932370022</v>
      </c>
    </row>
    <row r="23" spans="2:9">
      <c r="B23" s="70" t="s">
        <v>84</v>
      </c>
      <c r="C23" s="71">
        <v>1399076</v>
      </c>
      <c r="D23" s="71">
        <v>0</v>
      </c>
      <c r="E23" s="71">
        <f t="shared" si="16"/>
        <v>1399076</v>
      </c>
      <c r="F23" s="72" t="s">
        <v>62</v>
      </c>
      <c r="G23" s="88">
        <f>G22</f>
        <v>659590</v>
      </c>
      <c r="H23" s="71" t="s">
        <v>62</v>
      </c>
      <c r="I23" s="73">
        <f t="shared" si="19"/>
        <v>0.4714468692193991</v>
      </c>
    </row>
    <row r="24" spans="2:9">
      <c r="B24" s="67"/>
      <c r="C24" s="79"/>
      <c r="D24" s="29"/>
      <c r="E24" s="29"/>
      <c r="F24" s="68"/>
      <c r="G24" s="82"/>
      <c r="H24" s="29"/>
      <c r="I24" s="74"/>
    </row>
    <row r="25" spans="2:9">
      <c r="B25" s="67" t="s">
        <v>90</v>
      </c>
      <c r="C25" s="29">
        <f>C15-C20</f>
        <v>26061099.801324002</v>
      </c>
      <c r="D25" s="29">
        <f>D15-D20</f>
        <v>9697672.1520000007</v>
      </c>
      <c r="E25" s="29">
        <f t="shared" ref="E25:E28" si="20">SUM(C25:D25)</f>
        <v>35758771.953324005</v>
      </c>
      <c r="F25" s="68" t="s">
        <v>61</v>
      </c>
      <c r="G25" s="83">
        <f>492462+5363563+1944702+44296+84031+1719424</f>
        <v>9648478</v>
      </c>
      <c r="H25" s="29" t="s">
        <v>61</v>
      </c>
      <c r="I25" s="69">
        <f>G25/C25</f>
        <v>0.37022528111073122</v>
      </c>
    </row>
    <row r="26" spans="2:9">
      <c r="B26" s="67" t="s">
        <v>85</v>
      </c>
      <c r="C26" s="29">
        <f>25330794-3153600</f>
        <v>22177194</v>
      </c>
      <c r="D26" s="29">
        <v>3153600</v>
      </c>
      <c r="E26" s="29">
        <f t="shared" si="20"/>
        <v>25330794</v>
      </c>
      <c r="F26" s="68" t="s">
        <v>61</v>
      </c>
      <c r="G26" s="88">
        <f>G25</f>
        <v>9648478</v>
      </c>
      <c r="H26" s="29" t="s">
        <v>61</v>
      </c>
      <c r="I26" s="69">
        <f t="shared" ref="I26:I28" si="21">G26/C26</f>
        <v>0.43506306523719818</v>
      </c>
    </row>
    <row r="27" spans="2:9">
      <c r="B27" s="67" t="s">
        <v>91</v>
      </c>
      <c r="C27" s="29">
        <f>C17-C22</f>
        <v>697135.04584200005</v>
      </c>
      <c r="D27" s="29">
        <v>0</v>
      </c>
      <c r="E27" s="29">
        <f t="shared" si="20"/>
        <v>697135.04584200005</v>
      </c>
      <c r="F27" s="68" t="s">
        <v>62</v>
      </c>
      <c r="G27" s="83">
        <f>21307+59373+119719</f>
        <v>200399</v>
      </c>
      <c r="H27" s="29" t="s">
        <v>62</v>
      </c>
      <c r="I27" s="69">
        <f t="shared" si="21"/>
        <v>0.28746080288928522</v>
      </c>
    </row>
    <row r="28" spans="2:9">
      <c r="B28" s="67" t="s">
        <v>86</v>
      </c>
      <c r="C28" s="29">
        <f>C18-C23</f>
        <v>586308</v>
      </c>
      <c r="D28" s="29">
        <v>0</v>
      </c>
      <c r="E28" s="29">
        <f t="shared" si="20"/>
        <v>586308</v>
      </c>
      <c r="F28" s="68" t="s">
        <v>62</v>
      </c>
      <c r="G28" s="87">
        <f>G27</f>
        <v>200399</v>
      </c>
      <c r="H28" s="29" t="s">
        <v>62</v>
      </c>
      <c r="I28" s="69">
        <f t="shared" si="21"/>
        <v>0.34179816751604958</v>
      </c>
    </row>
    <row r="29" spans="2:9">
      <c r="B29" s="67"/>
      <c r="C29" s="29"/>
      <c r="D29" s="68"/>
      <c r="E29" s="68"/>
      <c r="F29" s="68"/>
      <c r="G29" s="82"/>
      <c r="H29" s="29"/>
      <c r="I29" s="74"/>
    </row>
    <row r="30" spans="2:9">
      <c r="B30" s="67" t="s">
        <v>87</v>
      </c>
      <c r="C30" s="29"/>
      <c r="D30" s="68"/>
      <c r="E30" s="29">
        <v>65990300</v>
      </c>
      <c r="F30" s="68" t="s">
        <v>61</v>
      </c>
      <c r="G30" s="88">
        <f>G20-G31</f>
        <v>23118468</v>
      </c>
      <c r="H30" s="29" t="s">
        <v>61</v>
      </c>
      <c r="I30" s="69">
        <f>G30/E30</f>
        <v>0.35033130626773934</v>
      </c>
    </row>
    <row r="31" spans="2:9">
      <c r="B31" s="67" t="s">
        <v>66</v>
      </c>
      <c r="C31" s="29"/>
      <c r="D31" s="68"/>
      <c r="E31" s="29">
        <v>1310520</v>
      </c>
      <c r="F31" s="68" t="s">
        <v>61</v>
      </c>
      <c r="G31" s="83">
        <f>233814+320235+372165+439793</f>
        <v>1366007</v>
      </c>
      <c r="H31" s="29" t="s">
        <v>61</v>
      </c>
      <c r="I31" s="69">
        <f t="shared" ref="I31:I32" si="22">G31/E31</f>
        <v>1.0423396819583066</v>
      </c>
    </row>
    <row r="32" spans="2:9" ht="15.75" thickBot="1">
      <c r="B32" s="75" t="s">
        <v>88</v>
      </c>
      <c r="C32" s="76"/>
      <c r="D32" s="76"/>
      <c r="E32" s="77">
        <f>SUM(E30:E31)</f>
        <v>67300820</v>
      </c>
      <c r="F32" s="76" t="s">
        <v>61</v>
      </c>
      <c r="G32" s="89">
        <f>SUM(G30:G31)</f>
        <v>24484475</v>
      </c>
      <c r="H32" s="77" t="s">
        <v>61</v>
      </c>
      <c r="I32" s="78">
        <f t="shared" si="22"/>
        <v>0.36380648853906983</v>
      </c>
    </row>
  </sheetData>
  <pageMargins left="0.7" right="0.7" top="0.75" bottom="0.75" header="0.3" footer="0.3"/>
  <pageSetup scale="63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2:BD86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5" sqref="A5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27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2452148/12</f>
        <v>204345.66666666666</v>
      </c>
      <c r="D7" s="18">
        <f>C7</f>
        <v>204345.66666666666</v>
      </c>
      <c r="E7" s="18">
        <f t="shared" ref="E7:N7" si="1">D7</f>
        <v>204345.66666666666</v>
      </c>
      <c r="F7" s="18">
        <f t="shared" si="1"/>
        <v>204345.66666666666</v>
      </c>
      <c r="G7" s="18">
        <f t="shared" si="1"/>
        <v>204345.66666666666</v>
      </c>
      <c r="H7" s="18">
        <f t="shared" si="1"/>
        <v>204345.66666666666</v>
      </c>
      <c r="I7" s="18">
        <f t="shared" si="1"/>
        <v>204345.66666666666</v>
      </c>
      <c r="J7" s="18">
        <f t="shared" si="1"/>
        <v>204345.66666666666</v>
      </c>
      <c r="K7" s="18">
        <f t="shared" si="1"/>
        <v>204345.66666666666</v>
      </c>
      <c r="L7" s="18">
        <f t="shared" si="1"/>
        <v>204345.66666666666</v>
      </c>
      <c r="M7" s="18">
        <f t="shared" si="1"/>
        <v>204345.66666666666</v>
      </c>
      <c r="N7" s="18">
        <f t="shared" si="1"/>
        <v>204345.66666666666</v>
      </c>
      <c r="O7" s="52">
        <f t="shared" ref="O7:O13" si="2">SUM(C7:N7)</f>
        <v>2452148</v>
      </c>
    </row>
    <row r="8" spans="1:28">
      <c r="B8" s="5" t="s">
        <v>32</v>
      </c>
      <c r="C8" s="18">
        <f>736509/12</f>
        <v>61375.75</v>
      </c>
      <c r="D8" s="18">
        <f t="shared" ref="D8:N9" si="3">C8</f>
        <v>61375.75</v>
      </c>
      <c r="E8" s="18">
        <f t="shared" si="3"/>
        <v>61375.75</v>
      </c>
      <c r="F8" s="18">
        <f t="shared" si="3"/>
        <v>61375.75</v>
      </c>
      <c r="G8" s="18">
        <f t="shared" si="3"/>
        <v>61375.75</v>
      </c>
      <c r="H8" s="18">
        <f t="shared" si="3"/>
        <v>61375.75</v>
      </c>
      <c r="I8" s="18">
        <f t="shared" si="3"/>
        <v>61375.75</v>
      </c>
      <c r="J8" s="18">
        <f t="shared" si="3"/>
        <v>61375.75</v>
      </c>
      <c r="K8" s="18">
        <f t="shared" si="3"/>
        <v>61375.75</v>
      </c>
      <c r="L8" s="18">
        <f t="shared" si="3"/>
        <v>61375.75</v>
      </c>
      <c r="M8" s="18">
        <f t="shared" si="3"/>
        <v>61375.75</v>
      </c>
      <c r="N8" s="18">
        <f t="shared" si="3"/>
        <v>61375.75</v>
      </c>
      <c r="O8" s="52">
        <f t="shared" si="2"/>
        <v>736509</v>
      </c>
    </row>
    <row r="9" spans="1:28">
      <c r="B9" s="5" t="s">
        <v>76</v>
      </c>
      <c r="C9" s="18">
        <f>355309/12</f>
        <v>29609.083333333332</v>
      </c>
      <c r="D9" s="18">
        <f t="shared" si="3"/>
        <v>29609.083333333332</v>
      </c>
      <c r="E9" s="18">
        <f t="shared" si="3"/>
        <v>29609.083333333332</v>
      </c>
      <c r="F9" s="18">
        <f t="shared" si="3"/>
        <v>29609.083333333332</v>
      </c>
      <c r="G9" s="18">
        <f t="shared" si="3"/>
        <v>29609.083333333332</v>
      </c>
      <c r="H9" s="18">
        <f t="shared" si="3"/>
        <v>29609.083333333332</v>
      </c>
      <c r="I9" s="18">
        <f t="shared" si="3"/>
        <v>29609.083333333332</v>
      </c>
      <c r="J9" s="18">
        <f t="shared" si="3"/>
        <v>29609.083333333332</v>
      </c>
      <c r="K9" s="18">
        <f t="shared" si="3"/>
        <v>29609.083333333332</v>
      </c>
      <c r="L9" s="18">
        <f t="shared" si="3"/>
        <v>29609.083333333332</v>
      </c>
      <c r="M9" s="18">
        <f t="shared" si="3"/>
        <v>29609.083333333332</v>
      </c>
      <c r="N9" s="18">
        <f t="shared" si="3"/>
        <v>29609.083333333332</v>
      </c>
      <c r="O9" s="52">
        <f t="shared" si="2"/>
        <v>355308.99999999994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295330.49999999994</v>
      </c>
      <c r="D14" s="19">
        <f t="shared" ref="D14:N14" si="4">SUM(D7:D13)</f>
        <v>295330.49999999994</v>
      </c>
      <c r="E14" s="19">
        <f t="shared" si="4"/>
        <v>295330.49999999994</v>
      </c>
      <c r="F14" s="19">
        <f t="shared" si="4"/>
        <v>295330.49999999994</v>
      </c>
      <c r="G14" s="19">
        <f t="shared" si="4"/>
        <v>295330.49999999994</v>
      </c>
      <c r="H14" s="19">
        <f t="shared" si="4"/>
        <v>295330.49999999994</v>
      </c>
      <c r="I14" s="19">
        <f t="shared" si="4"/>
        <v>295330.49999999994</v>
      </c>
      <c r="J14" s="19">
        <f t="shared" si="4"/>
        <v>295330.49999999994</v>
      </c>
      <c r="K14" s="19">
        <f t="shared" si="4"/>
        <v>295330.49999999994</v>
      </c>
      <c r="L14" s="19">
        <f t="shared" si="4"/>
        <v>295330.49999999994</v>
      </c>
      <c r="M14" s="19">
        <f t="shared" si="4"/>
        <v>295330.49999999994</v>
      </c>
      <c r="N14" s="19">
        <f t="shared" si="4"/>
        <v>295330.49999999994</v>
      </c>
      <c r="O14" s="53">
        <f>SUM(O7:O13)</f>
        <v>3543966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(187235+119885)/12</f>
        <v>25593.333333333332</v>
      </c>
      <c r="D17" s="18">
        <f t="shared" ref="D17:N24" si="5">C17</f>
        <v>25593.333333333332</v>
      </c>
      <c r="E17" s="18">
        <f t="shared" si="5"/>
        <v>25593.333333333332</v>
      </c>
      <c r="F17" s="18">
        <f t="shared" si="5"/>
        <v>25593.333333333332</v>
      </c>
      <c r="G17" s="18">
        <f t="shared" si="5"/>
        <v>25593.333333333332</v>
      </c>
      <c r="H17" s="18">
        <f t="shared" si="5"/>
        <v>25593.333333333332</v>
      </c>
      <c r="I17" s="18">
        <f t="shared" si="5"/>
        <v>25593.333333333332</v>
      </c>
      <c r="J17" s="18">
        <f t="shared" si="5"/>
        <v>25593.333333333332</v>
      </c>
      <c r="K17" s="18">
        <f t="shared" si="5"/>
        <v>25593.333333333332</v>
      </c>
      <c r="L17" s="18">
        <f t="shared" si="5"/>
        <v>25593.333333333332</v>
      </c>
      <c r="M17" s="18">
        <f t="shared" si="5"/>
        <v>25593.333333333332</v>
      </c>
      <c r="N17" s="18">
        <f t="shared" si="5"/>
        <v>25593.333333333332</v>
      </c>
      <c r="O17" s="52">
        <f t="shared" ref="O17:O24" si="6">SUM(C17:N17)</f>
        <v>307120</v>
      </c>
    </row>
    <row r="18" spans="1:16">
      <c r="B18" s="5" t="s">
        <v>32</v>
      </c>
      <c r="C18" s="18">
        <f>(89250+7402)/12</f>
        <v>8054.333333333333</v>
      </c>
      <c r="D18" s="18">
        <f t="shared" si="5"/>
        <v>8054.333333333333</v>
      </c>
      <c r="E18" s="18">
        <f t="shared" si="5"/>
        <v>8054.333333333333</v>
      </c>
      <c r="F18" s="18">
        <f t="shared" si="5"/>
        <v>8054.333333333333</v>
      </c>
      <c r="G18" s="18">
        <f t="shared" si="5"/>
        <v>8054.333333333333</v>
      </c>
      <c r="H18" s="18">
        <f t="shared" si="5"/>
        <v>8054.333333333333</v>
      </c>
      <c r="I18" s="18">
        <f t="shared" si="5"/>
        <v>8054.333333333333</v>
      </c>
      <c r="J18" s="18">
        <f t="shared" si="5"/>
        <v>8054.333333333333</v>
      </c>
      <c r="K18" s="18">
        <f t="shared" si="5"/>
        <v>8054.333333333333</v>
      </c>
      <c r="L18" s="18">
        <f t="shared" si="5"/>
        <v>8054.333333333333</v>
      </c>
      <c r="M18" s="18">
        <f t="shared" si="5"/>
        <v>8054.333333333333</v>
      </c>
      <c r="N18" s="18">
        <f t="shared" si="5"/>
        <v>8054.333333333333</v>
      </c>
      <c r="O18" s="52">
        <f t="shared" si="6"/>
        <v>96651.999999999985</v>
      </c>
    </row>
    <row r="19" spans="1:16">
      <c r="B19" s="5" t="s">
        <v>76</v>
      </c>
      <c r="C19" s="18">
        <f>53296/12</f>
        <v>4441.333333333333</v>
      </c>
      <c r="D19" s="18">
        <f t="shared" si="5"/>
        <v>4441.333333333333</v>
      </c>
      <c r="E19" s="18">
        <f t="shared" si="5"/>
        <v>4441.333333333333</v>
      </c>
      <c r="F19" s="18">
        <f t="shared" si="5"/>
        <v>4441.333333333333</v>
      </c>
      <c r="G19" s="18">
        <f t="shared" si="5"/>
        <v>4441.333333333333</v>
      </c>
      <c r="H19" s="18">
        <f t="shared" si="5"/>
        <v>4441.333333333333</v>
      </c>
      <c r="I19" s="18">
        <f t="shared" si="5"/>
        <v>4441.333333333333</v>
      </c>
      <c r="J19" s="18">
        <f t="shared" si="5"/>
        <v>4441.333333333333</v>
      </c>
      <c r="K19" s="18">
        <f t="shared" si="5"/>
        <v>4441.333333333333</v>
      </c>
      <c r="L19" s="18">
        <f t="shared" si="5"/>
        <v>4441.333333333333</v>
      </c>
      <c r="M19" s="18">
        <f t="shared" si="5"/>
        <v>4441.333333333333</v>
      </c>
      <c r="N19" s="18">
        <f t="shared" si="5"/>
        <v>4441.333333333333</v>
      </c>
      <c r="O19" s="52">
        <f t="shared" si="6"/>
        <v>53296.000000000007</v>
      </c>
    </row>
    <row r="20" spans="1:16" hidden="1">
      <c r="B20" s="5" t="s">
        <v>33</v>
      </c>
      <c r="C20" s="18"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>
        <f t="shared" si="5"/>
        <v>0</v>
      </c>
      <c r="I20" s="18">
        <f t="shared" si="5"/>
        <v>0</v>
      </c>
      <c r="J20" s="18">
        <f t="shared" si="5"/>
        <v>0</v>
      </c>
      <c r="K20" s="18">
        <f t="shared" si="5"/>
        <v>0</v>
      </c>
      <c r="L20" s="18">
        <f t="shared" si="5"/>
        <v>0</v>
      </c>
      <c r="M20" s="18">
        <f t="shared" si="5"/>
        <v>0</v>
      </c>
      <c r="N20" s="18">
        <f t="shared" si="5"/>
        <v>0</v>
      </c>
      <c r="O20" s="52">
        <f t="shared" si="6"/>
        <v>0</v>
      </c>
    </row>
    <row r="21" spans="1:16" hidden="1">
      <c r="B21" s="5" t="s">
        <v>34</v>
      </c>
      <c r="D21" s="18">
        <f t="shared" si="5"/>
        <v>0</v>
      </c>
      <c r="E21" s="18">
        <f t="shared" si="5"/>
        <v>0</v>
      </c>
      <c r="F21" s="18">
        <f t="shared" si="5"/>
        <v>0</v>
      </c>
      <c r="G21" s="18">
        <f t="shared" si="5"/>
        <v>0</v>
      </c>
      <c r="H21" s="18">
        <f t="shared" si="5"/>
        <v>0</v>
      </c>
      <c r="I21" s="18">
        <f t="shared" si="5"/>
        <v>0</v>
      </c>
      <c r="J21" s="18">
        <f t="shared" si="5"/>
        <v>0</v>
      </c>
      <c r="K21" s="18">
        <f t="shared" si="5"/>
        <v>0</v>
      </c>
      <c r="L21" s="18">
        <f t="shared" si="5"/>
        <v>0</v>
      </c>
      <c r="M21" s="18">
        <f t="shared" si="5"/>
        <v>0</v>
      </c>
      <c r="N21" s="18">
        <f t="shared" si="5"/>
        <v>0</v>
      </c>
      <c r="O21" s="52">
        <f t="shared" si="6"/>
        <v>0</v>
      </c>
    </row>
    <row r="22" spans="1:16">
      <c r="B22" s="5" t="s">
        <v>35</v>
      </c>
      <c r="C22" s="18">
        <f>648000/12</f>
        <v>54000</v>
      </c>
      <c r="D22" s="18">
        <f t="shared" si="5"/>
        <v>54000</v>
      </c>
      <c r="E22" s="18">
        <f t="shared" si="5"/>
        <v>54000</v>
      </c>
      <c r="F22" s="18">
        <f t="shared" si="5"/>
        <v>54000</v>
      </c>
      <c r="G22" s="18">
        <f t="shared" si="5"/>
        <v>54000</v>
      </c>
      <c r="H22" s="18">
        <f t="shared" si="5"/>
        <v>54000</v>
      </c>
      <c r="I22" s="18">
        <f t="shared" si="5"/>
        <v>54000</v>
      </c>
      <c r="J22" s="18">
        <f t="shared" si="5"/>
        <v>54000</v>
      </c>
      <c r="K22" s="18">
        <f t="shared" si="5"/>
        <v>54000</v>
      </c>
      <c r="L22" s="18">
        <f t="shared" si="5"/>
        <v>54000</v>
      </c>
      <c r="M22" s="18">
        <f t="shared" si="5"/>
        <v>54000</v>
      </c>
      <c r="N22" s="18">
        <f t="shared" si="5"/>
        <v>54000</v>
      </c>
      <c r="O22" s="52">
        <f t="shared" si="6"/>
        <v>648000</v>
      </c>
    </row>
    <row r="23" spans="1:16">
      <c r="B23" s="5" t="s">
        <v>78</v>
      </c>
      <c r="C23" s="18">
        <f>(197200+41160)/12</f>
        <v>19863.333333333332</v>
      </c>
      <c r="D23" s="18">
        <f t="shared" si="5"/>
        <v>19863.333333333332</v>
      </c>
      <c r="E23" s="18">
        <f t="shared" si="5"/>
        <v>19863.333333333332</v>
      </c>
      <c r="F23" s="18">
        <f t="shared" si="5"/>
        <v>19863.333333333332</v>
      </c>
      <c r="G23" s="18">
        <f t="shared" si="5"/>
        <v>19863.333333333332</v>
      </c>
      <c r="H23" s="18">
        <f t="shared" si="5"/>
        <v>19863.333333333332</v>
      </c>
      <c r="I23" s="18">
        <f t="shared" si="5"/>
        <v>19863.333333333332</v>
      </c>
      <c r="J23" s="18">
        <f t="shared" si="5"/>
        <v>19863.333333333332</v>
      </c>
      <c r="K23" s="18">
        <f t="shared" si="5"/>
        <v>19863.333333333332</v>
      </c>
      <c r="L23" s="18">
        <f t="shared" si="5"/>
        <v>19863.333333333332</v>
      </c>
      <c r="M23" s="18">
        <f t="shared" si="5"/>
        <v>19863.333333333332</v>
      </c>
      <c r="N23" s="18">
        <f t="shared" si="5"/>
        <v>19863.333333333332</v>
      </c>
      <c r="O23" s="52">
        <f t="shared" ref="O23" si="7">SUM(C23:N23)</f>
        <v>238360.00000000003</v>
      </c>
    </row>
    <row r="24" spans="1:16">
      <c r="B24" s="5" t="s">
        <v>36</v>
      </c>
      <c r="C24" s="18">
        <f>(342081+595153)/12</f>
        <v>78102.833333333328</v>
      </c>
      <c r="D24" s="18">
        <f t="shared" si="5"/>
        <v>78102.833333333328</v>
      </c>
      <c r="E24" s="18">
        <f t="shared" si="5"/>
        <v>78102.833333333328</v>
      </c>
      <c r="F24" s="18">
        <f t="shared" si="5"/>
        <v>78102.833333333328</v>
      </c>
      <c r="G24" s="18">
        <f t="shared" si="5"/>
        <v>78102.833333333328</v>
      </c>
      <c r="H24" s="18">
        <f t="shared" si="5"/>
        <v>78102.833333333328</v>
      </c>
      <c r="I24" s="18">
        <f t="shared" si="5"/>
        <v>78102.833333333328</v>
      </c>
      <c r="J24" s="18">
        <f t="shared" si="5"/>
        <v>78102.833333333328</v>
      </c>
      <c r="K24" s="18">
        <f t="shared" si="5"/>
        <v>78102.833333333328</v>
      </c>
      <c r="L24" s="18">
        <f t="shared" si="5"/>
        <v>78102.833333333328</v>
      </c>
      <c r="M24" s="18">
        <f t="shared" si="5"/>
        <v>78102.833333333328</v>
      </c>
      <c r="N24" s="18">
        <f t="shared" si="5"/>
        <v>78102.833333333328</v>
      </c>
      <c r="O24" s="52">
        <f t="shared" si="6"/>
        <v>937234.00000000012</v>
      </c>
    </row>
    <row r="25" spans="1:16">
      <c r="A25" t="s">
        <v>21</v>
      </c>
      <c r="B25" s="9" t="s">
        <v>116</v>
      </c>
      <c r="C25" s="19">
        <f t="shared" ref="C25:N25" si="8">SUM(C17:C24)</f>
        <v>190055.16666666666</v>
      </c>
      <c r="D25" s="19">
        <f t="shared" si="8"/>
        <v>190055.16666666666</v>
      </c>
      <c r="E25" s="19">
        <f t="shared" si="8"/>
        <v>190055.16666666666</v>
      </c>
      <c r="F25" s="19">
        <f t="shared" si="8"/>
        <v>190055.16666666666</v>
      </c>
      <c r="G25" s="19">
        <f t="shared" si="8"/>
        <v>190055.16666666666</v>
      </c>
      <c r="H25" s="19">
        <f t="shared" si="8"/>
        <v>190055.16666666666</v>
      </c>
      <c r="I25" s="19">
        <f t="shared" si="8"/>
        <v>190055.16666666666</v>
      </c>
      <c r="J25" s="19">
        <f t="shared" si="8"/>
        <v>190055.16666666666</v>
      </c>
      <c r="K25" s="19">
        <f t="shared" si="8"/>
        <v>190055.16666666666</v>
      </c>
      <c r="L25" s="19">
        <f t="shared" si="8"/>
        <v>190055.16666666666</v>
      </c>
      <c r="M25" s="19">
        <f t="shared" si="8"/>
        <v>190055.16666666666</v>
      </c>
      <c r="N25" s="19">
        <f t="shared" si="8"/>
        <v>190055.16666666666</v>
      </c>
      <c r="O25" s="53">
        <f>SUM(O17:O24)</f>
        <v>2280662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117</v>
      </c>
      <c r="B27" s="9" t="s">
        <v>143</v>
      </c>
      <c r="C27" s="21">
        <f>C25+C14</f>
        <v>485385.66666666663</v>
      </c>
      <c r="D27" s="21">
        <f t="shared" ref="D27:O27" si="9">D25+D14</f>
        <v>485385.66666666663</v>
      </c>
      <c r="E27" s="21">
        <f t="shared" si="9"/>
        <v>485385.66666666663</v>
      </c>
      <c r="F27" s="21">
        <f t="shared" si="9"/>
        <v>485385.66666666663</v>
      </c>
      <c r="G27" s="21">
        <f t="shared" si="9"/>
        <v>485385.66666666663</v>
      </c>
      <c r="H27" s="21">
        <f t="shared" si="9"/>
        <v>485385.66666666663</v>
      </c>
      <c r="I27" s="21">
        <f t="shared" si="9"/>
        <v>485385.66666666663</v>
      </c>
      <c r="J27" s="21">
        <f t="shared" si="9"/>
        <v>485385.66666666663</v>
      </c>
      <c r="K27" s="21">
        <f t="shared" si="9"/>
        <v>485385.66666666663</v>
      </c>
      <c r="L27" s="21">
        <f t="shared" si="9"/>
        <v>485385.66666666663</v>
      </c>
      <c r="M27" s="21">
        <f t="shared" si="9"/>
        <v>485385.66666666663</v>
      </c>
      <c r="N27" s="21">
        <f t="shared" si="9"/>
        <v>485385.66666666663</v>
      </c>
      <c r="O27" s="21">
        <f t="shared" si="9"/>
        <v>5824628</v>
      </c>
    </row>
    <row r="28" spans="1:16" ht="15.75" thickTop="1">
      <c r="B28" s="9"/>
      <c r="O28" s="54"/>
    </row>
    <row r="29" spans="1:16">
      <c r="B29" s="10" t="s">
        <v>59</v>
      </c>
      <c r="O29" s="54"/>
    </row>
    <row r="30" spans="1:16">
      <c r="B30" s="6" t="s">
        <v>31</v>
      </c>
      <c r="C30" s="20">
        <v>193522.04</v>
      </c>
      <c r="D30" s="18">
        <v>70614.250000000015</v>
      </c>
      <c r="E30" s="18">
        <v>105035.05</v>
      </c>
      <c r="F30" s="18">
        <v>153965.18</v>
      </c>
      <c r="G30" s="18">
        <v>93172.790000000008</v>
      </c>
      <c r="H30" s="18">
        <v>144093.4</v>
      </c>
      <c r="I30" s="18"/>
      <c r="J30" s="18"/>
      <c r="K30" s="18"/>
      <c r="L30" s="18"/>
      <c r="M30" s="18"/>
      <c r="N30" s="18"/>
      <c r="O30" s="52">
        <f t="shared" ref="O30:O36" si="10">SUM(C30:N30)</f>
        <v>760402.71000000008</v>
      </c>
      <c r="P30" s="16">
        <f t="shared" ref="P30:P36" si="11">SUM(D30:O30)</f>
        <v>1327283.3800000001</v>
      </c>
    </row>
    <row r="31" spans="1:16">
      <c r="B31" s="6" t="s">
        <v>32</v>
      </c>
      <c r="C31" s="18">
        <v>111201.47000000002</v>
      </c>
      <c r="D31" s="18">
        <v>92528.2</v>
      </c>
      <c r="E31" s="18">
        <v>73028.94</v>
      </c>
      <c r="F31" s="18">
        <v>66862.5</v>
      </c>
      <c r="G31" s="18">
        <v>59562.05</v>
      </c>
      <c r="H31" s="18">
        <v>63193.630000000005</v>
      </c>
      <c r="I31" s="18"/>
      <c r="J31" s="18"/>
      <c r="K31" s="18"/>
      <c r="L31" s="18"/>
      <c r="M31" s="18"/>
      <c r="N31" s="18"/>
      <c r="O31" s="52">
        <f t="shared" si="10"/>
        <v>466376.79</v>
      </c>
      <c r="P31" s="16">
        <f t="shared" si="11"/>
        <v>821552.11</v>
      </c>
    </row>
    <row r="32" spans="1:16">
      <c r="B32" s="6" t="s">
        <v>76</v>
      </c>
      <c r="C32" s="18">
        <v>0</v>
      </c>
      <c r="D32" s="18"/>
      <c r="E32" s="18"/>
      <c r="F32" s="18">
        <v>108449.37</v>
      </c>
      <c r="G32" s="18"/>
      <c r="H32" s="18">
        <v>233210.35</v>
      </c>
      <c r="I32" s="18"/>
      <c r="J32" s="18"/>
      <c r="K32" s="18"/>
      <c r="L32" s="18"/>
      <c r="M32" s="18"/>
      <c r="N32" s="18"/>
      <c r="O32" s="52">
        <f t="shared" si="10"/>
        <v>341659.72</v>
      </c>
      <c r="P32" s="16">
        <f t="shared" si="11"/>
        <v>683319.44</v>
      </c>
    </row>
    <row r="33" spans="1:16" hidden="1">
      <c r="B33" s="6" t="s">
        <v>33</v>
      </c>
      <c r="C33" s="18"/>
      <c r="D33" s="18"/>
      <c r="E33" s="18"/>
      <c r="F33" s="36"/>
      <c r="G33" s="18"/>
      <c r="H33" s="18"/>
      <c r="I33" s="18"/>
      <c r="J33" s="18"/>
      <c r="K33" s="18"/>
      <c r="L33" s="18"/>
      <c r="M33" s="18"/>
      <c r="N33" s="18"/>
      <c r="O33" s="52">
        <f t="shared" si="10"/>
        <v>0</v>
      </c>
      <c r="P33" s="16">
        <f t="shared" si="11"/>
        <v>0</v>
      </c>
    </row>
    <row r="34" spans="1:16" hidden="1">
      <c r="B34" s="6" t="s">
        <v>34</v>
      </c>
      <c r="C34" s="18"/>
      <c r="D34" s="18"/>
      <c r="E34" s="18"/>
      <c r="F34" s="36"/>
      <c r="G34" s="18"/>
      <c r="H34" s="18"/>
      <c r="I34" s="18"/>
      <c r="J34" s="18"/>
      <c r="K34" s="18"/>
      <c r="L34" s="18"/>
      <c r="M34" s="18"/>
      <c r="N34" s="18"/>
      <c r="O34" s="52">
        <f t="shared" si="10"/>
        <v>0</v>
      </c>
      <c r="P34" s="16">
        <f t="shared" si="11"/>
        <v>0</v>
      </c>
    </row>
    <row r="35" spans="1:16" hidden="1">
      <c r="B35" s="6" t="s">
        <v>35</v>
      </c>
      <c r="C35" s="18"/>
      <c r="D35" s="18"/>
      <c r="E35" s="18"/>
      <c r="F35" s="36"/>
      <c r="G35" s="18"/>
      <c r="H35" s="18"/>
      <c r="I35" s="18"/>
      <c r="J35" s="18"/>
      <c r="K35" s="18"/>
      <c r="L35" s="18"/>
      <c r="M35" s="18"/>
      <c r="N35" s="18"/>
      <c r="O35" s="52">
        <f t="shared" si="10"/>
        <v>0</v>
      </c>
      <c r="P35" s="16">
        <f t="shared" si="11"/>
        <v>0</v>
      </c>
    </row>
    <row r="36" spans="1:16" hidden="1">
      <c r="B36" s="6" t="s">
        <v>36</v>
      </c>
      <c r="C36" s="18"/>
      <c r="D36" s="18"/>
      <c r="E36" s="18"/>
      <c r="F36" s="36"/>
      <c r="G36" s="18"/>
      <c r="H36" s="18"/>
      <c r="I36" s="18"/>
      <c r="J36" s="18"/>
      <c r="K36" s="18"/>
      <c r="L36" s="18"/>
      <c r="M36" s="18"/>
      <c r="N36" s="18"/>
      <c r="O36" s="52">
        <f t="shared" si="10"/>
        <v>0</v>
      </c>
      <c r="P36" s="16">
        <f t="shared" si="11"/>
        <v>0</v>
      </c>
    </row>
    <row r="37" spans="1:16">
      <c r="A37" t="s">
        <v>20</v>
      </c>
      <c r="B37" s="10" t="s">
        <v>38</v>
      </c>
      <c r="C37" s="19">
        <f>SUM(C30:C36)</f>
        <v>304723.51</v>
      </c>
      <c r="D37" s="19">
        <f t="shared" ref="D37:N37" si="12">SUM(D30:D36)</f>
        <v>163142.45000000001</v>
      </c>
      <c r="E37" s="19">
        <f t="shared" si="12"/>
        <v>178063.99</v>
      </c>
      <c r="F37" s="19">
        <f t="shared" si="12"/>
        <v>329277.05</v>
      </c>
      <c r="G37" s="19">
        <f t="shared" si="12"/>
        <v>152734.84000000003</v>
      </c>
      <c r="H37" s="19">
        <f t="shared" si="12"/>
        <v>440497.38</v>
      </c>
      <c r="I37" s="19">
        <f t="shared" si="12"/>
        <v>0</v>
      </c>
      <c r="J37" s="19">
        <f t="shared" si="12"/>
        <v>0</v>
      </c>
      <c r="K37" s="19">
        <f t="shared" si="12"/>
        <v>0</v>
      </c>
      <c r="L37" s="19">
        <f t="shared" si="12"/>
        <v>0</v>
      </c>
      <c r="M37" s="19">
        <f t="shared" si="12"/>
        <v>0</v>
      </c>
      <c r="N37" s="19">
        <f t="shared" si="12"/>
        <v>0</v>
      </c>
      <c r="O37" s="53">
        <f t="shared" ref="O37" si="13">SUM(O30:O36)</f>
        <v>1568439.22</v>
      </c>
      <c r="P37" s="19">
        <f>SUM(P30:P36)</f>
        <v>2832154.93</v>
      </c>
    </row>
    <row r="38" spans="1:16">
      <c r="B38" s="10"/>
      <c r="C38" s="18"/>
      <c r="D38" s="18"/>
      <c r="E38" s="18"/>
      <c r="F38" s="35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119</v>
      </c>
      <c r="C39" s="18"/>
      <c r="D39" s="18"/>
      <c r="E39" s="18"/>
      <c r="F39" s="35"/>
      <c r="G39" s="18"/>
      <c r="H39" s="18"/>
      <c r="I39" s="18"/>
      <c r="J39" s="18"/>
      <c r="K39" s="18"/>
      <c r="L39" s="18"/>
      <c r="M39" s="18"/>
      <c r="N39" s="18"/>
      <c r="O39" s="52"/>
      <c r="P39" s="18"/>
    </row>
    <row r="40" spans="1:16">
      <c r="B40" s="6" t="s">
        <v>31</v>
      </c>
      <c r="C40" s="20">
        <f>66963.63+2165.65</f>
        <v>69129.279999999999</v>
      </c>
      <c r="D40" s="18">
        <f>20807.72+2130.6</f>
        <v>22938.32</v>
      </c>
      <c r="E40" s="18">
        <f>15480.67+2844.81</f>
        <v>18325.48</v>
      </c>
      <c r="F40" s="18">
        <f>13251.8+2573.5</f>
        <v>15825.3</v>
      </c>
      <c r="G40" s="18">
        <v>6173.5999999999995</v>
      </c>
      <c r="H40" s="18">
        <v>32994.200000000004</v>
      </c>
      <c r="I40" s="18"/>
      <c r="J40" s="18"/>
      <c r="K40" s="18"/>
      <c r="L40" s="18"/>
      <c r="M40" s="18"/>
      <c r="N40" s="18"/>
      <c r="O40" s="52">
        <f t="shared" ref="O40:O47" si="14">SUM(C40:N40)</f>
        <v>165386.18000000002</v>
      </c>
      <c r="P40" s="16">
        <f t="shared" ref="P40:P47" si="15">SUM(D40:O40)</f>
        <v>261643.08000000002</v>
      </c>
    </row>
    <row r="41" spans="1:16">
      <c r="B41" s="6" t="s">
        <v>32</v>
      </c>
      <c r="C41" s="18">
        <v>3698.15</v>
      </c>
      <c r="D41" s="18">
        <v>3551.46</v>
      </c>
      <c r="E41" s="18">
        <v>44083.770000000004</v>
      </c>
      <c r="F41" s="18">
        <v>13735.800000000001</v>
      </c>
      <c r="G41" s="18">
        <v>12754.77</v>
      </c>
      <c r="H41" s="18">
        <v>28439.06</v>
      </c>
      <c r="I41" s="18"/>
      <c r="J41" s="18"/>
      <c r="K41" s="18"/>
      <c r="L41" s="18"/>
      <c r="M41" s="18"/>
      <c r="N41" s="18"/>
      <c r="O41" s="52">
        <f t="shared" si="14"/>
        <v>106263.01000000001</v>
      </c>
      <c r="P41" s="16">
        <f t="shared" si="15"/>
        <v>208827.87</v>
      </c>
    </row>
    <row r="42" spans="1:16">
      <c r="B42" s="6" t="s">
        <v>76</v>
      </c>
      <c r="C42" s="18">
        <v>783.05000000000007</v>
      </c>
      <c r="D42" s="18">
        <f>-42.2+130.74</f>
        <v>88.54</v>
      </c>
      <c r="E42" s="18">
        <v>3772.79</v>
      </c>
      <c r="F42" s="18">
        <v>1098.1500000000001</v>
      </c>
      <c r="G42" s="18">
        <v>3243.56</v>
      </c>
      <c r="H42" s="18">
        <v>1403.25</v>
      </c>
      <c r="I42" s="18"/>
      <c r="J42" s="18"/>
      <c r="K42" s="18"/>
      <c r="L42" s="18"/>
      <c r="M42" s="18"/>
      <c r="N42" s="18"/>
      <c r="O42" s="52">
        <f t="shared" si="14"/>
        <v>10389.34</v>
      </c>
      <c r="P42" s="16">
        <f t="shared" si="15"/>
        <v>19995.629999999997</v>
      </c>
    </row>
    <row r="43" spans="1:16" hidden="1">
      <c r="B43" s="6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>
        <v>1049.3600000000001</v>
      </c>
      <c r="D45" s="18">
        <v>1301.51</v>
      </c>
      <c r="E45" s="18">
        <v>1260.23</v>
      </c>
      <c r="F45" s="18">
        <v>161074.83000000002</v>
      </c>
      <c r="G45" s="18"/>
      <c r="H45" s="18"/>
      <c r="I45" s="18"/>
      <c r="J45" s="18"/>
      <c r="K45" s="18"/>
      <c r="L45" s="18"/>
      <c r="M45" s="18"/>
      <c r="N45" s="18"/>
      <c r="O45" s="52">
        <f t="shared" si="14"/>
        <v>164685.93000000002</v>
      </c>
      <c r="P45" s="16">
        <f t="shared" si="15"/>
        <v>328322.5</v>
      </c>
    </row>
    <row r="46" spans="1:16">
      <c r="B46" s="6" t="s">
        <v>78</v>
      </c>
      <c r="C46" s="18">
        <v>17455.02</v>
      </c>
      <c r="D46" s="18">
        <v>21178.63</v>
      </c>
      <c r="E46" s="18">
        <v>40159.910000000003</v>
      </c>
      <c r="F46" s="18">
        <v>23593.919999999998</v>
      </c>
      <c r="G46" s="18">
        <v>5615.92</v>
      </c>
      <c r="H46" s="18">
        <v>43448.9</v>
      </c>
      <c r="I46" s="18"/>
      <c r="J46" s="18"/>
      <c r="K46" s="18"/>
      <c r="L46" s="18"/>
      <c r="M46" s="18"/>
      <c r="N46" s="18"/>
      <c r="O46" s="52">
        <f t="shared" ref="O46" si="16">SUM(C46:N46)</f>
        <v>151452.29999999999</v>
      </c>
      <c r="P46" s="16"/>
    </row>
    <row r="47" spans="1:16">
      <c r="B47" s="6" t="s">
        <v>36</v>
      </c>
      <c r="C47" s="18">
        <v>44522.670000000006</v>
      </c>
      <c r="D47" s="18">
        <v>55904.47</v>
      </c>
      <c r="E47" s="18">
        <v>57739.42</v>
      </c>
      <c r="F47" s="18">
        <v>67208.290000000008</v>
      </c>
      <c r="G47" s="18">
        <v>50798.19</v>
      </c>
      <c r="H47" s="18">
        <v>51730.63</v>
      </c>
      <c r="I47" s="18"/>
      <c r="J47" s="18"/>
      <c r="K47" s="18"/>
      <c r="L47" s="18"/>
      <c r="M47" s="18"/>
      <c r="N47" s="18"/>
      <c r="O47" s="52">
        <f t="shared" si="14"/>
        <v>327903.67000000004</v>
      </c>
      <c r="P47" s="16">
        <f t="shared" si="15"/>
        <v>611284.67000000004</v>
      </c>
    </row>
    <row r="48" spans="1:16">
      <c r="A48" t="s">
        <v>24</v>
      </c>
      <c r="B48" s="10" t="s">
        <v>120</v>
      </c>
      <c r="C48" s="19">
        <f t="shared" ref="C48:O48" si="17">SUM(C40:C47)</f>
        <v>136637.53</v>
      </c>
      <c r="D48" s="19">
        <f t="shared" si="17"/>
        <v>104962.93</v>
      </c>
      <c r="E48" s="19">
        <f t="shared" si="17"/>
        <v>165341.59999999998</v>
      </c>
      <c r="F48" s="19">
        <f t="shared" si="17"/>
        <v>282536.29000000004</v>
      </c>
      <c r="G48" s="19">
        <f t="shared" si="17"/>
        <v>78586.040000000008</v>
      </c>
      <c r="H48" s="19">
        <f t="shared" si="17"/>
        <v>158016.04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 t="shared" si="17"/>
        <v>926080.43</v>
      </c>
      <c r="P48" s="19">
        <f>SUM(P40:P47)</f>
        <v>1430073.75</v>
      </c>
    </row>
    <row r="49" spans="1:16">
      <c r="B49" s="10"/>
      <c r="C49" s="18"/>
      <c r="D49" s="18"/>
      <c r="E49" s="18"/>
      <c r="F49" s="35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118</v>
      </c>
      <c r="B50" s="10" t="s">
        <v>144</v>
      </c>
      <c r="C50" s="21">
        <f>C48+C37</f>
        <v>441361.04000000004</v>
      </c>
      <c r="D50" s="21">
        <f t="shared" ref="D50:O50" si="18">D48+D37</f>
        <v>268105.38</v>
      </c>
      <c r="E50" s="21">
        <f t="shared" si="18"/>
        <v>343405.58999999997</v>
      </c>
      <c r="F50" s="21">
        <f t="shared" si="18"/>
        <v>611813.34000000008</v>
      </c>
      <c r="G50" s="21">
        <f t="shared" si="18"/>
        <v>231320.88000000003</v>
      </c>
      <c r="H50" s="21">
        <f t="shared" si="18"/>
        <v>598513.42000000004</v>
      </c>
      <c r="I50" s="21">
        <f t="shared" si="18"/>
        <v>0</v>
      </c>
      <c r="J50" s="21">
        <f t="shared" si="18"/>
        <v>0</v>
      </c>
      <c r="K50" s="21">
        <f t="shared" si="18"/>
        <v>0</v>
      </c>
      <c r="L50" s="21">
        <f t="shared" si="18"/>
        <v>0</v>
      </c>
      <c r="M50" s="21">
        <f t="shared" si="18"/>
        <v>0</v>
      </c>
      <c r="N50" s="21">
        <f t="shared" si="18"/>
        <v>0</v>
      </c>
      <c r="O50" s="21">
        <f t="shared" si="18"/>
        <v>2494519.65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41</v>
      </c>
      <c r="O53" s="54"/>
    </row>
    <row r="54" spans="1:16">
      <c r="B54" s="12" t="s">
        <v>31</v>
      </c>
      <c r="C54" s="36">
        <f t="shared" ref="C54:N54" si="19">C7-C30</f>
        <v>10823.626666666649</v>
      </c>
      <c r="D54" s="36">
        <f t="shared" si="19"/>
        <v>133731.41666666663</v>
      </c>
      <c r="E54" s="36">
        <f t="shared" si="19"/>
        <v>99310.616666666654</v>
      </c>
      <c r="F54" s="36">
        <f t="shared" si="19"/>
        <v>50380.486666666664</v>
      </c>
      <c r="G54" s="36">
        <f t="shared" si="19"/>
        <v>111172.87666666665</v>
      </c>
      <c r="H54" s="36">
        <f t="shared" si="19"/>
        <v>60252.266666666663</v>
      </c>
      <c r="I54" s="36">
        <f t="shared" si="19"/>
        <v>204345.66666666666</v>
      </c>
      <c r="J54" s="36">
        <f t="shared" si="19"/>
        <v>204345.66666666666</v>
      </c>
      <c r="K54" s="36">
        <f t="shared" si="19"/>
        <v>204345.66666666666</v>
      </c>
      <c r="L54" s="36">
        <f t="shared" si="19"/>
        <v>204345.66666666666</v>
      </c>
      <c r="M54" s="36">
        <f t="shared" si="19"/>
        <v>204345.66666666666</v>
      </c>
      <c r="N54" s="36">
        <f t="shared" si="19"/>
        <v>204345.66666666666</v>
      </c>
      <c r="O54" s="52">
        <f t="shared" ref="O54:O60" si="20">SUM(C54:N54)</f>
        <v>1691745.29</v>
      </c>
    </row>
    <row r="55" spans="1:16">
      <c r="B55" s="12" t="s">
        <v>32</v>
      </c>
      <c r="C55" s="36">
        <f t="shared" ref="C55:N55" si="21">C8-C31</f>
        <v>-49825.720000000016</v>
      </c>
      <c r="D55" s="36">
        <f t="shared" si="21"/>
        <v>-31152.449999999997</v>
      </c>
      <c r="E55" s="36">
        <f t="shared" si="21"/>
        <v>-11653.190000000002</v>
      </c>
      <c r="F55" s="36">
        <f t="shared" si="21"/>
        <v>-5486.75</v>
      </c>
      <c r="G55" s="36">
        <f t="shared" si="21"/>
        <v>1813.6999999999971</v>
      </c>
      <c r="H55" s="36">
        <f t="shared" si="21"/>
        <v>-1817.8800000000047</v>
      </c>
      <c r="I55" s="36">
        <f t="shared" si="21"/>
        <v>61375.75</v>
      </c>
      <c r="J55" s="36">
        <f t="shared" si="21"/>
        <v>61375.75</v>
      </c>
      <c r="K55" s="36">
        <f t="shared" si="21"/>
        <v>61375.75</v>
      </c>
      <c r="L55" s="36">
        <f t="shared" si="21"/>
        <v>61375.75</v>
      </c>
      <c r="M55" s="36">
        <f t="shared" si="21"/>
        <v>61375.75</v>
      </c>
      <c r="N55" s="36">
        <f t="shared" si="21"/>
        <v>61375.75</v>
      </c>
      <c r="O55" s="52">
        <f t="shared" si="20"/>
        <v>270132.20999999996</v>
      </c>
    </row>
    <row r="56" spans="1:16">
      <c r="B56" s="12" t="s">
        <v>76</v>
      </c>
      <c r="C56" s="36">
        <f t="shared" ref="C56:N56" si="22">C9-C32</f>
        <v>29609.083333333332</v>
      </c>
      <c r="D56" s="36">
        <f t="shared" si="22"/>
        <v>29609.083333333332</v>
      </c>
      <c r="E56" s="36">
        <f t="shared" si="22"/>
        <v>29609.083333333332</v>
      </c>
      <c r="F56" s="36">
        <f t="shared" si="22"/>
        <v>-78840.286666666667</v>
      </c>
      <c r="G56" s="36">
        <f t="shared" si="22"/>
        <v>29609.083333333332</v>
      </c>
      <c r="H56" s="36">
        <f t="shared" si="22"/>
        <v>-203601.26666666666</v>
      </c>
      <c r="I56" s="36">
        <f t="shared" si="22"/>
        <v>29609.083333333332</v>
      </c>
      <c r="J56" s="36">
        <f t="shared" si="22"/>
        <v>29609.083333333332</v>
      </c>
      <c r="K56" s="36">
        <f t="shared" si="22"/>
        <v>29609.083333333332</v>
      </c>
      <c r="L56" s="36">
        <f t="shared" si="22"/>
        <v>29609.083333333332</v>
      </c>
      <c r="M56" s="36">
        <f t="shared" si="22"/>
        <v>29609.083333333332</v>
      </c>
      <c r="N56" s="36">
        <f t="shared" si="22"/>
        <v>29609.083333333332</v>
      </c>
      <c r="O56" s="52">
        <f t="shared" si="20"/>
        <v>13649.279999999992</v>
      </c>
    </row>
    <row r="57" spans="1:16" hidden="1">
      <c r="B57" s="12" t="s">
        <v>33</v>
      </c>
      <c r="C57" s="36">
        <f t="shared" ref="C57:N57" si="23">C10-C33</f>
        <v>0</v>
      </c>
      <c r="D57" s="36">
        <f t="shared" si="23"/>
        <v>0</v>
      </c>
      <c r="E57" s="36">
        <f t="shared" si="23"/>
        <v>0</v>
      </c>
      <c r="F57" s="36">
        <f t="shared" si="23"/>
        <v>0</v>
      </c>
      <c r="G57" s="36">
        <f t="shared" si="23"/>
        <v>0</v>
      </c>
      <c r="H57" s="36">
        <f t="shared" si="23"/>
        <v>0</v>
      </c>
      <c r="I57" s="36">
        <f t="shared" si="23"/>
        <v>0</v>
      </c>
      <c r="J57" s="36">
        <f t="shared" si="23"/>
        <v>0</v>
      </c>
      <c r="K57" s="36">
        <f t="shared" si="23"/>
        <v>0</v>
      </c>
      <c r="L57" s="36">
        <f t="shared" si="23"/>
        <v>0</v>
      </c>
      <c r="M57" s="36">
        <f t="shared" si="23"/>
        <v>0</v>
      </c>
      <c r="N57" s="36">
        <f t="shared" si="23"/>
        <v>0</v>
      </c>
      <c r="O57" s="52">
        <f t="shared" si="20"/>
        <v>0</v>
      </c>
    </row>
    <row r="58" spans="1:16" hidden="1">
      <c r="B58" s="12" t="s">
        <v>34</v>
      </c>
      <c r="C58" s="36">
        <f t="shared" ref="C58:N58" si="24">C11-C34</f>
        <v>0</v>
      </c>
      <c r="D58" s="36">
        <f t="shared" si="24"/>
        <v>0</v>
      </c>
      <c r="E58" s="36">
        <f t="shared" si="24"/>
        <v>0</v>
      </c>
      <c r="F58" s="36">
        <f t="shared" si="24"/>
        <v>0</v>
      </c>
      <c r="G58" s="36">
        <f t="shared" si="24"/>
        <v>0</v>
      </c>
      <c r="H58" s="36">
        <f t="shared" si="24"/>
        <v>0</v>
      </c>
      <c r="I58" s="36">
        <f t="shared" si="24"/>
        <v>0</v>
      </c>
      <c r="J58" s="36">
        <f t="shared" si="24"/>
        <v>0</v>
      </c>
      <c r="K58" s="36">
        <f t="shared" si="24"/>
        <v>0</v>
      </c>
      <c r="L58" s="36">
        <f t="shared" si="24"/>
        <v>0</v>
      </c>
      <c r="M58" s="36">
        <f t="shared" si="24"/>
        <v>0</v>
      </c>
      <c r="N58" s="36">
        <f t="shared" si="24"/>
        <v>0</v>
      </c>
      <c r="O58" s="52">
        <f t="shared" si="20"/>
        <v>0</v>
      </c>
    </row>
    <row r="59" spans="1:16" hidden="1">
      <c r="B59" s="12" t="s">
        <v>35</v>
      </c>
      <c r="C59" s="36">
        <f t="shared" ref="C59:N59" si="25">C12-C35</f>
        <v>0</v>
      </c>
      <c r="D59" s="36">
        <f t="shared" si="25"/>
        <v>0</v>
      </c>
      <c r="E59" s="36">
        <f t="shared" si="25"/>
        <v>0</v>
      </c>
      <c r="F59" s="36">
        <f t="shared" si="25"/>
        <v>0</v>
      </c>
      <c r="G59" s="36">
        <f t="shared" si="25"/>
        <v>0</v>
      </c>
      <c r="H59" s="36">
        <f t="shared" si="25"/>
        <v>0</v>
      </c>
      <c r="I59" s="36">
        <f t="shared" si="25"/>
        <v>0</v>
      </c>
      <c r="J59" s="36">
        <f t="shared" si="25"/>
        <v>0</v>
      </c>
      <c r="K59" s="36">
        <f t="shared" si="25"/>
        <v>0</v>
      </c>
      <c r="L59" s="36">
        <f t="shared" si="25"/>
        <v>0</v>
      </c>
      <c r="M59" s="36">
        <f t="shared" si="25"/>
        <v>0</v>
      </c>
      <c r="N59" s="36">
        <f t="shared" si="25"/>
        <v>0</v>
      </c>
      <c r="O59" s="52">
        <f t="shared" si="20"/>
        <v>0</v>
      </c>
    </row>
    <row r="60" spans="1:16" hidden="1">
      <c r="B60" s="12" t="s">
        <v>36</v>
      </c>
      <c r="C60" s="36">
        <f t="shared" ref="C60:N60" si="26">C13-C36</f>
        <v>0</v>
      </c>
      <c r="D60" s="36">
        <f t="shared" si="26"/>
        <v>0</v>
      </c>
      <c r="E60" s="36">
        <f t="shared" si="26"/>
        <v>0</v>
      </c>
      <c r="F60" s="36">
        <f t="shared" si="26"/>
        <v>0</v>
      </c>
      <c r="G60" s="36">
        <f t="shared" si="26"/>
        <v>0</v>
      </c>
      <c r="H60" s="36">
        <f t="shared" si="26"/>
        <v>0</v>
      </c>
      <c r="I60" s="36">
        <f t="shared" si="26"/>
        <v>0</v>
      </c>
      <c r="J60" s="36">
        <f t="shared" si="26"/>
        <v>0</v>
      </c>
      <c r="K60" s="36">
        <f t="shared" si="26"/>
        <v>0</v>
      </c>
      <c r="L60" s="36">
        <f t="shared" si="26"/>
        <v>0</v>
      </c>
      <c r="M60" s="36">
        <f t="shared" si="26"/>
        <v>0</v>
      </c>
      <c r="N60" s="36">
        <f t="shared" si="26"/>
        <v>0</v>
      </c>
      <c r="O60" s="52">
        <f t="shared" si="20"/>
        <v>0</v>
      </c>
    </row>
    <row r="61" spans="1:16">
      <c r="A61" t="s">
        <v>121</v>
      </c>
      <c r="B61" s="11" t="s">
        <v>40</v>
      </c>
      <c r="C61" s="19">
        <f t="shared" ref="C61:N61" si="27">C14-C37</f>
        <v>-9393.0100000000675</v>
      </c>
      <c r="D61" s="19">
        <f t="shared" si="27"/>
        <v>132188.04999999993</v>
      </c>
      <c r="E61" s="19">
        <f t="shared" si="27"/>
        <v>117266.50999999995</v>
      </c>
      <c r="F61" s="19">
        <f t="shared" si="27"/>
        <v>-33946.550000000047</v>
      </c>
      <c r="G61" s="19">
        <f t="shared" si="27"/>
        <v>142595.65999999992</v>
      </c>
      <c r="H61" s="19">
        <f t="shared" si="27"/>
        <v>-145166.88000000006</v>
      </c>
      <c r="I61" s="19">
        <f t="shared" si="27"/>
        <v>295330.49999999994</v>
      </c>
      <c r="J61" s="19">
        <f t="shared" si="27"/>
        <v>295330.49999999994</v>
      </c>
      <c r="K61" s="19">
        <f t="shared" si="27"/>
        <v>295330.49999999994</v>
      </c>
      <c r="L61" s="19">
        <f t="shared" si="27"/>
        <v>295330.49999999994</v>
      </c>
      <c r="M61" s="19">
        <f t="shared" si="27"/>
        <v>295330.49999999994</v>
      </c>
      <c r="N61" s="19">
        <f t="shared" si="27"/>
        <v>295330.49999999994</v>
      </c>
      <c r="O61" s="53">
        <f t="shared" ref="O61" si="28">SUM(O54:O60)</f>
        <v>1975526.78</v>
      </c>
    </row>
    <row r="62" spans="1:16">
      <c r="B62" s="1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56"/>
    </row>
    <row r="63" spans="1:16">
      <c r="B63" s="11" t="s">
        <v>125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52"/>
    </row>
    <row r="64" spans="1:16">
      <c r="B64" s="12" t="s">
        <v>31</v>
      </c>
      <c r="C64" s="36">
        <f t="shared" ref="C64:N64" si="29">C17-C40</f>
        <v>-43535.94666666667</v>
      </c>
      <c r="D64" s="36">
        <f t="shared" si="29"/>
        <v>2655.0133333333324</v>
      </c>
      <c r="E64" s="36">
        <f t="shared" si="29"/>
        <v>7267.8533333333326</v>
      </c>
      <c r="F64" s="36">
        <f t="shared" si="29"/>
        <v>9768.0333333333328</v>
      </c>
      <c r="G64" s="36">
        <f t="shared" si="29"/>
        <v>19419.733333333334</v>
      </c>
      <c r="H64" s="36">
        <f t="shared" si="29"/>
        <v>-7400.8666666666722</v>
      </c>
      <c r="I64" s="36">
        <f t="shared" si="29"/>
        <v>25593.333333333332</v>
      </c>
      <c r="J64" s="36">
        <f t="shared" si="29"/>
        <v>25593.333333333332</v>
      </c>
      <c r="K64" s="36">
        <f t="shared" si="29"/>
        <v>25593.333333333332</v>
      </c>
      <c r="L64" s="36">
        <f t="shared" si="29"/>
        <v>25593.333333333332</v>
      </c>
      <c r="M64" s="36">
        <f t="shared" si="29"/>
        <v>25593.333333333332</v>
      </c>
      <c r="N64" s="36">
        <f t="shared" si="29"/>
        <v>25593.333333333332</v>
      </c>
      <c r="O64" s="52">
        <f t="shared" ref="O64:O71" si="30">SUM(C64:N64)</f>
        <v>141733.81999999998</v>
      </c>
    </row>
    <row r="65" spans="1:15">
      <c r="B65" s="12" t="s">
        <v>32</v>
      </c>
      <c r="C65" s="36">
        <f t="shared" ref="C65:N65" si="31">C18-C41</f>
        <v>4356.1833333333325</v>
      </c>
      <c r="D65" s="36">
        <f t="shared" si="31"/>
        <v>4502.873333333333</v>
      </c>
      <c r="E65" s="36">
        <f t="shared" si="31"/>
        <v>-36029.436666666668</v>
      </c>
      <c r="F65" s="36">
        <f t="shared" si="31"/>
        <v>-5681.4666666666681</v>
      </c>
      <c r="G65" s="36">
        <f t="shared" si="31"/>
        <v>-4700.4366666666674</v>
      </c>
      <c r="H65" s="36">
        <f t="shared" si="31"/>
        <v>-20384.726666666669</v>
      </c>
      <c r="I65" s="36">
        <f t="shared" si="31"/>
        <v>8054.333333333333</v>
      </c>
      <c r="J65" s="36">
        <f t="shared" si="31"/>
        <v>8054.333333333333</v>
      </c>
      <c r="K65" s="36">
        <f t="shared" si="31"/>
        <v>8054.333333333333</v>
      </c>
      <c r="L65" s="36">
        <f t="shared" si="31"/>
        <v>8054.333333333333</v>
      </c>
      <c r="M65" s="36">
        <f t="shared" si="31"/>
        <v>8054.333333333333</v>
      </c>
      <c r="N65" s="36">
        <f t="shared" si="31"/>
        <v>8054.333333333333</v>
      </c>
      <c r="O65" s="52">
        <f t="shared" si="30"/>
        <v>-9611.0100000000057</v>
      </c>
    </row>
    <row r="66" spans="1:15">
      <c r="B66" s="12" t="s">
        <v>76</v>
      </c>
      <c r="C66" s="36">
        <f t="shared" ref="C66:N66" si="32">C19-C42</f>
        <v>3658.2833333333328</v>
      </c>
      <c r="D66" s="36">
        <f t="shared" si="32"/>
        <v>4352.7933333333331</v>
      </c>
      <c r="E66" s="36">
        <f t="shared" si="32"/>
        <v>668.54333333333307</v>
      </c>
      <c r="F66" s="36">
        <f t="shared" si="32"/>
        <v>3343.1833333333329</v>
      </c>
      <c r="G66" s="36">
        <f t="shared" si="32"/>
        <v>1197.7733333333331</v>
      </c>
      <c r="H66" s="36">
        <f t="shared" si="32"/>
        <v>3038.083333333333</v>
      </c>
      <c r="I66" s="36">
        <f t="shared" si="32"/>
        <v>4441.333333333333</v>
      </c>
      <c r="J66" s="36">
        <f t="shared" si="32"/>
        <v>4441.333333333333</v>
      </c>
      <c r="K66" s="36">
        <f t="shared" si="32"/>
        <v>4441.333333333333</v>
      </c>
      <c r="L66" s="36">
        <f t="shared" si="32"/>
        <v>4441.333333333333</v>
      </c>
      <c r="M66" s="36">
        <f t="shared" si="32"/>
        <v>4441.333333333333</v>
      </c>
      <c r="N66" s="36">
        <f t="shared" si="32"/>
        <v>4441.333333333333</v>
      </c>
      <c r="O66" s="52">
        <f t="shared" si="30"/>
        <v>42906.659999999996</v>
      </c>
    </row>
    <row r="67" spans="1:15" hidden="1">
      <c r="B67" s="12" t="s">
        <v>33</v>
      </c>
      <c r="C67" s="36">
        <f t="shared" ref="C67:N67" si="33">C20-C43</f>
        <v>0</v>
      </c>
      <c r="D67" s="36">
        <f t="shared" si="33"/>
        <v>0</v>
      </c>
      <c r="E67" s="36">
        <f t="shared" si="33"/>
        <v>0</v>
      </c>
      <c r="F67" s="36">
        <f t="shared" si="33"/>
        <v>0</v>
      </c>
      <c r="G67" s="36">
        <f t="shared" si="33"/>
        <v>0</v>
      </c>
      <c r="H67" s="36">
        <f t="shared" si="33"/>
        <v>0</v>
      </c>
      <c r="I67" s="36">
        <f t="shared" si="33"/>
        <v>0</v>
      </c>
      <c r="J67" s="36">
        <f t="shared" si="33"/>
        <v>0</v>
      </c>
      <c r="K67" s="36">
        <f t="shared" si="33"/>
        <v>0</v>
      </c>
      <c r="L67" s="36">
        <f t="shared" si="33"/>
        <v>0</v>
      </c>
      <c r="M67" s="36">
        <f t="shared" si="33"/>
        <v>0</v>
      </c>
      <c r="N67" s="36">
        <f t="shared" si="33"/>
        <v>0</v>
      </c>
      <c r="O67" s="52">
        <f t="shared" si="30"/>
        <v>0</v>
      </c>
    </row>
    <row r="68" spans="1:15" hidden="1">
      <c r="B68" s="12" t="s">
        <v>34</v>
      </c>
      <c r="C68" s="36">
        <f t="shared" ref="C68:N68" si="34">C21-C44</f>
        <v>0</v>
      </c>
      <c r="D68" s="36">
        <f t="shared" si="34"/>
        <v>0</v>
      </c>
      <c r="E68" s="36">
        <f t="shared" si="34"/>
        <v>0</v>
      </c>
      <c r="F68" s="36">
        <f t="shared" si="34"/>
        <v>0</v>
      </c>
      <c r="G68" s="36">
        <f t="shared" si="34"/>
        <v>0</v>
      </c>
      <c r="H68" s="36">
        <f t="shared" si="34"/>
        <v>0</v>
      </c>
      <c r="I68" s="36">
        <f t="shared" si="34"/>
        <v>0</v>
      </c>
      <c r="J68" s="36">
        <f t="shared" si="34"/>
        <v>0</v>
      </c>
      <c r="K68" s="36">
        <f t="shared" si="34"/>
        <v>0</v>
      </c>
      <c r="L68" s="36">
        <f t="shared" si="34"/>
        <v>0</v>
      </c>
      <c r="M68" s="36">
        <f t="shared" si="34"/>
        <v>0</v>
      </c>
      <c r="N68" s="36">
        <f t="shared" si="34"/>
        <v>0</v>
      </c>
      <c r="O68" s="52">
        <f t="shared" si="30"/>
        <v>0</v>
      </c>
    </row>
    <row r="69" spans="1:15">
      <c r="B69" s="12" t="s">
        <v>35</v>
      </c>
      <c r="C69" s="36">
        <f t="shared" ref="C69:N69" si="35">C22-C45</f>
        <v>52950.64</v>
      </c>
      <c r="D69" s="36">
        <f t="shared" si="35"/>
        <v>52698.49</v>
      </c>
      <c r="E69" s="36">
        <f t="shared" si="35"/>
        <v>52739.77</v>
      </c>
      <c r="F69" s="36">
        <f t="shared" si="35"/>
        <v>-107074.83000000002</v>
      </c>
      <c r="G69" s="36">
        <f t="shared" si="35"/>
        <v>54000</v>
      </c>
      <c r="H69" s="36">
        <f t="shared" si="35"/>
        <v>54000</v>
      </c>
      <c r="I69" s="36">
        <f t="shared" si="35"/>
        <v>54000</v>
      </c>
      <c r="J69" s="36">
        <f t="shared" si="35"/>
        <v>54000</v>
      </c>
      <c r="K69" s="36">
        <f t="shared" si="35"/>
        <v>54000</v>
      </c>
      <c r="L69" s="36">
        <f t="shared" si="35"/>
        <v>54000</v>
      </c>
      <c r="M69" s="36">
        <f t="shared" si="35"/>
        <v>54000</v>
      </c>
      <c r="N69" s="36">
        <f t="shared" si="35"/>
        <v>54000</v>
      </c>
      <c r="O69" s="52">
        <f t="shared" si="30"/>
        <v>483314.06999999995</v>
      </c>
    </row>
    <row r="70" spans="1:15">
      <c r="B70" s="12" t="s">
        <v>78</v>
      </c>
      <c r="C70" s="36">
        <f t="shared" ref="C70:N70" si="36">C23-C46</f>
        <v>2408.3133333333317</v>
      </c>
      <c r="D70" s="36">
        <f t="shared" si="36"/>
        <v>-1315.2966666666689</v>
      </c>
      <c r="E70" s="36">
        <f t="shared" si="36"/>
        <v>-20296.576666666671</v>
      </c>
      <c r="F70" s="36">
        <f t="shared" si="36"/>
        <v>-3730.5866666666661</v>
      </c>
      <c r="G70" s="36">
        <f t="shared" si="36"/>
        <v>14247.413333333332</v>
      </c>
      <c r="H70" s="36">
        <f t="shared" si="36"/>
        <v>-23585.566666666669</v>
      </c>
      <c r="I70" s="36">
        <f t="shared" si="36"/>
        <v>19863.333333333332</v>
      </c>
      <c r="J70" s="36">
        <f t="shared" si="36"/>
        <v>19863.333333333332</v>
      </c>
      <c r="K70" s="36">
        <f t="shared" si="36"/>
        <v>19863.333333333332</v>
      </c>
      <c r="L70" s="36">
        <f t="shared" si="36"/>
        <v>19863.333333333332</v>
      </c>
      <c r="M70" s="36">
        <f t="shared" si="36"/>
        <v>19863.333333333332</v>
      </c>
      <c r="N70" s="36">
        <f t="shared" si="36"/>
        <v>19863.333333333332</v>
      </c>
      <c r="O70" s="52">
        <f t="shared" ref="O70" si="37">SUM(C70:N70)</f>
        <v>86907.699999999983</v>
      </c>
    </row>
    <row r="71" spans="1:15">
      <c r="B71" s="12" t="s">
        <v>36</v>
      </c>
      <c r="C71" s="36">
        <f t="shared" ref="C71:N71" si="38">C24-C47</f>
        <v>33580.163333333323</v>
      </c>
      <c r="D71" s="36">
        <f t="shared" si="38"/>
        <v>22198.363333333327</v>
      </c>
      <c r="E71" s="36">
        <f t="shared" si="38"/>
        <v>20363.41333333333</v>
      </c>
      <c r="F71" s="36">
        <f t="shared" si="38"/>
        <v>10894.54333333332</v>
      </c>
      <c r="G71" s="36">
        <f t="shared" si="38"/>
        <v>27304.643333333326</v>
      </c>
      <c r="H71" s="36">
        <f t="shared" si="38"/>
        <v>26372.203333333331</v>
      </c>
      <c r="I71" s="36">
        <f t="shared" si="38"/>
        <v>78102.833333333328</v>
      </c>
      <c r="J71" s="36">
        <f t="shared" si="38"/>
        <v>78102.833333333328</v>
      </c>
      <c r="K71" s="36">
        <f t="shared" si="38"/>
        <v>78102.833333333328</v>
      </c>
      <c r="L71" s="36">
        <f t="shared" si="38"/>
        <v>78102.833333333328</v>
      </c>
      <c r="M71" s="36">
        <f t="shared" si="38"/>
        <v>78102.833333333328</v>
      </c>
      <c r="N71" s="36">
        <f t="shared" si="38"/>
        <v>78102.833333333328</v>
      </c>
      <c r="O71" s="52">
        <f t="shared" si="30"/>
        <v>609330.32999999996</v>
      </c>
    </row>
    <row r="72" spans="1:15">
      <c r="A72" t="s">
        <v>122</v>
      </c>
      <c r="B72" s="11" t="s">
        <v>40</v>
      </c>
      <c r="C72" s="19">
        <f t="shared" ref="C72:N72" si="39">C25-C48</f>
        <v>53417.636666666658</v>
      </c>
      <c r="D72" s="19">
        <f t="shared" si="39"/>
        <v>85092.236666666664</v>
      </c>
      <c r="E72" s="19">
        <f t="shared" si="39"/>
        <v>24713.56666666668</v>
      </c>
      <c r="F72" s="19">
        <f t="shared" si="39"/>
        <v>-92481.12333333338</v>
      </c>
      <c r="G72" s="19">
        <f t="shared" si="39"/>
        <v>111469.12666666665</v>
      </c>
      <c r="H72" s="19">
        <f t="shared" si="39"/>
        <v>32039.126666666649</v>
      </c>
      <c r="I72" s="19">
        <f t="shared" si="39"/>
        <v>190055.16666666666</v>
      </c>
      <c r="J72" s="19">
        <f t="shared" si="39"/>
        <v>190055.16666666666</v>
      </c>
      <c r="K72" s="19">
        <f t="shared" si="39"/>
        <v>190055.16666666666</v>
      </c>
      <c r="L72" s="19">
        <f t="shared" si="39"/>
        <v>190055.16666666666</v>
      </c>
      <c r="M72" s="19">
        <f t="shared" si="39"/>
        <v>190055.16666666666</v>
      </c>
      <c r="N72" s="19">
        <f t="shared" si="39"/>
        <v>190055.16666666666</v>
      </c>
      <c r="O72" s="53">
        <f t="shared" ref="O72" si="40">SUM(O64:O71)</f>
        <v>1354581.5699999998</v>
      </c>
    </row>
    <row r="73" spans="1:15">
      <c r="B73" s="11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56"/>
    </row>
    <row r="74" spans="1:15" ht="15.75" thickBot="1">
      <c r="B74" s="11" t="s">
        <v>40</v>
      </c>
      <c r="C74" s="38">
        <f t="shared" ref="C74:N74" si="41">C27-C50</f>
        <v>44024.626666666591</v>
      </c>
      <c r="D74" s="38">
        <f t="shared" si="41"/>
        <v>217280.28666666662</v>
      </c>
      <c r="E74" s="38">
        <f t="shared" si="41"/>
        <v>141980.07666666666</v>
      </c>
      <c r="F74" s="38">
        <f t="shared" si="41"/>
        <v>-126427.67333333346</v>
      </c>
      <c r="G74" s="38">
        <f t="shared" si="41"/>
        <v>254064.78666666659</v>
      </c>
      <c r="H74" s="38">
        <f t="shared" si="41"/>
        <v>-113127.75333333341</v>
      </c>
      <c r="I74" s="38">
        <f t="shared" si="41"/>
        <v>485385.66666666663</v>
      </c>
      <c r="J74" s="38">
        <f t="shared" si="41"/>
        <v>485385.66666666663</v>
      </c>
      <c r="K74" s="38">
        <f t="shared" si="41"/>
        <v>485385.66666666663</v>
      </c>
      <c r="L74" s="38">
        <f t="shared" si="41"/>
        <v>485385.66666666663</v>
      </c>
      <c r="M74" s="38">
        <f t="shared" si="41"/>
        <v>485385.66666666663</v>
      </c>
      <c r="N74" s="38">
        <f t="shared" si="41"/>
        <v>485385.66666666663</v>
      </c>
      <c r="O74" s="57">
        <f>O72+O61</f>
        <v>3330108.3499999996</v>
      </c>
    </row>
    <row r="75" spans="1:15" ht="15.75" thickTop="1">
      <c r="B75" s="9"/>
    </row>
    <row r="76" spans="1:15"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4" t="s">
        <v>134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</row>
    <row r="80" spans="1:15">
      <c r="B80" s="61" t="s">
        <v>52</v>
      </c>
    </row>
    <row r="81" spans="2:15">
      <c r="B81" s="93" t="s">
        <v>128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2:15">
      <c r="B82" s="93" t="s">
        <v>129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2:15">
      <c r="B83" s="93" t="s">
        <v>130</v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2:15">
      <c r="B84" s="93" t="s">
        <v>109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2:15">
      <c r="B85" s="93" t="s">
        <v>137</v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2:15">
      <c r="B86" s="93" t="s">
        <v>147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</sheetData>
  <mergeCells count="7">
    <mergeCell ref="B86:O86"/>
    <mergeCell ref="B85:O85"/>
    <mergeCell ref="B84:O84"/>
    <mergeCell ref="B78:O78"/>
    <mergeCell ref="B81:O81"/>
    <mergeCell ref="B82:O82"/>
    <mergeCell ref="B83:O83"/>
  </mergeCells>
  <pageMargins left="0" right="0" top="0.75" bottom="0.75" header="0.3" footer="0.3"/>
  <pageSetup scale="71" fitToHeight="18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'ID-Sch191 Rider Balance'!J17</f>
        <v>-1078063.1049030584</v>
      </c>
    </row>
    <row r="3" spans="1:2">
      <c r="A3" s="80"/>
    </row>
    <row r="4" spans="1:2">
      <c r="A4" s="80" t="s">
        <v>70</v>
      </c>
      <c r="B4" s="1">
        <v>1615000</v>
      </c>
    </row>
    <row r="5" spans="1:2">
      <c r="A5" s="80" t="s">
        <v>71</v>
      </c>
      <c r="B5" s="85">
        <f>SUM('ID-Sch191 Rider Balance'!K11:N11)</f>
        <v>692542.33333333337</v>
      </c>
    </row>
    <row r="6" spans="1:2">
      <c r="A6" s="80"/>
      <c r="B6" s="1">
        <f>B5-B4</f>
        <v>-922457.66666666663</v>
      </c>
    </row>
    <row r="8" spans="1:2">
      <c r="A8" s="80" t="s">
        <v>72</v>
      </c>
      <c r="B8" s="3">
        <f>B2+B6</f>
        <v>-2000520.7715697251</v>
      </c>
    </row>
    <row r="10" spans="1:2">
      <c r="A10" s="80" t="s">
        <v>73</v>
      </c>
      <c r="B10" s="1">
        <v>4076000</v>
      </c>
    </row>
    <row r="11" spans="1:2">
      <c r="A11" t="s">
        <v>74</v>
      </c>
      <c r="B11" s="86"/>
    </row>
    <row r="12" spans="1:2">
      <c r="B12" s="3">
        <f>B11-B10</f>
        <v>-4076000</v>
      </c>
    </row>
    <row r="14" spans="1:2">
      <c r="A14" t="s">
        <v>75</v>
      </c>
      <c r="B14" s="3">
        <f>B8+B12</f>
        <v>-6076520.7715697251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2:AF31"/>
  <sheetViews>
    <sheetView zoomScaleNormal="100" workbookViewId="0"/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51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814739.21</v>
      </c>
      <c r="D5" s="1">
        <v>310892.71060113027</v>
      </c>
      <c r="E5" s="1">
        <v>-137795.30891676259</v>
      </c>
      <c r="F5" s="1">
        <v>-642636.67891676258</v>
      </c>
      <c r="G5" s="1">
        <v>-897807.67160243448</v>
      </c>
      <c r="H5" s="1">
        <v>-1131326.2436415784</v>
      </c>
      <c r="I5" s="1">
        <v>-1078063.1049030584</v>
      </c>
      <c r="J5" s="1">
        <v>-1078063.1049030584</v>
      </c>
      <c r="K5" s="1">
        <v>-1078063.1049030584</v>
      </c>
      <c r="L5" s="1">
        <v>-1078063.1049030584</v>
      </c>
      <c r="M5" s="1">
        <v>-1078063.1049030584</v>
      </c>
      <c r="N5" s="1">
        <v>-1078063.1049030584</v>
      </c>
      <c r="O5" s="40"/>
      <c r="P5" s="44">
        <v>814739.21</v>
      </c>
      <c r="Q5" s="47">
        <v>-642636.67891676258</v>
      </c>
      <c r="R5" s="47">
        <v>-1078063.1049030586</v>
      </c>
      <c r="S5" s="47">
        <v>-1078063.1049030586</v>
      </c>
      <c r="U5" s="47">
        <v>-1466740.3398893056</v>
      </c>
      <c r="V5" s="47">
        <v>-1466740.3398893056</v>
      </c>
      <c r="W5" s="47">
        <v>-1466740.3398893056</v>
      </c>
      <c r="X5" s="47">
        <v>-1466740.3398893056</v>
      </c>
      <c r="Y5" s="47">
        <v>-1466740.3398893056</v>
      </c>
      <c r="Z5" s="47">
        <v>-1466740.3398893056</v>
      </c>
      <c r="AA5" s="47">
        <v>-1466740.3398893056</v>
      </c>
      <c r="AB5" s="47">
        <v>-1466740.3398893056</v>
      </c>
      <c r="AC5" s="47">
        <v>-1466740.3398893056</v>
      </c>
      <c r="AD5" s="47">
        <v>-1466740.3398893056</v>
      </c>
      <c r="AE5" s="47">
        <v>-1466740.3398893056</v>
      </c>
      <c r="AF5" s="47">
        <v>-1466740.3398893056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408176.65366707434</v>
      </c>
      <c r="D7" s="1">
        <v>304535.81927269686</v>
      </c>
      <c r="E7" s="1">
        <v>272107.53031309816</v>
      </c>
      <c r="F7" s="1">
        <v>178542.10663738914</v>
      </c>
      <c r="G7" s="1">
        <v>113518.8265060413</v>
      </c>
      <c r="H7" s="1">
        <v>73453.066107036051</v>
      </c>
      <c r="I7" s="1">
        <v>65021.871841190557</v>
      </c>
      <c r="J7" s="1">
        <v>70805.179941296214</v>
      </c>
      <c r="K7" s="1">
        <v>79327.990981855401</v>
      </c>
      <c r="L7" s="1">
        <v>182143.95911176447</v>
      </c>
      <c r="M7" s="1">
        <v>305573.87273896503</v>
      </c>
      <c r="N7" s="1">
        <v>429374.52891394874</v>
      </c>
      <c r="O7" s="47">
        <v>2482581.4060323564</v>
      </c>
      <c r="P7" s="47">
        <v>984820.00325286924</v>
      </c>
      <c r="Q7" s="47">
        <v>365513.99925046647</v>
      </c>
      <c r="R7" s="47">
        <v>215155.04276434219</v>
      </c>
      <c r="S7" s="47">
        <v>917092.36076467833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689341.46939886967</v>
      </c>
      <c r="D8" s="1">
        <v>598713.23951789283</v>
      </c>
      <c r="E8" s="1">
        <v>636078.77</v>
      </c>
      <c r="F8" s="1">
        <v>435559.35268567194</v>
      </c>
      <c r="G8" s="1">
        <v>341118.97203914396</v>
      </c>
      <c r="H8" s="1">
        <v>194126.03126147998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2894937.8349030581</v>
      </c>
      <c r="P8" s="47">
        <v>1924133.4789167624</v>
      </c>
      <c r="Q8" s="47">
        <v>970804.35598629585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281164.81573179533</v>
      </c>
      <c r="D9" s="22">
        <v>294177.42024519597</v>
      </c>
      <c r="E9" s="22">
        <v>363971.23968690186</v>
      </c>
      <c r="F9" s="22">
        <v>257017.2460482828</v>
      </c>
      <c r="G9" s="22">
        <v>227600.14553310268</v>
      </c>
      <c r="H9" s="22">
        <v>120672.96515444393</v>
      </c>
      <c r="I9" s="22">
        <v>-65021.871841190557</v>
      </c>
      <c r="J9" s="22">
        <v>-70805.179941296214</v>
      </c>
      <c r="K9" s="22">
        <v>-79327.990981855401</v>
      </c>
      <c r="L9" s="22">
        <v>-182143.95911176447</v>
      </c>
      <c r="M9" s="22">
        <v>-305573.87273896503</v>
      </c>
      <c r="N9" s="22">
        <v>-429374.52891394874</v>
      </c>
      <c r="O9" s="48">
        <v>412356.4288707021</v>
      </c>
      <c r="P9" s="48">
        <v>939313.47566389316</v>
      </c>
      <c r="Q9" s="48">
        <v>605290.35673582938</v>
      </c>
      <c r="R9" s="48">
        <v>-215155.04276434219</v>
      </c>
      <c r="S9" s="48">
        <v>-917092.36076467833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173135.58333333334</v>
      </c>
      <c r="D11" s="1">
        <v>173135.58333333334</v>
      </c>
      <c r="E11" s="1">
        <v>173135.58333333334</v>
      </c>
      <c r="F11" s="1">
        <v>173135.58333333334</v>
      </c>
      <c r="G11" s="1">
        <v>173135.58333333334</v>
      </c>
      <c r="H11" s="1">
        <v>173135.58333333334</v>
      </c>
      <c r="I11" s="1">
        <v>173135.58333333334</v>
      </c>
      <c r="J11" s="1">
        <v>173135.58333333334</v>
      </c>
      <c r="K11" s="1">
        <v>173135.58333333334</v>
      </c>
      <c r="L11" s="1">
        <v>173135.58333333334</v>
      </c>
      <c r="M11" s="1">
        <v>173135.58333333334</v>
      </c>
      <c r="N11" s="1">
        <v>173135.58333333334</v>
      </c>
      <c r="O11" s="47">
        <v>2077626.9999999998</v>
      </c>
      <c r="P11" s="47">
        <v>519406.75</v>
      </c>
      <c r="Q11" s="47">
        <v>519406.75</v>
      </c>
      <c r="R11" s="47">
        <v>519406.75</v>
      </c>
      <c r="S11" s="47">
        <v>519406.75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185494.97</v>
      </c>
      <c r="D12" s="1">
        <v>150025.22</v>
      </c>
      <c r="E12" s="1">
        <v>131237.4</v>
      </c>
      <c r="F12" s="1">
        <v>180388.36000000002</v>
      </c>
      <c r="G12" s="1">
        <v>107600.40000000001</v>
      </c>
      <c r="H12" s="1">
        <v>247389.16999999998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1002135.52</v>
      </c>
      <c r="P12" s="47">
        <v>466757.58999999997</v>
      </c>
      <c r="Q12" s="47">
        <v>535377.92999999993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-12359.386666666658</v>
      </c>
      <c r="D13" s="23">
        <v>23110.363333333342</v>
      </c>
      <c r="E13" s="23">
        <v>41898.183333333349</v>
      </c>
      <c r="F13" s="23">
        <v>-7252.7766666666721</v>
      </c>
      <c r="G13" s="23">
        <v>65535.183333333334</v>
      </c>
      <c r="H13" s="23">
        <v>-74253.586666666641</v>
      </c>
      <c r="I13" s="23">
        <v>173135.58333333334</v>
      </c>
      <c r="J13" s="23">
        <v>173135.58333333334</v>
      </c>
      <c r="K13" s="23">
        <v>173135.58333333334</v>
      </c>
      <c r="L13" s="23">
        <v>173135.58333333334</v>
      </c>
      <c r="M13" s="23">
        <v>173135.58333333334</v>
      </c>
      <c r="N13" s="23">
        <v>173135.58333333334</v>
      </c>
      <c r="O13" s="48">
        <v>1075491.4800000002</v>
      </c>
      <c r="P13" s="49">
        <v>52649.160000000033</v>
      </c>
      <c r="Q13" s="49">
        <v>-15971.179999999935</v>
      </c>
      <c r="R13" s="49">
        <v>519406.75</v>
      </c>
      <c r="S13" s="49">
        <v>519406.75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503846.4993988697</v>
      </c>
      <c r="D15" s="1">
        <v>448688.01951789286</v>
      </c>
      <c r="E15" s="1">
        <v>504841.37</v>
      </c>
      <c r="F15" s="1">
        <v>255170.99268567192</v>
      </c>
      <c r="G15" s="1">
        <v>233518.57203914394</v>
      </c>
      <c r="H15" s="1">
        <v>-53263.138738520007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1892802.3149030581</v>
      </c>
      <c r="P15" s="45">
        <v>1457375.8889167625</v>
      </c>
      <c r="Q15" s="45">
        <v>435426.42598629592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310892.71060113027</v>
      </c>
      <c r="D17" s="59">
        <v>-137795.30891676259</v>
      </c>
      <c r="E17" s="59">
        <v>-642636.67891676258</v>
      </c>
      <c r="F17" s="59">
        <v>-897807.67160243448</v>
      </c>
      <c r="G17" s="59">
        <v>-1131326.2436415784</v>
      </c>
      <c r="H17" s="59">
        <v>-1078063.1049030584</v>
      </c>
      <c r="I17" s="59">
        <v>-1078063.1049030584</v>
      </c>
      <c r="J17" s="59">
        <v>-1078063.1049030584</v>
      </c>
      <c r="K17" s="59">
        <v>-1078063.1049030584</v>
      </c>
      <c r="L17" s="59">
        <v>-1078063.1049030584</v>
      </c>
      <c r="M17" s="59">
        <v>-1078063.1049030584</v>
      </c>
      <c r="N17" s="59">
        <v>-1078063.1049030584</v>
      </c>
      <c r="O17" s="47"/>
      <c r="P17" s="47">
        <v>-642636.67891676258</v>
      </c>
      <c r="Q17" s="47">
        <v>-1078063.1049030586</v>
      </c>
      <c r="R17" s="47">
        <v>-1078063.1049030586</v>
      </c>
      <c r="S17" s="47">
        <v>-1078063.1049030586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>
        <v>-969949.39341091563</v>
      </c>
      <c r="J19" s="3">
        <v>-975732.70151102112</v>
      </c>
      <c r="K19" s="3">
        <v>-984255.51255158044</v>
      </c>
      <c r="L19" s="3">
        <v>-1087071.4806814897</v>
      </c>
      <c r="M19" s="3">
        <v>-1210501.3943086902</v>
      </c>
      <c r="N19" s="3">
        <v>-1466740.3398893056</v>
      </c>
      <c r="O19" s="40"/>
      <c r="P19" s="47"/>
      <c r="Q19" s="40"/>
      <c r="R19" s="40"/>
      <c r="S19" s="40"/>
      <c r="U19" s="47">
        <v>-1466740.3398893056</v>
      </c>
      <c r="V19" s="47">
        <v>-1466740.3398893056</v>
      </c>
      <c r="W19" s="47">
        <v>-1466740.3398893056</v>
      </c>
      <c r="X19" s="47">
        <v>-1466740.3398893056</v>
      </c>
      <c r="Y19" s="47">
        <v>-1466740.3398893056</v>
      </c>
      <c r="Z19" s="47">
        <v>-1466740.3398893056</v>
      </c>
      <c r="AA19" s="47">
        <v>-1466740.3398893056</v>
      </c>
      <c r="AB19" s="47">
        <v>-1466740.3398893056</v>
      </c>
      <c r="AC19" s="47">
        <v>-1466740.3398893056</v>
      </c>
      <c r="AD19" s="47">
        <v>-1466740.3398893056</v>
      </c>
      <c r="AE19" s="47">
        <v>-1466740.3398893056</v>
      </c>
      <c r="AF19" s="47">
        <v>-1466740.3398893056</v>
      </c>
    </row>
    <row r="21" spans="2:32">
      <c r="B21" s="51" t="s">
        <v>26</v>
      </c>
    </row>
    <row r="22" spans="2:32">
      <c r="B22" s="93" t="s">
        <v>99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spans="2:32">
      <c r="B23" s="93" t="s">
        <v>104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</row>
    <row r="24" spans="2:32">
      <c r="B24" s="93" t="s">
        <v>107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2:32">
      <c r="B25" s="93" t="s">
        <v>114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</row>
    <row r="26" spans="2:32">
      <c r="B26" s="93" t="s">
        <v>139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</row>
    <row r="27" spans="2:32">
      <c r="B27" s="93" t="s">
        <v>152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</row>
    <row r="28" spans="2:32" ht="30" customHeight="1">
      <c r="B28" s="93" t="s">
        <v>53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</row>
    <row r="29" spans="2:32">
      <c r="B29" s="93" t="s">
        <v>53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</row>
    <row r="30" spans="2:32">
      <c r="B30" s="93" t="s">
        <v>53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</row>
    <row r="31" spans="2:32">
      <c r="B31" s="93" t="s">
        <v>53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</row>
  </sheetData>
  <mergeCells count="10">
    <mergeCell ref="B31:N31"/>
    <mergeCell ref="B30:N30"/>
    <mergeCell ref="B29:N29"/>
    <mergeCell ref="B28:N28"/>
    <mergeCell ref="B27:N27"/>
    <mergeCell ref="B23:N23"/>
    <mergeCell ref="B25:N25"/>
    <mergeCell ref="B26:N26"/>
    <mergeCell ref="B22:O22"/>
    <mergeCell ref="B24:O24"/>
  </mergeCells>
  <pageMargins left="0" right="0" top="0.75" bottom="0.75" header="0.3" footer="0.3"/>
  <pageSetup scale="70" orientation="landscape" r:id="rId1"/>
  <colBreaks count="1" manualBreakCount="1">
    <brk id="1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5" tint="0.39997558519241921"/>
    <pageSetUpPr fitToPage="1"/>
  </sheetPr>
  <dimension ref="A2:BD86"/>
  <sheetViews>
    <sheetView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A5" sqref="A5"/>
    </sheetView>
  </sheetViews>
  <sheetFormatPr defaultRowHeight="15"/>
  <cols>
    <col min="1" max="1" width="10.28515625" bestFit="1" customWidth="1"/>
    <col min="2" max="2" width="43.28515625" customWidth="1"/>
    <col min="3" max="3" width="9.85546875" style="13" bestFit="1" customWidth="1"/>
    <col min="4" max="4" width="12.140625" style="13" bestFit="1" customWidth="1"/>
    <col min="5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51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807615/12</f>
        <v>67301.25</v>
      </c>
      <c r="D7" s="18">
        <f>C7</f>
        <v>67301.25</v>
      </c>
      <c r="E7" s="18">
        <f t="shared" ref="E7:N7" si="1">D7</f>
        <v>67301.25</v>
      </c>
      <c r="F7" s="18">
        <f t="shared" si="1"/>
        <v>67301.25</v>
      </c>
      <c r="G7" s="18">
        <f t="shared" si="1"/>
        <v>67301.25</v>
      </c>
      <c r="H7" s="18">
        <f t="shared" si="1"/>
        <v>67301.25</v>
      </c>
      <c r="I7" s="18">
        <f t="shared" si="1"/>
        <v>67301.25</v>
      </c>
      <c r="J7" s="18">
        <f t="shared" si="1"/>
        <v>67301.25</v>
      </c>
      <c r="K7" s="18">
        <f t="shared" si="1"/>
        <v>67301.25</v>
      </c>
      <c r="L7" s="18">
        <f t="shared" si="1"/>
        <v>67301.25</v>
      </c>
      <c r="M7" s="18">
        <f t="shared" si="1"/>
        <v>67301.25</v>
      </c>
      <c r="N7" s="18">
        <f t="shared" si="1"/>
        <v>67301.25</v>
      </c>
      <c r="O7" s="58">
        <f t="shared" ref="O7:O13" si="2">SUM(C7:N7)</f>
        <v>807615</v>
      </c>
    </row>
    <row r="8" spans="1:28">
      <c r="B8" s="5" t="s">
        <v>32</v>
      </c>
      <c r="C8" s="18">
        <f>759318/12</f>
        <v>63276.5</v>
      </c>
      <c r="D8" s="18">
        <f>C8</f>
        <v>63276.5</v>
      </c>
      <c r="E8" s="18">
        <f t="shared" ref="E8:N8" si="3">D8</f>
        <v>63276.5</v>
      </c>
      <c r="F8" s="18">
        <f t="shared" si="3"/>
        <v>63276.5</v>
      </c>
      <c r="G8" s="18">
        <f t="shared" si="3"/>
        <v>63276.5</v>
      </c>
      <c r="H8" s="18">
        <f t="shared" si="3"/>
        <v>63276.5</v>
      </c>
      <c r="I8" s="18">
        <f t="shared" si="3"/>
        <v>63276.5</v>
      </c>
      <c r="J8" s="18">
        <f t="shared" si="3"/>
        <v>63276.5</v>
      </c>
      <c r="K8" s="18">
        <f t="shared" si="3"/>
        <v>63276.5</v>
      </c>
      <c r="L8" s="18">
        <f t="shared" si="3"/>
        <v>63276.5</v>
      </c>
      <c r="M8" s="18">
        <f t="shared" si="3"/>
        <v>63276.5</v>
      </c>
      <c r="N8" s="18">
        <f t="shared" si="3"/>
        <v>63276.5</v>
      </c>
      <c r="O8" s="52">
        <f t="shared" si="2"/>
        <v>759318</v>
      </c>
    </row>
    <row r="9" spans="1:28">
      <c r="B9" s="5" t="s">
        <v>76</v>
      </c>
      <c r="C9" s="18">
        <f>253411/12</f>
        <v>21117.583333333332</v>
      </c>
      <c r="D9" s="18">
        <f>C9</f>
        <v>21117.583333333332</v>
      </c>
      <c r="E9" s="18">
        <f t="shared" ref="E9:N9" si="4">D9</f>
        <v>21117.583333333332</v>
      </c>
      <c r="F9" s="18">
        <f t="shared" si="4"/>
        <v>21117.583333333332</v>
      </c>
      <c r="G9" s="18">
        <f t="shared" si="4"/>
        <v>21117.583333333332</v>
      </c>
      <c r="H9" s="18">
        <f t="shared" si="4"/>
        <v>21117.583333333332</v>
      </c>
      <c r="I9" s="18">
        <f t="shared" si="4"/>
        <v>21117.583333333332</v>
      </c>
      <c r="J9" s="18">
        <f t="shared" si="4"/>
        <v>21117.583333333332</v>
      </c>
      <c r="K9" s="18">
        <f t="shared" si="4"/>
        <v>21117.583333333332</v>
      </c>
      <c r="L9" s="18">
        <f t="shared" si="4"/>
        <v>21117.583333333332</v>
      </c>
      <c r="M9" s="18">
        <f t="shared" si="4"/>
        <v>21117.583333333332</v>
      </c>
      <c r="N9" s="18">
        <f t="shared" si="4"/>
        <v>21117.583333333332</v>
      </c>
      <c r="O9" s="52">
        <f t="shared" si="2"/>
        <v>253411.00000000003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151695.33333333334</v>
      </c>
      <c r="D14" s="19">
        <f t="shared" ref="D14:N14" si="5">SUM(D7:D13)</f>
        <v>151695.33333333334</v>
      </c>
      <c r="E14" s="19">
        <f t="shared" si="5"/>
        <v>151695.33333333334</v>
      </c>
      <c r="F14" s="19">
        <f t="shared" si="5"/>
        <v>151695.33333333334</v>
      </c>
      <c r="G14" s="19">
        <f t="shared" si="5"/>
        <v>151695.33333333334</v>
      </c>
      <c r="H14" s="19">
        <f t="shared" si="5"/>
        <v>151695.33333333334</v>
      </c>
      <c r="I14" s="19">
        <f t="shared" si="5"/>
        <v>151695.33333333334</v>
      </c>
      <c r="J14" s="19">
        <f t="shared" si="5"/>
        <v>151695.33333333334</v>
      </c>
      <c r="K14" s="19">
        <f t="shared" si="5"/>
        <v>151695.33333333334</v>
      </c>
      <c r="L14" s="19">
        <f t="shared" si="5"/>
        <v>151695.33333333334</v>
      </c>
      <c r="M14" s="19">
        <f t="shared" si="5"/>
        <v>151695.33333333334</v>
      </c>
      <c r="N14" s="19">
        <f t="shared" si="5"/>
        <v>151695.33333333334</v>
      </c>
      <c r="O14" s="53">
        <f>SUM(O7:O13)</f>
        <v>1820344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16">
      <c r="B17" s="5" t="s">
        <v>31</v>
      </c>
      <c r="C17" s="20">
        <f>(10408+42029)/12</f>
        <v>4369.75</v>
      </c>
      <c r="D17" s="18">
        <f t="shared" ref="D17:N24" si="6">C17</f>
        <v>4369.75</v>
      </c>
      <c r="E17" s="18">
        <f t="shared" si="6"/>
        <v>4369.75</v>
      </c>
      <c r="F17" s="18">
        <f t="shared" si="6"/>
        <v>4369.75</v>
      </c>
      <c r="G17" s="18">
        <f t="shared" si="6"/>
        <v>4369.75</v>
      </c>
      <c r="H17" s="18">
        <f t="shared" si="6"/>
        <v>4369.75</v>
      </c>
      <c r="I17" s="18">
        <f t="shared" si="6"/>
        <v>4369.75</v>
      </c>
      <c r="J17" s="18">
        <f t="shared" si="6"/>
        <v>4369.75</v>
      </c>
      <c r="K17" s="18">
        <f t="shared" si="6"/>
        <v>4369.75</v>
      </c>
      <c r="L17" s="18">
        <f t="shared" si="6"/>
        <v>4369.75</v>
      </c>
      <c r="M17" s="18">
        <f t="shared" si="6"/>
        <v>4369.75</v>
      </c>
      <c r="N17" s="18">
        <f t="shared" si="6"/>
        <v>4369.75</v>
      </c>
      <c r="O17" s="58">
        <f t="shared" ref="O17:O24" si="7">SUM(C17:N17)</f>
        <v>52437</v>
      </c>
    </row>
    <row r="18" spans="1:16">
      <c r="B18" s="5" t="s">
        <v>32</v>
      </c>
      <c r="C18" s="18">
        <f>(0+2576)/12</f>
        <v>214.66666666666666</v>
      </c>
      <c r="D18" s="18">
        <f t="shared" si="6"/>
        <v>214.66666666666666</v>
      </c>
      <c r="E18" s="18">
        <f t="shared" si="6"/>
        <v>214.66666666666666</v>
      </c>
      <c r="F18" s="18">
        <f t="shared" si="6"/>
        <v>214.66666666666666</v>
      </c>
      <c r="G18" s="18">
        <f t="shared" si="6"/>
        <v>214.66666666666666</v>
      </c>
      <c r="H18" s="18">
        <f t="shared" si="6"/>
        <v>214.66666666666666</v>
      </c>
      <c r="I18" s="18">
        <f t="shared" si="6"/>
        <v>214.66666666666666</v>
      </c>
      <c r="J18" s="18">
        <f t="shared" si="6"/>
        <v>214.66666666666666</v>
      </c>
      <c r="K18" s="18">
        <f t="shared" si="6"/>
        <v>214.66666666666666</v>
      </c>
      <c r="L18" s="18">
        <f t="shared" si="6"/>
        <v>214.66666666666666</v>
      </c>
      <c r="M18" s="18">
        <f t="shared" si="6"/>
        <v>214.66666666666666</v>
      </c>
      <c r="N18" s="18">
        <f t="shared" si="6"/>
        <v>214.66666666666666</v>
      </c>
      <c r="O18" s="52">
        <f t="shared" si="7"/>
        <v>2576</v>
      </c>
    </row>
    <row r="19" spans="1:16">
      <c r="B19" s="5" t="s">
        <v>76</v>
      </c>
      <c r="C19" s="18">
        <f>38012/12</f>
        <v>3167.6666666666665</v>
      </c>
      <c r="D19" s="18">
        <f t="shared" si="6"/>
        <v>3167.6666666666665</v>
      </c>
      <c r="E19" s="18">
        <f t="shared" si="6"/>
        <v>3167.6666666666665</v>
      </c>
      <c r="F19" s="18">
        <f t="shared" si="6"/>
        <v>3167.6666666666665</v>
      </c>
      <c r="G19" s="18">
        <f t="shared" si="6"/>
        <v>3167.6666666666665</v>
      </c>
      <c r="H19" s="18">
        <f t="shared" si="6"/>
        <v>3167.6666666666665</v>
      </c>
      <c r="I19" s="18">
        <f t="shared" si="6"/>
        <v>3167.6666666666665</v>
      </c>
      <c r="J19" s="18">
        <f t="shared" si="6"/>
        <v>3167.6666666666665</v>
      </c>
      <c r="K19" s="18">
        <f t="shared" si="6"/>
        <v>3167.6666666666665</v>
      </c>
      <c r="L19" s="18">
        <f t="shared" si="6"/>
        <v>3167.6666666666665</v>
      </c>
      <c r="M19" s="18">
        <f t="shared" si="6"/>
        <v>3167.6666666666665</v>
      </c>
      <c r="N19" s="18">
        <f t="shared" si="6"/>
        <v>3167.6666666666665</v>
      </c>
      <c r="O19" s="52">
        <f t="shared" si="7"/>
        <v>38012</v>
      </c>
    </row>
    <row r="20" spans="1:16" hidden="1">
      <c r="B20" s="5" t="s">
        <v>33</v>
      </c>
      <c r="C20" s="18">
        <v>0</v>
      </c>
      <c r="D20" s="18">
        <f t="shared" si="6"/>
        <v>0</v>
      </c>
      <c r="E20" s="18">
        <f t="shared" si="6"/>
        <v>0</v>
      </c>
      <c r="F20" s="18">
        <f t="shared" si="6"/>
        <v>0</v>
      </c>
      <c r="G20" s="18">
        <f t="shared" si="6"/>
        <v>0</v>
      </c>
      <c r="H20" s="18">
        <f t="shared" si="6"/>
        <v>0</v>
      </c>
      <c r="I20" s="18">
        <f t="shared" si="6"/>
        <v>0</v>
      </c>
      <c r="J20" s="18">
        <f t="shared" si="6"/>
        <v>0</v>
      </c>
      <c r="K20" s="18">
        <f t="shared" si="6"/>
        <v>0</v>
      </c>
      <c r="L20" s="18">
        <f t="shared" si="6"/>
        <v>0</v>
      </c>
      <c r="M20" s="18">
        <f t="shared" si="6"/>
        <v>0</v>
      </c>
      <c r="N20" s="18">
        <f t="shared" si="6"/>
        <v>0</v>
      </c>
      <c r="O20" s="52">
        <f t="shared" si="7"/>
        <v>0</v>
      </c>
    </row>
    <row r="21" spans="1:16" hidden="1">
      <c r="B21" s="5" t="s">
        <v>34</v>
      </c>
      <c r="C21" s="18">
        <v>0</v>
      </c>
      <c r="D21" s="18">
        <f t="shared" si="6"/>
        <v>0</v>
      </c>
      <c r="E21" s="18">
        <f t="shared" si="6"/>
        <v>0</v>
      </c>
      <c r="F21" s="18">
        <f t="shared" si="6"/>
        <v>0</v>
      </c>
      <c r="G21" s="18">
        <f t="shared" si="6"/>
        <v>0</v>
      </c>
      <c r="H21" s="18">
        <f t="shared" si="6"/>
        <v>0</v>
      </c>
      <c r="I21" s="18">
        <f t="shared" si="6"/>
        <v>0</v>
      </c>
      <c r="J21" s="18">
        <f t="shared" si="6"/>
        <v>0</v>
      </c>
      <c r="K21" s="18">
        <f t="shared" si="6"/>
        <v>0</v>
      </c>
      <c r="L21" s="18">
        <f t="shared" si="6"/>
        <v>0</v>
      </c>
      <c r="M21" s="18">
        <f t="shared" si="6"/>
        <v>0</v>
      </c>
      <c r="N21" s="18">
        <f t="shared" si="6"/>
        <v>0</v>
      </c>
      <c r="O21" s="52">
        <f t="shared" si="7"/>
        <v>0</v>
      </c>
    </row>
    <row r="22" spans="1:16">
      <c r="B22" s="5" t="s">
        <v>35</v>
      </c>
      <c r="C22" s="18"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  <c r="H22" s="18">
        <f t="shared" si="6"/>
        <v>0</v>
      </c>
      <c r="I22" s="18">
        <f t="shared" si="6"/>
        <v>0</v>
      </c>
      <c r="J22" s="18">
        <f t="shared" si="6"/>
        <v>0</v>
      </c>
      <c r="K22" s="18">
        <f t="shared" si="6"/>
        <v>0</v>
      </c>
      <c r="L22" s="18">
        <f t="shared" si="6"/>
        <v>0</v>
      </c>
      <c r="M22" s="18">
        <f t="shared" si="6"/>
        <v>0</v>
      </c>
      <c r="N22" s="18">
        <f t="shared" si="6"/>
        <v>0</v>
      </c>
      <c r="O22" s="52">
        <f t="shared" si="7"/>
        <v>0</v>
      </c>
    </row>
    <row r="23" spans="1:16">
      <c r="B23" s="5" t="s">
        <v>78</v>
      </c>
      <c r="C23" s="18">
        <f>(49300+10290)/12</f>
        <v>4965.833333333333</v>
      </c>
      <c r="D23" s="18">
        <f t="shared" si="6"/>
        <v>4965.833333333333</v>
      </c>
      <c r="E23" s="18">
        <f t="shared" si="6"/>
        <v>4965.833333333333</v>
      </c>
      <c r="F23" s="18">
        <f t="shared" si="6"/>
        <v>4965.833333333333</v>
      </c>
      <c r="G23" s="18">
        <f t="shared" si="6"/>
        <v>4965.833333333333</v>
      </c>
      <c r="H23" s="18">
        <f t="shared" si="6"/>
        <v>4965.833333333333</v>
      </c>
      <c r="I23" s="18">
        <f t="shared" si="6"/>
        <v>4965.833333333333</v>
      </c>
      <c r="J23" s="18">
        <f t="shared" si="6"/>
        <v>4965.833333333333</v>
      </c>
      <c r="K23" s="18">
        <f t="shared" si="6"/>
        <v>4965.833333333333</v>
      </c>
      <c r="L23" s="18">
        <f t="shared" si="6"/>
        <v>4965.833333333333</v>
      </c>
      <c r="M23" s="18">
        <f t="shared" si="6"/>
        <v>4965.833333333333</v>
      </c>
      <c r="N23" s="18">
        <f t="shared" si="6"/>
        <v>4965.833333333333</v>
      </c>
      <c r="O23" s="52">
        <f t="shared" ref="O23" si="8">SUM(C23:N23)</f>
        <v>59590.000000000007</v>
      </c>
    </row>
    <row r="24" spans="1:16">
      <c r="B24" s="5" t="s">
        <v>36</v>
      </c>
      <c r="C24" s="18">
        <f>(66080+148788)/12</f>
        <v>17905.666666666668</v>
      </c>
      <c r="D24" s="18">
        <f t="shared" si="6"/>
        <v>17905.666666666668</v>
      </c>
      <c r="E24" s="18">
        <f t="shared" si="6"/>
        <v>17905.666666666668</v>
      </c>
      <c r="F24" s="18">
        <f t="shared" si="6"/>
        <v>17905.666666666668</v>
      </c>
      <c r="G24" s="18">
        <f t="shared" si="6"/>
        <v>17905.666666666668</v>
      </c>
      <c r="H24" s="18">
        <f t="shared" si="6"/>
        <v>17905.666666666668</v>
      </c>
      <c r="I24" s="18">
        <f t="shared" si="6"/>
        <v>17905.666666666668</v>
      </c>
      <c r="J24" s="18">
        <f t="shared" si="6"/>
        <v>17905.666666666668</v>
      </c>
      <c r="K24" s="18">
        <f t="shared" si="6"/>
        <v>17905.666666666668</v>
      </c>
      <c r="L24" s="18">
        <f t="shared" si="6"/>
        <v>17905.666666666668</v>
      </c>
      <c r="M24" s="18">
        <f t="shared" si="6"/>
        <v>17905.666666666668</v>
      </c>
      <c r="N24" s="18">
        <f t="shared" si="6"/>
        <v>17905.666666666668</v>
      </c>
      <c r="O24" s="52">
        <f t="shared" si="7"/>
        <v>214867.99999999997</v>
      </c>
    </row>
    <row r="25" spans="1:16">
      <c r="A25" t="s">
        <v>21</v>
      </c>
      <c r="B25" s="9" t="s">
        <v>116</v>
      </c>
      <c r="C25" s="19">
        <f t="shared" ref="C25:N25" si="9">SUM(C17:C24)</f>
        <v>30623.583333333336</v>
      </c>
      <c r="D25" s="19">
        <f t="shared" si="9"/>
        <v>30623.583333333336</v>
      </c>
      <c r="E25" s="19">
        <f t="shared" si="9"/>
        <v>30623.583333333336</v>
      </c>
      <c r="F25" s="19">
        <f t="shared" si="9"/>
        <v>30623.583333333336</v>
      </c>
      <c r="G25" s="19">
        <f t="shared" si="9"/>
        <v>30623.583333333336</v>
      </c>
      <c r="H25" s="19">
        <f t="shared" si="9"/>
        <v>30623.583333333336</v>
      </c>
      <c r="I25" s="19">
        <f t="shared" si="9"/>
        <v>30623.583333333336</v>
      </c>
      <c r="J25" s="19">
        <f t="shared" si="9"/>
        <v>30623.583333333336</v>
      </c>
      <c r="K25" s="19">
        <f t="shared" si="9"/>
        <v>30623.583333333336</v>
      </c>
      <c r="L25" s="19">
        <f t="shared" si="9"/>
        <v>30623.583333333336</v>
      </c>
      <c r="M25" s="19">
        <f t="shared" si="9"/>
        <v>30623.583333333336</v>
      </c>
      <c r="N25" s="19">
        <f t="shared" si="9"/>
        <v>30623.583333333336</v>
      </c>
      <c r="O25" s="53">
        <f>SUM(O17:O24)</f>
        <v>367483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16" ht="15.75" thickBot="1">
      <c r="A27" t="s">
        <v>117</v>
      </c>
      <c r="B27" s="9" t="s">
        <v>143</v>
      </c>
      <c r="C27" s="21">
        <f>C25+C14</f>
        <v>182318.91666666669</v>
      </c>
      <c r="D27" s="21">
        <f t="shared" ref="D27:O27" si="10">D25+D14</f>
        <v>182318.91666666669</v>
      </c>
      <c r="E27" s="21">
        <f t="shared" si="10"/>
        <v>182318.91666666669</v>
      </c>
      <c r="F27" s="21">
        <f t="shared" si="10"/>
        <v>182318.91666666669</v>
      </c>
      <c r="G27" s="21">
        <f t="shared" si="10"/>
        <v>182318.91666666669</v>
      </c>
      <c r="H27" s="21">
        <f t="shared" si="10"/>
        <v>182318.91666666669</v>
      </c>
      <c r="I27" s="21">
        <f t="shared" si="10"/>
        <v>182318.91666666669</v>
      </c>
      <c r="J27" s="21">
        <f t="shared" si="10"/>
        <v>182318.91666666669</v>
      </c>
      <c r="K27" s="21">
        <f t="shared" si="10"/>
        <v>182318.91666666669</v>
      </c>
      <c r="L27" s="21">
        <f t="shared" si="10"/>
        <v>182318.91666666669</v>
      </c>
      <c r="M27" s="21">
        <f t="shared" si="10"/>
        <v>182318.91666666669</v>
      </c>
      <c r="N27" s="21">
        <f t="shared" si="10"/>
        <v>182318.91666666669</v>
      </c>
      <c r="O27" s="21">
        <f t="shared" si="10"/>
        <v>2187827</v>
      </c>
    </row>
    <row r="28" spans="1:16" ht="15.75" thickTop="1">
      <c r="B28" s="9"/>
      <c r="O28" s="54"/>
    </row>
    <row r="29" spans="1:16">
      <c r="B29" s="10" t="s">
        <v>59</v>
      </c>
      <c r="O29" s="54"/>
    </row>
    <row r="30" spans="1:16">
      <c r="B30" s="6" t="s">
        <v>31</v>
      </c>
      <c r="C30" s="20">
        <v>9097</v>
      </c>
      <c r="D30" s="18">
        <v>12489.75</v>
      </c>
      <c r="E30" s="18">
        <v>22284.2</v>
      </c>
      <c r="F30" s="18">
        <v>56405.270000000004</v>
      </c>
      <c r="G30" s="18">
        <v>5917.85</v>
      </c>
      <c r="H30" s="18">
        <v>29179.25</v>
      </c>
      <c r="I30" s="18"/>
      <c r="J30" s="18"/>
      <c r="K30" s="18"/>
      <c r="L30" s="18"/>
      <c r="M30" s="18"/>
      <c r="N30" s="18"/>
      <c r="O30" s="52">
        <f t="shared" ref="O30:O32" si="11">SUM(C30:N30)</f>
        <v>135373.32</v>
      </c>
      <c r="P30" s="16">
        <f t="shared" ref="P30:P36" si="12">SUM(D30:O30)</f>
        <v>261649.64</v>
      </c>
    </row>
    <row r="31" spans="1:16">
      <c r="B31" s="6" t="s">
        <v>32</v>
      </c>
      <c r="C31" s="18">
        <v>139519.85</v>
      </c>
      <c r="D31" s="18">
        <v>100484.22</v>
      </c>
      <c r="E31" s="18">
        <v>55505.47</v>
      </c>
      <c r="F31" s="18">
        <v>44788.75</v>
      </c>
      <c r="G31" s="18">
        <v>60919.56</v>
      </c>
      <c r="H31" s="18">
        <v>57109.96</v>
      </c>
      <c r="I31" s="18"/>
      <c r="J31" s="18"/>
      <c r="K31" s="18"/>
      <c r="L31" s="18"/>
      <c r="M31" s="18"/>
      <c r="N31" s="18"/>
      <c r="O31" s="52">
        <f t="shared" si="11"/>
        <v>458327.81000000006</v>
      </c>
      <c r="P31" s="16">
        <f t="shared" si="12"/>
        <v>777135.77</v>
      </c>
    </row>
    <row r="32" spans="1:16">
      <c r="B32" s="6" t="s">
        <v>76</v>
      </c>
      <c r="C32" s="18"/>
      <c r="D32" s="18"/>
      <c r="E32" s="18"/>
      <c r="F32" s="18">
        <v>27245.22</v>
      </c>
      <c r="G32" s="18"/>
      <c r="H32" s="18">
        <v>105245.62</v>
      </c>
      <c r="I32" s="18"/>
      <c r="J32" s="18"/>
      <c r="K32" s="18"/>
      <c r="L32" s="18"/>
      <c r="M32" s="18"/>
      <c r="N32" s="18"/>
      <c r="O32" s="52">
        <f t="shared" si="11"/>
        <v>132490.84</v>
      </c>
      <c r="P32" s="16">
        <f t="shared" si="12"/>
        <v>264981.68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56"/>
      <c r="P33" s="16">
        <f t="shared" si="12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56"/>
      <c r="P34" s="16">
        <f t="shared" si="12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56"/>
      <c r="P35" s="16">
        <f t="shared" si="12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56"/>
      <c r="P36" s="16">
        <f t="shared" si="12"/>
        <v>0</v>
      </c>
    </row>
    <row r="37" spans="1:16">
      <c r="A37" t="s">
        <v>20</v>
      </c>
      <c r="B37" s="10" t="s">
        <v>38</v>
      </c>
      <c r="C37" s="19">
        <f>SUM(C30:C36)</f>
        <v>148616.85</v>
      </c>
      <c r="D37" s="19">
        <f t="shared" ref="D37:O37" si="13">SUM(D30:D36)</f>
        <v>112973.97</v>
      </c>
      <c r="E37" s="19">
        <f t="shared" si="13"/>
        <v>77789.67</v>
      </c>
      <c r="F37" s="19">
        <f t="shared" si="13"/>
        <v>128439.24</v>
      </c>
      <c r="G37" s="19">
        <f t="shared" si="13"/>
        <v>66837.41</v>
      </c>
      <c r="H37" s="19">
        <f t="shared" si="13"/>
        <v>191534.83</v>
      </c>
      <c r="I37" s="19">
        <f t="shared" si="13"/>
        <v>0</v>
      </c>
      <c r="J37" s="19">
        <f t="shared" si="13"/>
        <v>0</v>
      </c>
      <c r="K37" s="19">
        <f>SUM(K30:K36)</f>
        <v>0</v>
      </c>
      <c r="L37" s="19">
        <f t="shared" si="13"/>
        <v>0</v>
      </c>
      <c r="M37" s="19">
        <f t="shared" si="13"/>
        <v>0</v>
      </c>
      <c r="N37" s="19">
        <f t="shared" si="13"/>
        <v>0</v>
      </c>
      <c r="O37" s="53">
        <f t="shared" si="13"/>
        <v>726191.97000000009</v>
      </c>
      <c r="P37" s="19">
        <f>SUM(P30:P36)</f>
        <v>1303767.0900000001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</row>
    <row r="40" spans="1:16">
      <c r="B40" s="6" t="s">
        <v>31</v>
      </c>
      <c r="C40" s="20">
        <f>1799.58+2135.78</f>
        <v>3935.36</v>
      </c>
      <c r="D40" s="18">
        <f>2747.98+4030.99</f>
        <v>6778.9699999999993</v>
      </c>
      <c r="E40" s="18">
        <f>2067.19+2822.38</f>
        <v>4889.57</v>
      </c>
      <c r="F40" s="18">
        <f>2316.39+2165.33</f>
        <v>4481.7199999999993</v>
      </c>
      <c r="G40" s="18">
        <v>4162.29</v>
      </c>
      <c r="H40" s="18">
        <v>3875.0099999999998</v>
      </c>
      <c r="I40" s="18"/>
      <c r="J40" s="18"/>
      <c r="K40" s="18"/>
      <c r="L40" s="18"/>
      <c r="M40" s="18"/>
      <c r="N40" s="18"/>
      <c r="O40" s="52">
        <f t="shared" ref="O40:O47" si="14">SUM(C40:N40)</f>
        <v>28122.92</v>
      </c>
      <c r="P40" s="16">
        <f t="shared" ref="P40:P47" si="15">SUM(D40:O40)</f>
        <v>52310.479999999996</v>
      </c>
    </row>
    <row r="41" spans="1:16">
      <c r="B41" s="6" t="s">
        <v>32</v>
      </c>
      <c r="C41" s="18">
        <v>266.13</v>
      </c>
      <c r="D41" s="18">
        <v>612.07000000000005</v>
      </c>
      <c r="E41" s="18">
        <v>7789.29</v>
      </c>
      <c r="F41" s="18">
        <v>4617.8900000000003</v>
      </c>
      <c r="G41" s="18">
        <v>4470.0200000000004</v>
      </c>
      <c r="H41" s="18">
        <v>3710.79</v>
      </c>
      <c r="I41" s="18"/>
      <c r="J41" s="18"/>
      <c r="K41" s="18"/>
      <c r="L41" s="18"/>
      <c r="M41" s="18"/>
      <c r="N41" s="18"/>
      <c r="O41" s="52">
        <f t="shared" si="14"/>
        <v>21466.190000000002</v>
      </c>
      <c r="P41" s="16">
        <f t="shared" si="15"/>
        <v>42666.25</v>
      </c>
    </row>
    <row r="42" spans="1:16">
      <c r="B42" s="6" t="s">
        <v>76</v>
      </c>
      <c r="C42" s="18">
        <v>605.61</v>
      </c>
      <c r="D42" s="18">
        <v>4.79</v>
      </c>
      <c r="E42" s="18">
        <v>300.04000000000002</v>
      </c>
      <c r="F42" s="18">
        <v>2227.83</v>
      </c>
      <c r="G42" s="18">
        <v>3184.98</v>
      </c>
      <c r="H42" s="18">
        <v>1337.6799999999998</v>
      </c>
      <c r="I42" s="18"/>
      <c r="J42" s="18"/>
      <c r="K42" s="18"/>
      <c r="L42" s="18"/>
      <c r="M42" s="18"/>
      <c r="N42" s="18"/>
      <c r="O42" s="52">
        <f t="shared" si="14"/>
        <v>7660.93</v>
      </c>
      <c r="P42" s="16">
        <f t="shared" si="15"/>
        <v>14716.25</v>
      </c>
    </row>
    <row r="43" spans="1:16" hidden="1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4"/>
        <v>0</v>
      </c>
      <c r="P43" s="16">
        <f t="shared" si="15"/>
        <v>0</v>
      </c>
    </row>
    <row r="44" spans="1:16" hidden="1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4"/>
        <v>0</v>
      </c>
      <c r="P44" s="16">
        <f t="shared" si="15"/>
        <v>0</v>
      </c>
    </row>
    <row r="45" spans="1:16">
      <c r="B45" s="6" t="s">
        <v>35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4"/>
        <v>0</v>
      </c>
      <c r="P45" s="16">
        <f t="shared" si="15"/>
        <v>0</v>
      </c>
    </row>
    <row r="46" spans="1:16">
      <c r="B46" s="6" t="s">
        <v>78</v>
      </c>
      <c r="C46" s="18">
        <v>9557.5400000000009</v>
      </c>
      <c r="D46" s="18">
        <v>4083.2300000000005</v>
      </c>
      <c r="E46" s="18">
        <v>10195.51</v>
      </c>
      <c r="F46" s="18">
        <v>6218.14</v>
      </c>
      <c r="G46" s="18">
        <v>1501.74</v>
      </c>
      <c r="H46" s="18">
        <v>22153.699999999997</v>
      </c>
      <c r="I46" s="18"/>
      <c r="J46" s="18"/>
      <c r="K46" s="18"/>
      <c r="L46" s="18"/>
      <c r="M46" s="18"/>
      <c r="N46" s="18"/>
      <c r="O46" s="52">
        <f t="shared" si="14"/>
        <v>53709.86</v>
      </c>
      <c r="P46" s="16"/>
    </row>
    <row r="47" spans="1:16">
      <c r="B47" s="6" t="s">
        <v>36</v>
      </c>
      <c r="C47" s="18">
        <v>22513.48</v>
      </c>
      <c r="D47" s="18">
        <v>25572.19</v>
      </c>
      <c r="E47" s="18">
        <v>30273.32</v>
      </c>
      <c r="F47" s="18">
        <v>34403.54</v>
      </c>
      <c r="G47" s="18">
        <v>27443.960000000003</v>
      </c>
      <c r="H47" s="18">
        <v>24777.16</v>
      </c>
      <c r="I47" s="18"/>
      <c r="J47" s="18"/>
      <c r="K47" s="18"/>
      <c r="L47" s="18"/>
      <c r="M47" s="18"/>
      <c r="N47" s="18"/>
      <c r="O47" s="52">
        <f t="shared" si="14"/>
        <v>164983.65</v>
      </c>
      <c r="P47" s="16">
        <f t="shared" si="15"/>
        <v>307453.81999999995</v>
      </c>
    </row>
    <row r="48" spans="1:16">
      <c r="A48" t="s">
        <v>24</v>
      </c>
      <c r="B48" s="10" t="s">
        <v>120</v>
      </c>
      <c r="C48" s="19">
        <f t="shared" ref="C48:O48" si="16">SUM(C40:C47)</f>
        <v>36878.119999999995</v>
      </c>
      <c r="D48" s="19">
        <f t="shared" si="16"/>
        <v>37051.25</v>
      </c>
      <c r="E48" s="19">
        <f t="shared" si="16"/>
        <v>53447.73</v>
      </c>
      <c r="F48" s="19">
        <f t="shared" si="16"/>
        <v>51949.120000000003</v>
      </c>
      <c r="G48" s="19">
        <f t="shared" si="16"/>
        <v>40762.990000000005</v>
      </c>
      <c r="H48" s="19">
        <f t="shared" si="16"/>
        <v>55854.34</v>
      </c>
      <c r="I48" s="19">
        <f t="shared" si="16"/>
        <v>0</v>
      </c>
      <c r="J48" s="19">
        <f t="shared" si="16"/>
        <v>0</v>
      </c>
      <c r="K48" s="19">
        <f t="shared" si="16"/>
        <v>0</v>
      </c>
      <c r="L48" s="19">
        <f t="shared" si="16"/>
        <v>0</v>
      </c>
      <c r="M48" s="19">
        <f t="shared" si="16"/>
        <v>0</v>
      </c>
      <c r="N48" s="19">
        <f t="shared" si="16"/>
        <v>0</v>
      </c>
      <c r="O48" s="53">
        <f t="shared" si="16"/>
        <v>275943.55</v>
      </c>
      <c r="P48" s="19">
        <f>SUM(P40:P47)</f>
        <v>417146.79999999993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</row>
    <row r="50" spans="1:16" ht="15.75" thickBot="1">
      <c r="A50" t="s">
        <v>118</v>
      </c>
      <c r="B50" s="10" t="s">
        <v>144</v>
      </c>
      <c r="C50" s="21">
        <f>C48+C37</f>
        <v>185494.97</v>
      </c>
      <c r="D50" s="21">
        <f t="shared" ref="D50:O50" si="17">D48+D37</f>
        <v>150025.22</v>
      </c>
      <c r="E50" s="21">
        <f t="shared" si="17"/>
        <v>131237.4</v>
      </c>
      <c r="F50" s="21">
        <f t="shared" si="17"/>
        <v>180388.36000000002</v>
      </c>
      <c r="G50" s="21">
        <f t="shared" si="17"/>
        <v>107600.40000000001</v>
      </c>
      <c r="H50" s="21">
        <f t="shared" si="17"/>
        <v>247389.16999999998</v>
      </c>
      <c r="I50" s="21">
        <f t="shared" si="17"/>
        <v>0</v>
      </c>
      <c r="J50" s="21">
        <f t="shared" si="17"/>
        <v>0</v>
      </c>
      <c r="K50" s="21">
        <f t="shared" si="17"/>
        <v>0</v>
      </c>
      <c r="L50" s="21">
        <f t="shared" si="17"/>
        <v>0</v>
      </c>
      <c r="M50" s="21">
        <f t="shared" si="17"/>
        <v>0</v>
      </c>
      <c r="N50" s="21">
        <f t="shared" si="17"/>
        <v>0</v>
      </c>
      <c r="O50" s="21">
        <f t="shared" si="17"/>
        <v>1002135.52</v>
      </c>
      <c r="P50" s="21" t="e">
        <f>#REF!+P48+P37</f>
        <v>#REF!</v>
      </c>
    </row>
    <row r="51" spans="1:16" ht="15.75" thickTop="1">
      <c r="B51" s="9"/>
      <c r="O51" s="54"/>
    </row>
    <row r="52" spans="1:16">
      <c r="B52" s="11" t="s">
        <v>39</v>
      </c>
      <c r="O52" s="54"/>
    </row>
    <row r="53" spans="1:16">
      <c r="B53" s="11" t="s">
        <v>60</v>
      </c>
      <c r="O53" s="54"/>
    </row>
    <row r="54" spans="1:16">
      <c r="B54" s="12" t="s">
        <v>31</v>
      </c>
      <c r="C54" s="20">
        <f t="shared" ref="C54:N54" si="18">C7-C30</f>
        <v>58204.25</v>
      </c>
      <c r="D54" s="20">
        <f t="shared" si="18"/>
        <v>54811.5</v>
      </c>
      <c r="E54" s="20">
        <f t="shared" si="18"/>
        <v>45017.05</v>
      </c>
      <c r="F54" s="20">
        <f t="shared" si="18"/>
        <v>10895.979999999996</v>
      </c>
      <c r="G54" s="20">
        <f t="shared" si="18"/>
        <v>61383.4</v>
      </c>
      <c r="H54" s="20">
        <f t="shared" si="18"/>
        <v>38122</v>
      </c>
      <c r="I54" s="20">
        <f t="shared" si="18"/>
        <v>67301.25</v>
      </c>
      <c r="J54" s="20">
        <f t="shared" si="18"/>
        <v>67301.25</v>
      </c>
      <c r="K54" s="20">
        <f t="shared" si="18"/>
        <v>67301.25</v>
      </c>
      <c r="L54" s="20">
        <f t="shared" si="18"/>
        <v>67301.25</v>
      </c>
      <c r="M54" s="20">
        <f t="shared" si="18"/>
        <v>67301.25</v>
      </c>
      <c r="N54" s="20">
        <f t="shared" si="18"/>
        <v>67301.25</v>
      </c>
      <c r="O54" s="52">
        <f t="shared" ref="O54:O60" si="19">SUM(C54:N54)</f>
        <v>672241.67999999993</v>
      </c>
    </row>
    <row r="55" spans="1:16">
      <c r="B55" s="12" t="s">
        <v>32</v>
      </c>
      <c r="C55" s="20">
        <f t="shared" ref="C55:N55" si="20">C8-C31</f>
        <v>-76243.350000000006</v>
      </c>
      <c r="D55" s="20">
        <f t="shared" si="20"/>
        <v>-37207.72</v>
      </c>
      <c r="E55" s="20">
        <f t="shared" si="20"/>
        <v>7771.0299999999988</v>
      </c>
      <c r="F55" s="20">
        <f t="shared" si="20"/>
        <v>18487.75</v>
      </c>
      <c r="G55" s="20">
        <f t="shared" si="20"/>
        <v>2356.9400000000023</v>
      </c>
      <c r="H55" s="20">
        <f t="shared" si="20"/>
        <v>6166.5400000000009</v>
      </c>
      <c r="I55" s="20">
        <f t="shared" si="20"/>
        <v>63276.5</v>
      </c>
      <c r="J55" s="20">
        <f t="shared" si="20"/>
        <v>63276.5</v>
      </c>
      <c r="K55" s="20">
        <f t="shared" si="20"/>
        <v>63276.5</v>
      </c>
      <c r="L55" s="20">
        <f t="shared" si="20"/>
        <v>63276.5</v>
      </c>
      <c r="M55" s="20">
        <f t="shared" si="20"/>
        <v>63276.5</v>
      </c>
      <c r="N55" s="20">
        <f t="shared" si="20"/>
        <v>63276.5</v>
      </c>
      <c r="O55" s="52">
        <f t="shared" si="19"/>
        <v>300990.19</v>
      </c>
    </row>
    <row r="56" spans="1:16">
      <c r="B56" s="12" t="s">
        <v>76</v>
      </c>
      <c r="C56" s="20">
        <f t="shared" ref="C56:N56" si="21">C9-C32</f>
        <v>21117.583333333332</v>
      </c>
      <c r="D56" s="20">
        <f t="shared" si="21"/>
        <v>21117.583333333332</v>
      </c>
      <c r="E56" s="20">
        <f t="shared" si="21"/>
        <v>21117.583333333332</v>
      </c>
      <c r="F56" s="20">
        <f t="shared" si="21"/>
        <v>-6127.636666666669</v>
      </c>
      <c r="G56" s="20">
        <f t="shared" si="21"/>
        <v>21117.583333333332</v>
      </c>
      <c r="H56" s="20">
        <f t="shared" si="21"/>
        <v>-84128.036666666667</v>
      </c>
      <c r="I56" s="20">
        <f t="shared" si="21"/>
        <v>21117.583333333332</v>
      </c>
      <c r="J56" s="20">
        <f t="shared" si="21"/>
        <v>21117.583333333332</v>
      </c>
      <c r="K56" s="20">
        <f t="shared" si="21"/>
        <v>21117.583333333332</v>
      </c>
      <c r="L56" s="20">
        <f t="shared" si="21"/>
        <v>21117.583333333332</v>
      </c>
      <c r="M56" s="20">
        <f t="shared" si="21"/>
        <v>21117.583333333332</v>
      </c>
      <c r="N56" s="20">
        <f t="shared" si="21"/>
        <v>21117.583333333332</v>
      </c>
      <c r="O56" s="52">
        <f t="shared" si="19"/>
        <v>120920.15999999997</v>
      </c>
    </row>
    <row r="57" spans="1:16" hidden="1">
      <c r="B57" s="12" t="s">
        <v>33</v>
      </c>
      <c r="C57" s="20">
        <f t="shared" ref="C57:N57" si="22">C10-C33</f>
        <v>0</v>
      </c>
      <c r="D57" s="20">
        <f t="shared" si="22"/>
        <v>0</v>
      </c>
      <c r="E57" s="20">
        <f t="shared" si="22"/>
        <v>0</v>
      </c>
      <c r="F57" s="20">
        <f t="shared" si="22"/>
        <v>0</v>
      </c>
      <c r="G57" s="20">
        <f t="shared" si="22"/>
        <v>0</v>
      </c>
      <c r="H57" s="20">
        <f t="shared" si="22"/>
        <v>0</v>
      </c>
      <c r="I57" s="20">
        <f t="shared" si="22"/>
        <v>0</v>
      </c>
      <c r="J57" s="20">
        <f t="shared" si="22"/>
        <v>0</v>
      </c>
      <c r="K57" s="20">
        <f t="shared" si="22"/>
        <v>0</v>
      </c>
      <c r="L57" s="20">
        <f t="shared" si="22"/>
        <v>0</v>
      </c>
      <c r="M57" s="20">
        <f t="shared" si="22"/>
        <v>0</v>
      </c>
      <c r="N57" s="20">
        <f t="shared" si="22"/>
        <v>0</v>
      </c>
      <c r="O57" s="52">
        <f t="shared" si="19"/>
        <v>0</v>
      </c>
    </row>
    <row r="58" spans="1:16" hidden="1">
      <c r="B58" s="12" t="s">
        <v>34</v>
      </c>
      <c r="C58" s="20">
        <f t="shared" ref="C58:N58" si="23">C11-C34</f>
        <v>0</v>
      </c>
      <c r="D58" s="20">
        <f t="shared" si="23"/>
        <v>0</v>
      </c>
      <c r="E58" s="20">
        <f t="shared" si="23"/>
        <v>0</v>
      </c>
      <c r="F58" s="20">
        <f t="shared" si="23"/>
        <v>0</v>
      </c>
      <c r="G58" s="20">
        <f t="shared" si="23"/>
        <v>0</v>
      </c>
      <c r="H58" s="20">
        <f t="shared" si="23"/>
        <v>0</v>
      </c>
      <c r="I58" s="20">
        <f t="shared" si="23"/>
        <v>0</v>
      </c>
      <c r="J58" s="20">
        <f t="shared" si="23"/>
        <v>0</v>
      </c>
      <c r="K58" s="20">
        <f t="shared" si="23"/>
        <v>0</v>
      </c>
      <c r="L58" s="20">
        <f t="shared" si="23"/>
        <v>0</v>
      </c>
      <c r="M58" s="20">
        <f t="shared" si="23"/>
        <v>0</v>
      </c>
      <c r="N58" s="20">
        <f t="shared" si="23"/>
        <v>0</v>
      </c>
      <c r="O58" s="52">
        <f t="shared" si="19"/>
        <v>0</v>
      </c>
    </row>
    <row r="59" spans="1:16" hidden="1">
      <c r="B59" s="12" t="s">
        <v>35</v>
      </c>
      <c r="C59" s="20">
        <f t="shared" ref="C59:N59" si="24">C12-C35</f>
        <v>0</v>
      </c>
      <c r="D59" s="20">
        <f t="shared" si="24"/>
        <v>0</v>
      </c>
      <c r="E59" s="20">
        <f t="shared" si="24"/>
        <v>0</v>
      </c>
      <c r="F59" s="20">
        <f t="shared" si="24"/>
        <v>0</v>
      </c>
      <c r="G59" s="20">
        <f t="shared" si="24"/>
        <v>0</v>
      </c>
      <c r="H59" s="20">
        <f t="shared" si="24"/>
        <v>0</v>
      </c>
      <c r="I59" s="20">
        <f t="shared" si="24"/>
        <v>0</v>
      </c>
      <c r="J59" s="20">
        <f t="shared" si="24"/>
        <v>0</v>
      </c>
      <c r="K59" s="20">
        <f t="shared" si="24"/>
        <v>0</v>
      </c>
      <c r="L59" s="20">
        <f t="shared" si="24"/>
        <v>0</v>
      </c>
      <c r="M59" s="20">
        <f t="shared" si="24"/>
        <v>0</v>
      </c>
      <c r="N59" s="20">
        <f t="shared" si="24"/>
        <v>0</v>
      </c>
      <c r="O59" s="52">
        <f t="shared" si="19"/>
        <v>0</v>
      </c>
    </row>
    <row r="60" spans="1:16" hidden="1">
      <c r="B60" s="12" t="s">
        <v>36</v>
      </c>
      <c r="C60" s="20">
        <f t="shared" ref="C60:N60" si="25">C13-C36</f>
        <v>0</v>
      </c>
      <c r="D60" s="20">
        <f t="shared" si="25"/>
        <v>0</v>
      </c>
      <c r="E60" s="20">
        <f t="shared" si="25"/>
        <v>0</v>
      </c>
      <c r="F60" s="20">
        <f t="shared" si="25"/>
        <v>0</v>
      </c>
      <c r="G60" s="20">
        <f t="shared" si="25"/>
        <v>0</v>
      </c>
      <c r="H60" s="20">
        <f t="shared" si="25"/>
        <v>0</v>
      </c>
      <c r="I60" s="20">
        <f t="shared" si="25"/>
        <v>0</v>
      </c>
      <c r="J60" s="20">
        <f t="shared" si="25"/>
        <v>0</v>
      </c>
      <c r="K60" s="20">
        <f t="shared" si="25"/>
        <v>0</v>
      </c>
      <c r="L60" s="20">
        <f t="shared" si="25"/>
        <v>0</v>
      </c>
      <c r="M60" s="20">
        <f t="shared" si="25"/>
        <v>0</v>
      </c>
      <c r="N60" s="20">
        <f t="shared" si="25"/>
        <v>0</v>
      </c>
      <c r="O60" s="52">
        <f t="shared" si="19"/>
        <v>0</v>
      </c>
    </row>
    <row r="61" spans="1:16">
      <c r="A61" t="s">
        <v>121</v>
      </c>
      <c r="B61" s="11" t="s">
        <v>40</v>
      </c>
      <c r="C61" s="19">
        <f t="shared" ref="C61:N61" si="26">C14-C37</f>
        <v>3078.4833333333372</v>
      </c>
      <c r="D61" s="19">
        <f t="shared" si="26"/>
        <v>38721.363333333342</v>
      </c>
      <c r="E61" s="19">
        <f t="shared" si="26"/>
        <v>73905.663333333345</v>
      </c>
      <c r="F61" s="19">
        <f t="shared" si="26"/>
        <v>23256.093333333338</v>
      </c>
      <c r="G61" s="19">
        <f t="shared" si="26"/>
        <v>84857.92333333334</v>
      </c>
      <c r="H61" s="19">
        <f t="shared" si="26"/>
        <v>-39839.496666666644</v>
      </c>
      <c r="I61" s="19">
        <f t="shared" si="26"/>
        <v>151695.33333333334</v>
      </c>
      <c r="J61" s="19">
        <f t="shared" si="26"/>
        <v>151695.33333333334</v>
      </c>
      <c r="K61" s="19">
        <f t="shared" si="26"/>
        <v>151695.33333333334</v>
      </c>
      <c r="L61" s="19">
        <f t="shared" si="26"/>
        <v>151695.33333333334</v>
      </c>
      <c r="M61" s="19">
        <f t="shared" si="26"/>
        <v>151695.33333333334</v>
      </c>
      <c r="N61" s="19">
        <f t="shared" si="26"/>
        <v>151695.33333333334</v>
      </c>
      <c r="O61" s="53">
        <f t="shared" ref="O61" si="27">SUM(O54:O60)</f>
        <v>1094152.0299999998</v>
      </c>
    </row>
    <row r="62" spans="1:16">
      <c r="B62" s="11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56"/>
    </row>
    <row r="63" spans="1:16">
      <c r="B63" s="11" t="s">
        <v>125</v>
      </c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52"/>
    </row>
    <row r="64" spans="1:16">
      <c r="B64" s="12" t="s">
        <v>31</v>
      </c>
      <c r="C64" s="20">
        <f t="shared" ref="C64:N64" si="28">C17-C40</f>
        <v>434.38999999999987</v>
      </c>
      <c r="D64" s="20">
        <f t="shared" si="28"/>
        <v>-2409.2199999999993</v>
      </c>
      <c r="E64" s="20">
        <f t="shared" si="28"/>
        <v>-519.81999999999971</v>
      </c>
      <c r="F64" s="20">
        <f t="shared" si="28"/>
        <v>-111.96999999999935</v>
      </c>
      <c r="G64" s="20">
        <f t="shared" si="28"/>
        <v>207.46000000000004</v>
      </c>
      <c r="H64" s="20">
        <f t="shared" si="28"/>
        <v>494.74000000000024</v>
      </c>
      <c r="I64" s="20">
        <f t="shared" si="28"/>
        <v>4369.75</v>
      </c>
      <c r="J64" s="20">
        <f t="shared" si="28"/>
        <v>4369.75</v>
      </c>
      <c r="K64" s="20">
        <f t="shared" si="28"/>
        <v>4369.75</v>
      </c>
      <c r="L64" s="20">
        <f t="shared" si="28"/>
        <v>4369.75</v>
      </c>
      <c r="M64" s="20">
        <f t="shared" si="28"/>
        <v>4369.75</v>
      </c>
      <c r="N64" s="20">
        <f t="shared" si="28"/>
        <v>4369.75</v>
      </c>
      <c r="O64" s="52">
        <f t="shared" ref="O64:O71" si="29">SUM(C64:N64)</f>
        <v>24314.080000000002</v>
      </c>
    </row>
    <row r="65" spans="1:15">
      <c r="B65" s="12" t="s">
        <v>32</v>
      </c>
      <c r="C65" s="20">
        <f t="shared" ref="C65:N65" si="30">C18-C41</f>
        <v>-51.463333333333338</v>
      </c>
      <c r="D65" s="20">
        <f t="shared" si="30"/>
        <v>-397.40333333333342</v>
      </c>
      <c r="E65" s="20">
        <f t="shared" si="30"/>
        <v>-7574.623333333333</v>
      </c>
      <c r="F65" s="20">
        <f t="shared" si="30"/>
        <v>-4403.2233333333334</v>
      </c>
      <c r="G65" s="20">
        <f t="shared" si="30"/>
        <v>-4255.3533333333335</v>
      </c>
      <c r="H65" s="20">
        <f t="shared" si="30"/>
        <v>-3496.1233333333334</v>
      </c>
      <c r="I65" s="20">
        <f t="shared" si="30"/>
        <v>214.66666666666666</v>
      </c>
      <c r="J65" s="20">
        <f t="shared" si="30"/>
        <v>214.66666666666666</v>
      </c>
      <c r="K65" s="20">
        <f t="shared" si="30"/>
        <v>214.66666666666666</v>
      </c>
      <c r="L65" s="20">
        <f t="shared" si="30"/>
        <v>214.66666666666666</v>
      </c>
      <c r="M65" s="20">
        <f t="shared" si="30"/>
        <v>214.66666666666666</v>
      </c>
      <c r="N65" s="20">
        <f t="shared" si="30"/>
        <v>214.66666666666666</v>
      </c>
      <c r="O65" s="52">
        <f t="shared" si="29"/>
        <v>-18890.189999999991</v>
      </c>
    </row>
    <row r="66" spans="1:15">
      <c r="B66" s="12" t="s">
        <v>76</v>
      </c>
      <c r="C66" s="20">
        <f t="shared" ref="C66:N66" si="31">C19-C42</f>
        <v>2562.0566666666664</v>
      </c>
      <c r="D66" s="20">
        <f t="shared" si="31"/>
        <v>3162.8766666666666</v>
      </c>
      <c r="E66" s="20">
        <f t="shared" si="31"/>
        <v>2867.6266666666666</v>
      </c>
      <c r="F66" s="20">
        <f t="shared" si="31"/>
        <v>939.83666666666659</v>
      </c>
      <c r="G66" s="20">
        <f t="shared" si="31"/>
        <v>-17.313333333333503</v>
      </c>
      <c r="H66" s="20">
        <f t="shared" si="31"/>
        <v>1829.9866666666667</v>
      </c>
      <c r="I66" s="20">
        <f t="shared" si="31"/>
        <v>3167.6666666666665</v>
      </c>
      <c r="J66" s="20">
        <f t="shared" si="31"/>
        <v>3167.6666666666665</v>
      </c>
      <c r="K66" s="20">
        <f t="shared" si="31"/>
        <v>3167.6666666666665</v>
      </c>
      <c r="L66" s="20">
        <f t="shared" si="31"/>
        <v>3167.6666666666665</v>
      </c>
      <c r="M66" s="20">
        <f t="shared" si="31"/>
        <v>3167.6666666666665</v>
      </c>
      <c r="N66" s="20">
        <f t="shared" si="31"/>
        <v>3167.6666666666665</v>
      </c>
      <c r="O66" s="52">
        <f t="shared" si="29"/>
        <v>30351.070000000003</v>
      </c>
    </row>
    <row r="67" spans="1:15" hidden="1">
      <c r="B67" s="12" t="s">
        <v>33</v>
      </c>
      <c r="C67" s="20">
        <f t="shared" ref="C67:N67" si="32">C20-C43</f>
        <v>0</v>
      </c>
      <c r="D67" s="20">
        <f t="shared" si="32"/>
        <v>0</v>
      </c>
      <c r="E67" s="20">
        <f t="shared" si="32"/>
        <v>0</v>
      </c>
      <c r="F67" s="20">
        <f t="shared" si="32"/>
        <v>0</v>
      </c>
      <c r="G67" s="20">
        <f t="shared" si="32"/>
        <v>0</v>
      </c>
      <c r="H67" s="20">
        <f t="shared" si="32"/>
        <v>0</v>
      </c>
      <c r="I67" s="20">
        <f t="shared" si="32"/>
        <v>0</v>
      </c>
      <c r="J67" s="20">
        <f t="shared" si="32"/>
        <v>0</v>
      </c>
      <c r="K67" s="20">
        <f t="shared" si="32"/>
        <v>0</v>
      </c>
      <c r="L67" s="20">
        <f t="shared" si="32"/>
        <v>0</v>
      </c>
      <c r="M67" s="20">
        <f t="shared" si="32"/>
        <v>0</v>
      </c>
      <c r="N67" s="20">
        <f t="shared" si="32"/>
        <v>0</v>
      </c>
      <c r="O67" s="52">
        <f t="shared" si="29"/>
        <v>0</v>
      </c>
    </row>
    <row r="68" spans="1:15" hidden="1">
      <c r="B68" s="12" t="s">
        <v>34</v>
      </c>
      <c r="C68" s="20">
        <f t="shared" ref="C68:N68" si="33">C21-C44</f>
        <v>0</v>
      </c>
      <c r="D68" s="20">
        <f t="shared" si="33"/>
        <v>0</v>
      </c>
      <c r="E68" s="20">
        <f t="shared" si="33"/>
        <v>0</v>
      </c>
      <c r="F68" s="20">
        <f t="shared" si="33"/>
        <v>0</v>
      </c>
      <c r="G68" s="20">
        <f t="shared" si="33"/>
        <v>0</v>
      </c>
      <c r="H68" s="20">
        <f t="shared" si="33"/>
        <v>0</v>
      </c>
      <c r="I68" s="20">
        <f t="shared" si="33"/>
        <v>0</v>
      </c>
      <c r="J68" s="20">
        <f t="shared" si="33"/>
        <v>0</v>
      </c>
      <c r="K68" s="20">
        <f t="shared" si="33"/>
        <v>0</v>
      </c>
      <c r="L68" s="20">
        <f t="shared" si="33"/>
        <v>0</v>
      </c>
      <c r="M68" s="20">
        <f t="shared" si="33"/>
        <v>0</v>
      </c>
      <c r="N68" s="20">
        <f t="shared" si="33"/>
        <v>0</v>
      </c>
      <c r="O68" s="52">
        <f t="shared" si="29"/>
        <v>0</v>
      </c>
    </row>
    <row r="69" spans="1:15">
      <c r="B69" s="12" t="s">
        <v>35</v>
      </c>
      <c r="C69" s="20">
        <f t="shared" ref="C69:N69" si="34">C22-C45</f>
        <v>0</v>
      </c>
      <c r="D69" s="20">
        <f t="shared" si="34"/>
        <v>0</v>
      </c>
      <c r="E69" s="20">
        <f t="shared" si="34"/>
        <v>0</v>
      </c>
      <c r="F69" s="20">
        <f t="shared" si="34"/>
        <v>0</v>
      </c>
      <c r="G69" s="20">
        <f t="shared" si="34"/>
        <v>0</v>
      </c>
      <c r="H69" s="20">
        <f t="shared" si="34"/>
        <v>0</v>
      </c>
      <c r="I69" s="20">
        <f t="shared" si="34"/>
        <v>0</v>
      </c>
      <c r="J69" s="20">
        <f t="shared" si="34"/>
        <v>0</v>
      </c>
      <c r="K69" s="20">
        <f t="shared" si="34"/>
        <v>0</v>
      </c>
      <c r="L69" s="20">
        <f t="shared" si="34"/>
        <v>0</v>
      </c>
      <c r="M69" s="20">
        <f t="shared" si="34"/>
        <v>0</v>
      </c>
      <c r="N69" s="20">
        <f t="shared" si="34"/>
        <v>0</v>
      </c>
      <c r="O69" s="52">
        <f t="shared" si="29"/>
        <v>0</v>
      </c>
    </row>
    <row r="70" spans="1:15">
      <c r="B70" s="12" t="s">
        <v>78</v>
      </c>
      <c r="C70" s="20">
        <f t="shared" ref="C70:N70" si="35">C23-C46</f>
        <v>-4591.7066666666678</v>
      </c>
      <c r="D70" s="20">
        <f t="shared" si="35"/>
        <v>882.60333333333256</v>
      </c>
      <c r="E70" s="20">
        <f t="shared" si="35"/>
        <v>-5229.6766666666672</v>
      </c>
      <c r="F70" s="20">
        <f t="shared" si="35"/>
        <v>-1252.3066666666673</v>
      </c>
      <c r="G70" s="20">
        <f t="shared" si="35"/>
        <v>3464.0933333333332</v>
      </c>
      <c r="H70" s="20">
        <f t="shared" si="35"/>
        <v>-17187.866666666665</v>
      </c>
      <c r="I70" s="20">
        <f t="shared" si="35"/>
        <v>4965.833333333333</v>
      </c>
      <c r="J70" s="20">
        <f t="shared" si="35"/>
        <v>4965.833333333333</v>
      </c>
      <c r="K70" s="20">
        <f t="shared" si="35"/>
        <v>4965.833333333333</v>
      </c>
      <c r="L70" s="20">
        <f t="shared" si="35"/>
        <v>4965.833333333333</v>
      </c>
      <c r="M70" s="20">
        <f t="shared" si="35"/>
        <v>4965.833333333333</v>
      </c>
      <c r="N70" s="20">
        <f t="shared" si="35"/>
        <v>4965.833333333333</v>
      </c>
      <c r="O70" s="52">
        <f t="shared" ref="O70" si="36">SUM(C70:N70)</f>
        <v>5880.1399999999949</v>
      </c>
    </row>
    <row r="71" spans="1:15">
      <c r="B71" s="12" t="s">
        <v>36</v>
      </c>
      <c r="C71" s="20">
        <f t="shared" ref="C71:N71" si="37">C24-C47</f>
        <v>-4607.8133333333317</v>
      </c>
      <c r="D71" s="20">
        <f t="shared" si="37"/>
        <v>-7666.5233333333308</v>
      </c>
      <c r="E71" s="20">
        <f t="shared" si="37"/>
        <v>-12367.653333333332</v>
      </c>
      <c r="F71" s="20">
        <f t="shared" si="37"/>
        <v>-16497.873333333333</v>
      </c>
      <c r="G71" s="20">
        <f t="shared" si="37"/>
        <v>-9538.2933333333349</v>
      </c>
      <c r="H71" s="20">
        <f t="shared" si="37"/>
        <v>-6871.493333333332</v>
      </c>
      <c r="I71" s="20">
        <f t="shared" si="37"/>
        <v>17905.666666666668</v>
      </c>
      <c r="J71" s="20">
        <f t="shared" si="37"/>
        <v>17905.666666666668</v>
      </c>
      <c r="K71" s="20">
        <f t="shared" si="37"/>
        <v>17905.666666666668</v>
      </c>
      <c r="L71" s="20">
        <f t="shared" si="37"/>
        <v>17905.666666666668</v>
      </c>
      <c r="M71" s="20">
        <f t="shared" si="37"/>
        <v>17905.666666666668</v>
      </c>
      <c r="N71" s="20">
        <f t="shared" si="37"/>
        <v>17905.666666666668</v>
      </c>
      <c r="O71" s="52">
        <f t="shared" si="29"/>
        <v>49884.35000000002</v>
      </c>
    </row>
    <row r="72" spans="1:15">
      <c r="A72" t="s">
        <v>122</v>
      </c>
      <c r="B72" s="11" t="s">
        <v>40</v>
      </c>
      <c r="C72" s="19">
        <f t="shared" ref="C72:N72" si="38">C25-C48</f>
        <v>-6254.5366666666596</v>
      </c>
      <c r="D72" s="19">
        <f t="shared" si="38"/>
        <v>-6427.6666666666642</v>
      </c>
      <c r="E72" s="19">
        <f t="shared" si="38"/>
        <v>-22824.146666666667</v>
      </c>
      <c r="F72" s="19">
        <f t="shared" si="38"/>
        <v>-21325.536666666667</v>
      </c>
      <c r="G72" s="19">
        <f t="shared" si="38"/>
        <v>-10139.406666666669</v>
      </c>
      <c r="H72" s="19">
        <f t="shared" si="38"/>
        <v>-25230.756666666661</v>
      </c>
      <c r="I72" s="19">
        <f t="shared" si="38"/>
        <v>30623.583333333336</v>
      </c>
      <c r="J72" s="19">
        <f t="shared" si="38"/>
        <v>30623.583333333336</v>
      </c>
      <c r="K72" s="19">
        <f t="shared" si="38"/>
        <v>30623.583333333336</v>
      </c>
      <c r="L72" s="19">
        <f t="shared" si="38"/>
        <v>30623.583333333336</v>
      </c>
      <c r="M72" s="19">
        <f t="shared" si="38"/>
        <v>30623.583333333336</v>
      </c>
      <c r="N72" s="19">
        <f t="shared" si="38"/>
        <v>30623.583333333336</v>
      </c>
      <c r="O72" s="53">
        <f t="shared" ref="O72" si="39">SUM(O64:O71)</f>
        <v>91539.450000000026</v>
      </c>
    </row>
    <row r="73" spans="1:15">
      <c r="B73" s="11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56"/>
    </row>
    <row r="74" spans="1:15" ht="15.75" thickBot="1">
      <c r="B74" s="11" t="s">
        <v>40</v>
      </c>
      <c r="C74" s="38">
        <f t="shared" ref="C74:N74" si="40">C27-C50</f>
        <v>-3176.0533333333151</v>
      </c>
      <c r="D74" s="38">
        <f t="shared" si="40"/>
        <v>32293.696666666685</v>
      </c>
      <c r="E74" s="38">
        <f t="shared" si="40"/>
        <v>51081.516666666692</v>
      </c>
      <c r="F74" s="38">
        <f t="shared" si="40"/>
        <v>1930.5566666666709</v>
      </c>
      <c r="G74" s="38">
        <f t="shared" si="40"/>
        <v>74718.516666666677</v>
      </c>
      <c r="H74" s="38">
        <f t="shared" si="40"/>
        <v>-65070.253333333298</v>
      </c>
      <c r="I74" s="38">
        <f t="shared" si="40"/>
        <v>182318.91666666669</v>
      </c>
      <c r="J74" s="38">
        <f t="shared" si="40"/>
        <v>182318.91666666669</v>
      </c>
      <c r="K74" s="38">
        <f t="shared" si="40"/>
        <v>182318.91666666669</v>
      </c>
      <c r="L74" s="38">
        <f t="shared" si="40"/>
        <v>182318.91666666669</v>
      </c>
      <c r="M74" s="38">
        <f t="shared" si="40"/>
        <v>182318.91666666669</v>
      </c>
      <c r="N74" s="38">
        <f t="shared" si="40"/>
        <v>182318.91666666669</v>
      </c>
      <c r="O74" s="55">
        <f>O72+O61</f>
        <v>1185691.4799999997</v>
      </c>
    </row>
    <row r="75" spans="1:15" ht="15.75" thickTop="1">
      <c r="B75" s="9"/>
    </row>
    <row r="76" spans="1:15"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4" t="s">
        <v>134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</row>
    <row r="80" spans="1:15">
      <c r="B80" s="61" t="s">
        <v>52</v>
      </c>
      <c r="C80" s="62"/>
      <c r="D80" s="62"/>
      <c r="E80" s="62"/>
      <c r="F80" s="63"/>
      <c r="G80" s="63"/>
      <c r="H80" s="63"/>
      <c r="I80" s="63"/>
      <c r="J80" s="63"/>
      <c r="K80" s="63"/>
      <c r="L80" s="63"/>
      <c r="M80" s="63"/>
      <c r="N80" s="63"/>
      <c r="O80" s="63"/>
    </row>
    <row r="81" spans="2:15" ht="29.25" customHeight="1">
      <c r="B81" s="93" t="s">
        <v>97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2:15">
      <c r="B82" s="93" t="s">
        <v>131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2:15">
      <c r="B83" s="93" t="s">
        <v>132</v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2:15">
      <c r="B84" s="93" t="s">
        <v>133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2:15">
      <c r="B85" s="93" t="s">
        <v>138</v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2:15">
      <c r="B86" s="93" t="s">
        <v>148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</sheetData>
  <mergeCells count="7">
    <mergeCell ref="B86:O86"/>
    <mergeCell ref="B85:O85"/>
    <mergeCell ref="B84:O84"/>
    <mergeCell ref="B81:O81"/>
    <mergeCell ref="B78:O78"/>
    <mergeCell ref="B82:O82"/>
    <mergeCell ref="B83:O83"/>
  </mergeCells>
  <pageMargins left="0" right="0" top="0.75" bottom="0.75" header="0.3" footer="0.3"/>
  <pageSetup scale="73" fitToHeight="1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4" sqref="B14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'WA-Sch91 Rider Balance'!J17</f>
        <v>-3160978.0498001296</v>
      </c>
    </row>
    <row r="3" spans="1:2">
      <c r="A3" s="80"/>
    </row>
    <row r="4" spans="1:2">
      <c r="A4" s="80" t="s">
        <v>70</v>
      </c>
      <c r="B4" s="1">
        <v>5433000</v>
      </c>
    </row>
    <row r="5" spans="1:2">
      <c r="A5" s="80" t="s">
        <v>71</v>
      </c>
      <c r="B5" s="85">
        <f>SUM('WA-Sch91 Rider Balance'!K13:N13)</f>
        <v>5026226.666666666</v>
      </c>
    </row>
    <row r="6" spans="1:2">
      <c r="A6" s="80"/>
      <c r="B6" s="1">
        <f>B5-B4</f>
        <v>-406773.33333333395</v>
      </c>
    </row>
    <row r="8" spans="1:2">
      <c r="A8" s="80" t="s">
        <v>72</v>
      </c>
      <c r="B8" s="3">
        <f>B2+B6</f>
        <v>-3567751.3831334636</v>
      </c>
    </row>
    <row r="10" spans="1:2">
      <c r="A10" s="80" t="s">
        <v>73</v>
      </c>
      <c r="B10" s="1">
        <v>16735000</v>
      </c>
    </row>
    <row r="11" spans="1:2">
      <c r="A11" t="s">
        <v>74</v>
      </c>
      <c r="B11" s="86"/>
    </row>
    <row r="12" spans="1:2">
      <c r="B12" s="3">
        <f>B11-B10</f>
        <v>-16735000</v>
      </c>
    </row>
    <row r="14" spans="1:2">
      <c r="A14" t="s">
        <v>75</v>
      </c>
      <c r="B14" s="3">
        <f>B8+B12</f>
        <v>-20302751.383133464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AS32"/>
  <sheetViews>
    <sheetView workbookViewId="0">
      <pane xSplit="2" ySplit="4" topLeftCell="C5" activePane="bottomRight" state="frozen"/>
      <selection activeCell="G22" sqref="G22:H22"/>
      <selection pane="topRight" activeCell="G22" sqref="G22:H22"/>
      <selection pane="bottomLeft" activeCell="G22" sqref="G22:H22"/>
      <selection pane="bottomRight" activeCell="A4" sqref="A4"/>
    </sheetView>
  </sheetViews>
  <sheetFormatPr defaultRowHeight="15"/>
  <cols>
    <col min="1" max="1" width="3.42578125" style="40" bestFit="1" customWidth="1"/>
    <col min="2" max="2" width="34.85546875" style="40" customWidth="1"/>
    <col min="3" max="3" width="13.7109375" style="40" bestFit="1" customWidth="1"/>
    <col min="4" max="14" width="13.28515625" style="40" bestFit="1" customWidth="1"/>
    <col min="15" max="15" width="12.28515625" style="40" bestFit="1" customWidth="1"/>
    <col min="16" max="16" width="11.5703125" style="40" bestFit="1" customWidth="1"/>
    <col min="17" max="19" width="11.28515625" style="40" bestFit="1" customWidth="1"/>
    <col min="20" max="32" width="11.7109375" style="40" hidden="1" customWidth="1"/>
    <col min="33" max="60" width="11.7109375" style="40" customWidth="1"/>
    <col min="61" max="16384" width="9.140625" style="40"/>
  </cols>
  <sheetData>
    <row r="2" spans="1:45">
      <c r="B2" s="41" t="s">
        <v>12</v>
      </c>
    </row>
    <row r="3" spans="1:45">
      <c r="B3" s="40" t="s">
        <v>30</v>
      </c>
      <c r="C3" s="42">
        <v>2011</v>
      </c>
      <c r="D3" s="42">
        <v>2011</v>
      </c>
      <c r="E3" s="42">
        <v>2011</v>
      </c>
      <c r="F3" s="42">
        <v>2011</v>
      </c>
      <c r="G3" s="42">
        <v>2011</v>
      </c>
      <c r="H3" s="42">
        <v>2011</v>
      </c>
      <c r="I3" s="42">
        <v>2011</v>
      </c>
      <c r="J3" s="42">
        <v>2011</v>
      </c>
      <c r="K3" s="42">
        <v>2011</v>
      </c>
      <c r="L3" s="42">
        <v>2011</v>
      </c>
      <c r="M3" s="42">
        <v>2011</v>
      </c>
      <c r="N3" s="42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T3" s="40">
        <v>2011</v>
      </c>
      <c r="U3" s="40">
        <v>2011</v>
      </c>
      <c r="V3" s="40">
        <v>2011</v>
      </c>
      <c r="W3" s="40">
        <v>2011</v>
      </c>
      <c r="X3" s="40">
        <v>2011</v>
      </c>
      <c r="Y3" s="40">
        <v>2011</v>
      </c>
      <c r="Z3" s="40">
        <v>2011</v>
      </c>
      <c r="AA3" s="40">
        <v>2011</v>
      </c>
      <c r="AB3" s="40">
        <v>2011</v>
      </c>
      <c r="AC3" s="40">
        <v>2011</v>
      </c>
      <c r="AD3" s="40">
        <v>2011</v>
      </c>
      <c r="AE3" s="40">
        <v>2011</v>
      </c>
      <c r="AF3" s="42" t="s">
        <v>29</v>
      </c>
      <c r="AH3" s="42">
        <v>2012</v>
      </c>
      <c r="AI3" s="42">
        <v>2012</v>
      </c>
      <c r="AJ3" s="42">
        <v>2012</v>
      </c>
      <c r="AK3" s="42">
        <v>2012</v>
      </c>
      <c r="AL3" s="42">
        <v>2012</v>
      </c>
      <c r="AM3" s="42">
        <v>2012</v>
      </c>
      <c r="AN3" s="42">
        <v>2012</v>
      </c>
      <c r="AO3" s="42">
        <v>2012</v>
      </c>
      <c r="AP3" s="42">
        <v>2012</v>
      </c>
      <c r="AQ3" s="42">
        <v>2012</v>
      </c>
      <c r="AR3" s="42">
        <v>2012</v>
      </c>
      <c r="AS3" s="42">
        <v>2012</v>
      </c>
    </row>
    <row r="4" spans="1:45">
      <c r="C4" s="42" t="s">
        <v>0</v>
      </c>
      <c r="D4" s="42" t="s">
        <v>1</v>
      </c>
      <c r="E4" s="42" t="s">
        <v>2</v>
      </c>
      <c r="F4" s="42" t="s">
        <v>3</v>
      </c>
      <c r="G4" s="42" t="s">
        <v>4</v>
      </c>
      <c r="H4" s="42" t="s">
        <v>5</v>
      </c>
      <c r="I4" s="42" t="s">
        <v>6</v>
      </c>
      <c r="J4" s="42" t="s">
        <v>7</v>
      </c>
      <c r="K4" s="42" t="s">
        <v>8</v>
      </c>
      <c r="L4" s="42" t="s">
        <v>9</v>
      </c>
      <c r="M4" s="42" t="s">
        <v>10</v>
      </c>
      <c r="N4" s="42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T4" s="40" t="s">
        <v>0</v>
      </c>
      <c r="U4" s="40" t="s">
        <v>1</v>
      </c>
      <c r="V4" s="40" t="s">
        <v>2</v>
      </c>
      <c r="W4" s="40" t="s">
        <v>3</v>
      </c>
      <c r="X4" s="40" t="s">
        <v>4</v>
      </c>
      <c r="Y4" s="40" t="s">
        <v>5</v>
      </c>
      <c r="Z4" s="40" t="s">
        <v>6</v>
      </c>
      <c r="AA4" s="40" t="s">
        <v>7</v>
      </c>
      <c r="AB4" s="40" t="s">
        <v>8</v>
      </c>
      <c r="AC4" s="40" t="s">
        <v>9</v>
      </c>
      <c r="AD4" s="40" t="s">
        <v>10</v>
      </c>
      <c r="AE4" s="40" t="s">
        <v>11</v>
      </c>
      <c r="AH4" s="42" t="s">
        <v>0</v>
      </c>
      <c r="AI4" s="42" t="s">
        <v>1</v>
      </c>
      <c r="AJ4" s="42" t="s">
        <v>2</v>
      </c>
      <c r="AK4" s="42" t="s">
        <v>3</v>
      </c>
      <c r="AL4" s="42" t="s">
        <v>4</v>
      </c>
      <c r="AM4" s="42" t="s">
        <v>5</v>
      </c>
      <c r="AN4" s="42" t="s">
        <v>6</v>
      </c>
      <c r="AO4" s="42" t="s">
        <v>7</v>
      </c>
      <c r="AP4" s="42" t="s">
        <v>8</v>
      </c>
      <c r="AQ4" s="42" t="s">
        <v>9</v>
      </c>
      <c r="AR4" s="42" t="s">
        <v>10</v>
      </c>
      <c r="AS4" s="42" t="s">
        <v>11</v>
      </c>
    </row>
    <row r="5" spans="1:45">
      <c r="A5" s="40" t="s">
        <v>22</v>
      </c>
      <c r="B5" s="40" t="s">
        <v>13</v>
      </c>
      <c r="C5" s="43">
        <v>-823050.81</v>
      </c>
      <c r="D5" s="43">
        <v>-815607.58079015673</v>
      </c>
      <c r="E5" s="43">
        <v>-1754369.121060766</v>
      </c>
      <c r="F5" s="43">
        <v>-2203799.4610607661</v>
      </c>
      <c r="G5" s="43">
        <v>-2518317.8490328575</v>
      </c>
      <c r="H5" s="43">
        <v>-3480254.9387434502</v>
      </c>
      <c r="I5" s="43">
        <v>-3160978.0498001296</v>
      </c>
      <c r="J5" s="43">
        <v>-3160978.0498001296</v>
      </c>
      <c r="K5" s="43">
        <v>-3160978.0498001296</v>
      </c>
      <c r="L5" s="43">
        <v>-3160978.0498001296</v>
      </c>
      <c r="M5" s="43">
        <v>-3160978.0498001296</v>
      </c>
      <c r="N5" s="43">
        <v>-3160978.0498001296</v>
      </c>
      <c r="P5" s="44">
        <v>-823050.81</v>
      </c>
      <c r="Q5" s="47">
        <v>-2203799.4610607657</v>
      </c>
      <c r="R5" s="47">
        <v>-3160978.0498001291</v>
      </c>
      <c r="S5" s="47">
        <v>-3160978.0498001291</v>
      </c>
      <c r="AH5" s="47">
        <v>-3724566.3733915105</v>
      </c>
      <c r="AI5" s="47">
        <v>-3724566.3733915105</v>
      </c>
      <c r="AJ5" s="47">
        <v>-3724566.3733915105</v>
      </c>
      <c r="AK5" s="47">
        <v>-3724566.3733915105</v>
      </c>
      <c r="AL5" s="47">
        <v>-3724566.3733915105</v>
      </c>
      <c r="AM5" s="47">
        <v>-3724566.3733915105</v>
      </c>
      <c r="AN5" s="47">
        <v>-3724566.3733915105</v>
      </c>
      <c r="AO5" s="47">
        <v>-3724566.3733915105</v>
      </c>
      <c r="AP5" s="47">
        <v>-3724566.3733915105</v>
      </c>
      <c r="AQ5" s="47">
        <v>-3724566.3733915105</v>
      </c>
      <c r="AR5" s="47">
        <v>-3724566.3733915105</v>
      </c>
      <c r="AS5" s="47">
        <v>-3724566.3733915105</v>
      </c>
    </row>
    <row r="6" spans="1:45"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7" spans="1:45">
      <c r="B7" s="40" t="s">
        <v>14</v>
      </c>
      <c r="C7" s="46">
        <v>1738493.1079273054</v>
      </c>
      <c r="D7" s="46">
        <v>1558222.5118301671</v>
      </c>
      <c r="E7" s="46">
        <v>1460105.3914799262</v>
      </c>
      <c r="F7" s="46">
        <v>1235296.8394850942</v>
      </c>
      <c r="G7" s="46">
        <v>1265114.5475734838</v>
      </c>
      <c r="H7" s="46">
        <v>1281951.6614913556</v>
      </c>
      <c r="I7" s="46">
        <v>1398098.541419263</v>
      </c>
      <c r="J7" s="46">
        <v>1441661.5086758845</v>
      </c>
      <c r="K7" s="46">
        <v>1342411.8521849632</v>
      </c>
      <c r="L7" s="46">
        <v>1373772.9692104692</v>
      </c>
      <c r="M7" s="46">
        <v>1448813.5812285233</v>
      </c>
      <c r="N7" s="46">
        <v>1627888.0756961908</v>
      </c>
      <c r="O7" s="47">
        <v>17171830.588202622</v>
      </c>
      <c r="P7" s="47">
        <v>4756821.0112373987</v>
      </c>
      <c r="Q7" s="47">
        <v>3782363.0485499334</v>
      </c>
      <c r="R7" s="47">
        <v>4182171.9022801109</v>
      </c>
      <c r="S7" s="47">
        <v>4450474.6261351835</v>
      </c>
      <c r="AH7" s="26">
        <v>0</v>
      </c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</row>
    <row r="8" spans="1:45">
      <c r="A8" s="40" t="s">
        <v>21</v>
      </c>
      <c r="B8" s="40" t="s">
        <v>15</v>
      </c>
      <c r="C8" s="45">
        <v>1668793.4707901566</v>
      </c>
      <c r="D8" s="45">
        <v>1560912.3302706094</v>
      </c>
      <c r="E8" s="45">
        <v>1479583.45</v>
      </c>
      <c r="F8" s="45">
        <v>1388053.9079720911</v>
      </c>
      <c r="G8" s="45">
        <v>1590082.7397105929</v>
      </c>
      <c r="H8" s="45">
        <v>1302436.8410566796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7">
        <v>8989862.7398001291</v>
      </c>
      <c r="P8" s="47">
        <v>4709289.2510607662</v>
      </c>
      <c r="Q8" s="47">
        <v>4280573.4887393638</v>
      </c>
      <c r="R8" s="47">
        <v>0</v>
      </c>
      <c r="S8" s="47">
        <v>0</v>
      </c>
    </row>
    <row r="9" spans="1:45">
      <c r="B9" s="40" t="s">
        <v>16</v>
      </c>
      <c r="C9" s="48">
        <v>-69699.637137148762</v>
      </c>
      <c r="D9" s="48">
        <v>2689.8184404422063</v>
      </c>
      <c r="E9" s="48">
        <v>19478.05852007377</v>
      </c>
      <c r="F9" s="48">
        <v>152757.06848699693</v>
      </c>
      <c r="G9" s="48">
        <v>324968.19213710912</v>
      </c>
      <c r="H9" s="48">
        <v>20485.179565323982</v>
      </c>
      <c r="I9" s="48">
        <v>-1398098.541419263</v>
      </c>
      <c r="J9" s="48">
        <v>-1441661.5086758845</v>
      </c>
      <c r="K9" s="48">
        <v>-1342411.8521849632</v>
      </c>
      <c r="L9" s="48">
        <v>-1373772.9692104692</v>
      </c>
      <c r="M9" s="48">
        <v>-1448813.5812285233</v>
      </c>
      <c r="N9" s="48">
        <v>-1627888.0756961908</v>
      </c>
      <c r="O9" s="48">
        <v>-8181967.8484024974</v>
      </c>
      <c r="P9" s="48">
        <v>-47531.760176632553</v>
      </c>
      <c r="Q9" s="48">
        <v>498210.44018943049</v>
      </c>
      <c r="R9" s="48">
        <v>-4182171.9022801109</v>
      </c>
      <c r="S9" s="48">
        <v>-4450474.6261351835</v>
      </c>
    </row>
    <row r="10" spans="1:45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</row>
    <row r="11" spans="1:45">
      <c r="B11" s="40" t="s">
        <v>18</v>
      </c>
      <c r="C11" s="45">
        <v>1256556.6666666665</v>
      </c>
      <c r="D11" s="45">
        <v>1256556.6666666665</v>
      </c>
      <c r="E11" s="45">
        <v>1256556.6666666665</v>
      </c>
      <c r="F11" s="45">
        <v>1256556.6666666665</v>
      </c>
      <c r="G11" s="45">
        <v>1256556.6666666665</v>
      </c>
      <c r="H11" s="45">
        <v>1256556.6666666665</v>
      </c>
      <c r="I11" s="45">
        <v>1256556.6666666665</v>
      </c>
      <c r="J11" s="45">
        <v>1256556.6666666665</v>
      </c>
      <c r="K11" s="45">
        <v>1256556.6666666665</v>
      </c>
      <c r="L11" s="45">
        <v>1256556.6666666665</v>
      </c>
      <c r="M11" s="45">
        <v>1256556.6666666665</v>
      </c>
      <c r="N11" s="45">
        <v>1256556.6666666665</v>
      </c>
      <c r="O11" s="47">
        <v>15078679.999999994</v>
      </c>
      <c r="P11" s="47">
        <v>3769669.9999999995</v>
      </c>
      <c r="Q11" s="47">
        <v>3769669.9999999995</v>
      </c>
      <c r="R11" s="47">
        <v>3769669.9999999995</v>
      </c>
      <c r="S11" s="47">
        <v>3769669.9999999995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</row>
    <row r="12" spans="1:45">
      <c r="A12" s="40" t="s">
        <v>20</v>
      </c>
      <c r="B12" s="40" t="s">
        <v>17</v>
      </c>
      <c r="C12" s="45">
        <v>1676236.7</v>
      </c>
      <c r="D12" s="45">
        <v>622150.79</v>
      </c>
      <c r="E12" s="45">
        <v>1030153.1100000001</v>
      </c>
      <c r="F12" s="45">
        <v>1073535.52</v>
      </c>
      <c r="G12" s="45">
        <v>628145.65</v>
      </c>
      <c r="H12" s="45">
        <v>1621713.7300000002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v>0</v>
      </c>
      <c r="O12" s="47">
        <v>6651935.5000000019</v>
      </c>
      <c r="P12" s="47">
        <v>3328540.6000000006</v>
      </c>
      <c r="Q12" s="47">
        <v>3323394.9000000004</v>
      </c>
      <c r="R12" s="47">
        <v>0</v>
      </c>
      <c r="S12" s="47">
        <v>0</v>
      </c>
    </row>
    <row r="13" spans="1:45">
      <c r="B13" s="40" t="s">
        <v>19</v>
      </c>
      <c r="C13" s="49">
        <v>-419680.03333333344</v>
      </c>
      <c r="D13" s="49">
        <v>634405.87666666647</v>
      </c>
      <c r="E13" s="49">
        <v>226403.55666666641</v>
      </c>
      <c r="F13" s="49">
        <v>183021.14666666649</v>
      </c>
      <c r="G13" s="49">
        <v>628411.01666666649</v>
      </c>
      <c r="H13" s="49">
        <v>-365157.0633333337</v>
      </c>
      <c r="I13" s="49">
        <v>1256556.6666666665</v>
      </c>
      <c r="J13" s="49">
        <v>1256556.6666666665</v>
      </c>
      <c r="K13" s="49">
        <v>1256556.6666666665</v>
      </c>
      <c r="L13" s="49">
        <v>1256556.6666666665</v>
      </c>
      <c r="M13" s="49">
        <v>1256556.6666666665</v>
      </c>
      <c r="N13" s="49">
        <v>1256556.6666666665</v>
      </c>
      <c r="O13" s="48">
        <v>8426744.4999999963</v>
      </c>
      <c r="P13" s="49">
        <v>441129.39999999898</v>
      </c>
      <c r="Q13" s="49">
        <v>446275.09999999916</v>
      </c>
      <c r="R13" s="49">
        <v>3769669.9999999995</v>
      </c>
      <c r="S13" s="49">
        <v>3769669.9999999995</v>
      </c>
    </row>
    <row r="14" spans="1:45"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</row>
    <row r="15" spans="1:45" ht="30">
      <c r="A15" s="40" t="s">
        <v>24</v>
      </c>
      <c r="B15" s="50" t="s">
        <v>23</v>
      </c>
      <c r="C15" s="45">
        <v>-7443.2292098433245</v>
      </c>
      <c r="D15" s="45">
        <v>938761.54027060932</v>
      </c>
      <c r="E15" s="45">
        <v>449430.33999999985</v>
      </c>
      <c r="F15" s="45">
        <v>314518.38797209109</v>
      </c>
      <c r="G15" s="45">
        <v>961937.08971059287</v>
      </c>
      <c r="H15" s="45">
        <v>-319276.88894332061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2337927.2398001272</v>
      </c>
      <c r="P15" s="45">
        <v>1380748.6510607656</v>
      </c>
      <c r="Q15" s="45">
        <v>957178.58873936348</v>
      </c>
      <c r="R15" s="45">
        <v>0</v>
      </c>
      <c r="S15" s="45">
        <v>0</v>
      </c>
    </row>
    <row r="16" spans="1:45"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</row>
    <row r="17" spans="2:45" ht="15.75" thickBot="1">
      <c r="B17" s="40" t="s">
        <v>25</v>
      </c>
      <c r="C17" s="60">
        <v>-815607.58079015673</v>
      </c>
      <c r="D17" s="60">
        <v>-1754369.121060766</v>
      </c>
      <c r="E17" s="60">
        <v>-2203799.4610607661</v>
      </c>
      <c r="F17" s="60">
        <v>-2518317.8490328575</v>
      </c>
      <c r="G17" s="60">
        <v>-3480254.9387434502</v>
      </c>
      <c r="H17" s="60">
        <v>-3160978.0498001296</v>
      </c>
      <c r="I17" s="60">
        <v>-3160978.0498001296</v>
      </c>
      <c r="J17" s="60">
        <v>-3160978.0498001296</v>
      </c>
      <c r="K17" s="60">
        <v>-3160978.0498001296</v>
      </c>
      <c r="L17" s="60">
        <v>-3160978.0498001296</v>
      </c>
      <c r="M17" s="60">
        <v>-3160978.0498001296</v>
      </c>
      <c r="N17" s="60">
        <v>-3160978.0498001296</v>
      </c>
      <c r="O17" s="47"/>
      <c r="P17" s="47">
        <v>-2203799.4610607657</v>
      </c>
      <c r="Q17" s="47">
        <v>-3160978.0498001291</v>
      </c>
      <c r="R17" s="47">
        <v>-3160978.0498001291</v>
      </c>
      <c r="S17" s="47">
        <v>-3160978.0498001291</v>
      </c>
    </row>
    <row r="18" spans="2:45" ht="15.75" thickTop="1"/>
    <row r="19" spans="2:45">
      <c r="B19" s="40" t="s">
        <v>28</v>
      </c>
      <c r="D19" s="44" t="s">
        <v>53</v>
      </c>
      <c r="E19" s="44" t="s">
        <v>53</v>
      </c>
      <c r="F19" s="44" t="s">
        <v>53</v>
      </c>
      <c r="G19" s="44" t="s">
        <v>53</v>
      </c>
      <c r="H19" s="44" t="s">
        <v>53</v>
      </c>
      <c r="I19" s="44">
        <v>-3302519.9245527261</v>
      </c>
      <c r="J19" s="44">
        <v>-3346082.8918093476</v>
      </c>
      <c r="K19" s="44">
        <v>-3246833.2353184265</v>
      </c>
      <c r="L19" s="44">
        <v>-3278194.3523439323</v>
      </c>
      <c r="M19" s="44">
        <v>-3353234.9643619866</v>
      </c>
      <c r="N19" s="47">
        <v>-3724566.3733915105</v>
      </c>
      <c r="P19" s="47"/>
      <c r="AH19" s="47">
        <v>-3724566.3733915105</v>
      </c>
      <c r="AI19" s="47">
        <v>-3724566.3733915105</v>
      </c>
      <c r="AJ19" s="47">
        <v>-3724566.3733915105</v>
      </c>
      <c r="AK19" s="47">
        <v>-3724566.3733915105</v>
      </c>
      <c r="AL19" s="47">
        <v>-3724566.3733915105</v>
      </c>
      <c r="AM19" s="47">
        <v>-3724566.3733915105</v>
      </c>
      <c r="AN19" s="47">
        <v>-3724566.3733915105</v>
      </c>
      <c r="AO19" s="47">
        <v>-3724566.3733915105</v>
      </c>
      <c r="AP19" s="47">
        <v>-3724566.3733915105</v>
      </c>
      <c r="AQ19" s="47">
        <v>-3724566.3733915105</v>
      </c>
      <c r="AR19" s="47">
        <v>-3724566.3733915105</v>
      </c>
      <c r="AS19" s="47">
        <v>-3724566.3733915105</v>
      </c>
    </row>
    <row r="20" spans="2:45">
      <c r="E20" s="47"/>
      <c r="F20" s="47"/>
      <c r="G20" s="47"/>
      <c r="H20" s="47"/>
      <c r="I20" s="47"/>
      <c r="J20" s="47"/>
      <c r="K20" s="47"/>
      <c r="L20" s="47"/>
      <c r="M20" s="47"/>
      <c r="N20" s="47"/>
    </row>
    <row r="22" spans="2:45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45">
      <c r="B23" s="93" t="s">
        <v>98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2:45">
      <c r="B24" s="93" t="s">
        <v>101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2:45">
      <c r="B25" s="93" t="s">
        <v>108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2:45">
      <c r="B26" s="93" t="s">
        <v>111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  <row r="27" spans="2:45">
      <c r="B27" s="93" t="s">
        <v>140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</row>
    <row r="28" spans="2:45">
      <c r="B28" s="93" t="s">
        <v>150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</row>
    <row r="29" spans="2:45">
      <c r="B29" s="92" t="s">
        <v>53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</row>
    <row r="30" spans="2:45">
      <c r="B30" s="92" t="s">
        <v>53</v>
      </c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</row>
    <row r="31" spans="2:45">
      <c r="B31" s="92" t="s">
        <v>53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  <row r="32" spans="2:45">
      <c r="B32" s="91" t="s">
        <v>53</v>
      </c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</sheetData>
  <mergeCells count="10">
    <mergeCell ref="B32:N32"/>
    <mergeCell ref="B31:N31"/>
    <mergeCell ref="B30:N30"/>
    <mergeCell ref="B29:N29"/>
    <mergeCell ref="B23:O23"/>
    <mergeCell ref="B24:O24"/>
    <mergeCell ref="B25:O25"/>
    <mergeCell ref="B26:O26"/>
    <mergeCell ref="B27:O27"/>
    <mergeCell ref="B28:O28"/>
  </mergeCells>
  <pageMargins left="0" right="0" top="0.75" bottom="0.75" header="0.3" footer="0.3"/>
  <pageSetup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7" tint="0.39997558519241921"/>
  </sheetPr>
  <dimension ref="A2:BD86"/>
  <sheetViews>
    <sheetView workbookViewId="0">
      <pane xSplit="2" ySplit="4" topLeftCell="C5" activePane="bottomRight" state="frozen"/>
      <selection activeCell="C34" sqref="C34"/>
      <selection pane="topRight" activeCell="C34" sqref="C34"/>
      <selection pane="bottomLeft" activeCell="C34" sqref="C34"/>
      <selection pane="bottomRight" activeCell="A4" sqref="A4"/>
    </sheetView>
  </sheetViews>
  <sheetFormatPr defaultRowHeight="15"/>
  <cols>
    <col min="1" max="1" width="10.28515625" bestFit="1" customWidth="1"/>
    <col min="2" max="2" width="43.28515625" customWidth="1"/>
    <col min="3" max="3" width="11.42578125" style="13" bestFit="1" customWidth="1"/>
    <col min="4" max="4" width="12.42578125" style="13" bestFit="1" customWidth="1"/>
    <col min="5" max="5" width="11.42578125" style="13" bestFit="1" customWidth="1"/>
    <col min="6" max="14" width="9.85546875" style="13" bestFit="1" customWidth="1"/>
    <col min="15" max="15" width="11.2851562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12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17" t="s">
        <v>0</v>
      </c>
      <c r="D4" s="17" t="s">
        <v>1</v>
      </c>
      <c r="E4" s="1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5765679/12</f>
        <v>480473.25</v>
      </c>
      <c r="D7" s="18">
        <f>C7</f>
        <v>480473.25</v>
      </c>
      <c r="E7" s="18">
        <f t="shared" ref="E7:N7" si="1">D7</f>
        <v>480473.25</v>
      </c>
      <c r="F7" s="18">
        <f t="shared" si="1"/>
        <v>480473.25</v>
      </c>
      <c r="G7" s="18">
        <f t="shared" si="1"/>
        <v>480473.25</v>
      </c>
      <c r="H7" s="18">
        <f t="shared" si="1"/>
        <v>480473.25</v>
      </c>
      <c r="I7" s="18">
        <f t="shared" si="1"/>
        <v>480473.25</v>
      </c>
      <c r="J7" s="18">
        <f t="shared" si="1"/>
        <v>480473.25</v>
      </c>
      <c r="K7" s="18">
        <f t="shared" si="1"/>
        <v>480473.25</v>
      </c>
      <c r="L7" s="18">
        <f t="shared" si="1"/>
        <v>480473.25</v>
      </c>
      <c r="M7" s="18">
        <f t="shared" si="1"/>
        <v>480473.25</v>
      </c>
      <c r="N7" s="18">
        <f t="shared" si="1"/>
        <v>480473.25</v>
      </c>
      <c r="O7" s="16">
        <f t="shared" ref="O7:O13" si="2">SUM(C7:N7)</f>
        <v>5765679</v>
      </c>
    </row>
    <row r="8" spans="1:28">
      <c r="B8" s="5" t="s">
        <v>32</v>
      </c>
      <c r="C8" s="18">
        <f>1718521/12</f>
        <v>143210.08333333334</v>
      </c>
      <c r="D8" s="18">
        <f>C8</f>
        <v>143210.08333333334</v>
      </c>
      <c r="E8" s="18">
        <f t="shared" ref="E8:N8" si="3">D8</f>
        <v>143210.08333333334</v>
      </c>
      <c r="F8" s="18">
        <f t="shared" si="3"/>
        <v>143210.08333333334</v>
      </c>
      <c r="G8" s="18">
        <f t="shared" si="3"/>
        <v>143210.08333333334</v>
      </c>
      <c r="H8" s="18">
        <f t="shared" si="3"/>
        <v>143210.08333333334</v>
      </c>
      <c r="I8" s="18">
        <f t="shared" si="3"/>
        <v>143210.08333333334</v>
      </c>
      <c r="J8" s="18">
        <f t="shared" si="3"/>
        <v>143210.08333333334</v>
      </c>
      <c r="K8" s="18">
        <f t="shared" si="3"/>
        <v>143210.08333333334</v>
      </c>
      <c r="L8" s="18">
        <f t="shared" si="3"/>
        <v>143210.08333333334</v>
      </c>
      <c r="M8" s="18">
        <f t="shared" si="3"/>
        <v>143210.08333333334</v>
      </c>
      <c r="N8" s="18">
        <f t="shared" si="3"/>
        <v>143210.08333333334</v>
      </c>
      <c r="O8" s="16">
        <f t="shared" si="2"/>
        <v>1718520.9999999998</v>
      </c>
    </row>
    <row r="9" spans="1:28">
      <c r="B9" s="5" t="s">
        <v>76</v>
      </c>
      <c r="C9" s="18">
        <f>1015169/12</f>
        <v>84597.416666666672</v>
      </c>
      <c r="D9" s="18">
        <f>C9</f>
        <v>84597.416666666672</v>
      </c>
      <c r="E9" s="18">
        <f t="shared" ref="E9:N9" si="4">D9</f>
        <v>84597.416666666672</v>
      </c>
      <c r="F9" s="18">
        <f t="shared" si="4"/>
        <v>84597.416666666672</v>
      </c>
      <c r="G9" s="18">
        <f t="shared" si="4"/>
        <v>84597.416666666672</v>
      </c>
      <c r="H9" s="18">
        <f t="shared" si="4"/>
        <v>84597.416666666672</v>
      </c>
      <c r="I9" s="18">
        <f t="shared" si="4"/>
        <v>84597.416666666672</v>
      </c>
      <c r="J9" s="18">
        <f t="shared" si="4"/>
        <v>84597.416666666672</v>
      </c>
      <c r="K9" s="18">
        <f t="shared" si="4"/>
        <v>84597.416666666672</v>
      </c>
      <c r="L9" s="18">
        <f t="shared" si="4"/>
        <v>84597.416666666672</v>
      </c>
      <c r="M9" s="18">
        <f t="shared" si="4"/>
        <v>84597.416666666672</v>
      </c>
      <c r="N9" s="18">
        <f t="shared" si="4"/>
        <v>84597.416666666672</v>
      </c>
      <c r="O9" s="16">
        <f t="shared" si="2"/>
        <v>1015168.9999999999</v>
      </c>
    </row>
    <row r="10" spans="1:28" hidden="1">
      <c r="B10" s="5" t="s">
        <v>33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6">
        <f t="shared" si="2"/>
        <v>0</v>
      </c>
    </row>
    <row r="11" spans="1:28" hidden="1">
      <c r="B11" s="5" t="s">
        <v>34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6">
        <f t="shared" si="2"/>
        <v>0</v>
      </c>
    </row>
    <row r="12" spans="1:28" hidden="1">
      <c r="B12" s="5" t="s">
        <v>35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6">
        <f t="shared" si="2"/>
        <v>0</v>
      </c>
    </row>
    <row r="13" spans="1:28" hidden="1">
      <c r="B13" s="5" t="s">
        <v>36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6">
        <f t="shared" si="2"/>
        <v>0</v>
      </c>
    </row>
    <row r="14" spans="1:28">
      <c r="A14" t="s">
        <v>22</v>
      </c>
      <c r="B14" s="9" t="s">
        <v>37</v>
      </c>
      <c r="C14" s="19">
        <f>SUM(C7:C13)</f>
        <v>708280.75</v>
      </c>
      <c r="D14" s="19">
        <f t="shared" ref="D14:N14" si="5">SUM(D7:D13)</f>
        <v>708280.75</v>
      </c>
      <c r="E14" s="19">
        <f t="shared" si="5"/>
        <v>708280.75</v>
      </c>
      <c r="F14" s="19">
        <f t="shared" si="5"/>
        <v>708280.75</v>
      </c>
      <c r="G14" s="19">
        <f t="shared" si="5"/>
        <v>708280.75</v>
      </c>
      <c r="H14" s="19">
        <f t="shared" si="5"/>
        <v>708280.75</v>
      </c>
      <c r="I14" s="19">
        <f t="shared" si="5"/>
        <v>708280.75</v>
      </c>
      <c r="J14" s="19">
        <f t="shared" si="5"/>
        <v>708280.75</v>
      </c>
      <c r="K14" s="19">
        <f t="shared" si="5"/>
        <v>708280.75</v>
      </c>
      <c r="L14" s="19">
        <f t="shared" si="5"/>
        <v>708280.75</v>
      </c>
      <c r="M14" s="19">
        <f t="shared" si="5"/>
        <v>708280.75</v>
      </c>
      <c r="N14" s="19">
        <f t="shared" si="5"/>
        <v>708280.75</v>
      </c>
      <c r="O14" s="19">
        <f>SUM(O7:O13)</f>
        <v>8499369</v>
      </c>
    </row>
    <row r="15" spans="1:28">
      <c r="B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6"/>
    </row>
    <row r="16" spans="1:28">
      <c r="B16" s="9" t="s">
        <v>115</v>
      </c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6"/>
    </row>
    <row r="17" spans="1:16">
      <c r="B17" s="5" t="s">
        <v>31</v>
      </c>
      <c r="C17" s="20">
        <f>(436883+279731)/12</f>
        <v>59717.833333333336</v>
      </c>
      <c r="D17" s="18">
        <f>C17</f>
        <v>59717.833333333336</v>
      </c>
      <c r="E17" s="18">
        <f t="shared" ref="E17:N17" si="6">D17</f>
        <v>59717.833333333336</v>
      </c>
      <c r="F17" s="18">
        <f t="shared" si="6"/>
        <v>59717.833333333336</v>
      </c>
      <c r="G17" s="18">
        <f t="shared" si="6"/>
        <v>59717.833333333336</v>
      </c>
      <c r="H17" s="18">
        <f t="shared" si="6"/>
        <v>59717.833333333336</v>
      </c>
      <c r="I17" s="18">
        <f t="shared" si="6"/>
        <v>59717.833333333336</v>
      </c>
      <c r="J17" s="18">
        <f t="shared" si="6"/>
        <v>59717.833333333336</v>
      </c>
      <c r="K17" s="18">
        <f t="shared" si="6"/>
        <v>59717.833333333336</v>
      </c>
      <c r="L17" s="18">
        <f t="shared" si="6"/>
        <v>59717.833333333336</v>
      </c>
      <c r="M17" s="18">
        <f t="shared" si="6"/>
        <v>59717.833333333336</v>
      </c>
      <c r="N17" s="18">
        <f t="shared" si="6"/>
        <v>59717.833333333336</v>
      </c>
      <c r="O17" s="16">
        <f t="shared" ref="O17:O24" si="7">SUM(C17:N17)</f>
        <v>716614.00000000012</v>
      </c>
    </row>
    <row r="18" spans="1:16">
      <c r="B18" s="5" t="s">
        <v>32</v>
      </c>
      <c r="C18" s="18">
        <f>(229483+17272)/12</f>
        <v>20562.916666666668</v>
      </c>
      <c r="D18" s="18">
        <f t="shared" ref="D18:N24" si="8">C18</f>
        <v>20562.916666666668</v>
      </c>
      <c r="E18" s="18">
        <f t="shared" si="8"/>
        <v>20562.916666666668</v>
      </c>
      <c r="F18" s="18">
        <f t="shared" si="8"/>
        <v>20562.916666666668</v>
      </c>
      <c r="G18" s="18">
        <f t="shared" si="8"/>
        <v>20562.916666666668</v>
      </c>
      <c r="H18" s="18">
        <f t="shared" si="8"/>
        <v>20562.916666666668</v>
      </c>
      <c r="I18" s="18">
        <f t="shared" si="8"/>
        <v>20562.916666666668</v>
      </c>
      <c r="J18" s="18">
        <f t="shared" si="8"/>
        <v>20562.916666666668</v>
      </c>
      <c r="K18" s="18">
        <f t="shared" si="8"/>
        <v>20562.916666666668</v>
      </c>
      <c r="L18" s="18">
        <f t="shared" si="8"/>
        <v>20562.916666666668</v>
      </c>
      <c r="M18" s="18">
        <f t="shared" si="8"/>
        <v>20562.916666666668</v>
      </c>
      <c r="N18" s="18">
        <f t="shared" si="8"/>
        <v>20562.916666666668</v>
      </c>
      <c r="O18" s="16">
        <f t="shared" si="7"/>
        <v>246754.99999999997</v>
      </c>
    </row>
    <row r="19" spans="1:16">
      <c r="B19" s="5" t="s">
        <v>76</v>
      </c>
      <c r="C19" s="15">
        <f>(152275+0)/12</f>
        <v>12689.583333333334</v>
      </c>
      <c r="D19" s="18">
        <f t="shared" si="8"/>
        <v>12689.583333333334</v>
      </c>
      <c r="E19" s="18">
        <f t="shared" si="8"/>
        <v>12689.583333333334</v>
      </c>
      <c r="F19" s="18">
        <f t="shared" si="8"/>
        <v>12689.583333333334</v>
      </c>
      <c r="G19" s="18">
        <f t="shared" si="8"/>
        <v>12689.583333333334</v>
      </c>
      <c r="H19" s="18">
        <f t="shared" si="8"/>
        <v>12689.583333333334</v>
      </c>
      <c r="I19" s="18">
        <f t="shared" si="8"/>
        <v>12689.583333333334</v>
      </c>
      <c r="J19" s="18">
        <f t="shared" si="8"/>
        <v>12689.583333333334</v>
      </c>
      <c r="K19" s="18">
        <f t="shared" si="8"/>
        <v>12689.583333333334</v>
      </c>
      <c r="L19" s="18">
        <f t="shared" si="8"/>
        <v>12689.583333333334</v>
      </c>
      <c r="M19" s="18">
        <f t="shared" si="8"/>
        <v>12689.583333333334</v>
      </c>
      <c r="N19" s="18">
        <f t="shared" si="8"/>
        <v>12689.583333333334</v>
      </c>
      <c r="O19" s="16">
        <f t="shared" si="7"/>
        <v>152275</v>
      </c>
    </row>
    <row r="20" spans="1:16" hidden="1">
      <c r="B20" s="5" t="s">
        <v>33</v>
      </c>
      <c r="C20" s="15"/>
      <c r="D20" s="18">
        <f t="shared" si="8"/>
        <v>0</v>
      </c>
      <c r="E20" s="18">
        <f t="shared" si="8"/>
        <v>0</v>
      </c>
      <c r="F20" s="18">
        <f t="shared" si="8"/>
        <v>0</v>
      </c>
      <c r="G20" s="18">
        <f t="shared" si="8"/>
        <v>0</v>
      </c>
      <c r="H20" s="18">
        <f t="shared" si="8"/>
        <v>0</v>
      </c>
      <c r="I20" s="18">
        <f t="shared" si="8"/>
        <v>0</v>
      </c>
      <c r="J20" s="18">
        <f t="shared" si="8"/>
        <v>0</v>
      </c>
      <c r="K20" s="18">
        <f t="shared" si="8"/>
        <v>0</v>
      </c>
      <c r="L20" s="18">
        <f t="shared" si="8"/>
        <v>0</v>
      </c>
      <c r="M20" s="18">
        <f t="shared" si="8"/>
        <v>0</v>
      </c>
      <c r="N20" s="18">
        <f t="shared" si="8"/>
        <v>0</v>
      </c>
      <c r="O20" s="16">
        <f t="shared" si="7"/>
        <v>0</v>
      </c>
    </row>
    <row r="21" spans="1:16" hidden="1">
      <c r="B21" s="5" t="s">
        <v>34</v>
      </c>
      <c r="C21" s="15"/>
      <c r="D21" s="18">
        <f t="shared" si="8"/>
        <v>0</v>
      </c>
      <c r="E21" s="18">
        <f t="shared" si="8"/>
        <v>0</v>
      </c>
      <c r="F21" s="18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6">
        <f t="shared" si="7"/>
        <v>0</v>
      </c>
    </row>
    <row r="22" spans="1:16">
      <c r="B22" s="5" t="s">
        <v>35</v>
      </c>
      <c r="C22" s="18">
        <f>(1512000+0)/12</f>
        <v>126000</v>
      </c>
      <c r="D22" s="18">
        <f t="shared" si="8"/>
        <v>126000</v>
      </c>
      <c r="E22" s="18">
        <f t="shared" si="8"/>
        <v>126000</v>
      </c>
      <c r="F22" s="18">
        <f t="shared" si="8"/>
        <v>126000</v>
      </c>
      <c r="G22" s="18">
        <f t="shared" si="8"/>
        <v>126000</v>
      </c>
      <c r="H22" s="18">
        <f t="shared" si="8"/>
        <v>126000</v>
      </c>
      <c r="I22" s="18">
        <f t="shared" si="8"/>
        <v>126000</v>
      </c>
      <c r="J22" s="18">
        <f t="shared" si="8"/>
        <v>126000</v>
      </c>
      <c r="K22" s="18">
        <f t="shared" si="8"/>
        <v>126000</v>
      </c>
      <c r="L22" s="18">
        <f t="shared" si="8"/>
        <v>126000</v>
      </c>
      <c r="M22" s="18">
        <f t="shared" si="8"/>
        <v>126000</v>
      </c>
      <c r="N22" s="18">
        <f t="shared" si="8"/>
        <v>126000</v>
      </c>
      <c r="O22" s="16">
        <f t="shared" si="7"/>
        <v>1512000</v>
      </c>
    </row>
    <row r="23" spans="1:16">
      <c r="B23" s="5" t="s">
        <v>78</v>
      </c>
      <c r="C23" s="18">
        <f>(926800+164640)/12</f>
        <v>90953.333333333328</v>
      </c>
      <c r="D23" s="18">
        <f t="shared" si="8"/>
        <v>90953.333333333328</v>
      </c>
      <c r="E23" s="18">
        <f t="shared" si="8"/>
        <v>90953.333333333328</v>
      </c>
      <c r="F23" s="18">
        <f t="shared" si="8"/>
        <v>90953.333333333328</v>
      </c>
      <c r="G23" s="18">
        <f t="shared" si="8"/>
        <v>90953.333333333328</v>
      </c>
      <c r="H23" s="18">
        <f t="shared" si="8"/>
        <v>90953.333333333328</v>
      </c>
      <c r="I23" s="18">
        <f t="shared" si="8"/>
        <v>90953.333333333328</v>
      </c>
      <c r="J23" s="18">
        <f t="shared" si="8"/>
        <v>90953.333333333328</v>
      </c>
      <c r="K23" s="18">
        <f t="shared" si="8"/>
        <v>90953.333333333328</v>
      </c>
      <c r="L23" s="18">
        <f t="shared" si="8"/>
        <v>90953.333333333328</v>
      </c>
      <c r="M23" s="18">
        <f t="shared" si="8"/>
        <v>90953.333333333328</v>
      </c>
      <c r="N23" s="18">
        <f t="shared" si="8"/>
        <v>90953.333333333328</v>
      </c>
      <c r="O23" s="16">
        <f t="shared" ref="O23" si="9">SUM(C23:N23)</f>
        <v>1091440.0000000002</v>
      </c>
    </row>
    <row r="24" spans="1:16">
      <c r="B24" s="5" t="s">
        <v>36</v>
      </c>
      <c r="C24" s="18">
        <f>(1471536+1388691)/12</f>
        <v>238352.25</v>
      </c>
      <c r="D24" s="18">
        <f t="shared" si="8"/>
        <v>238352.25</v>
      </c>
      <c r="E24" s="18">
        <f t="shared" si="8"/>
        <v>238352.25</v>
      </c>
      <c r="F24" s="18">
        <f t="shared" si="8"/>
        <v>238352.25</v>
      </c>
      <c r="G24" s="18">
        <f t="shared" si="8"/>
        <v>238352.25</v>
      </c>
      <c r="H24" s="18">
        <f t="shared" si="8"/>
        <v>238352.25</v>
      </c>
      <c r="I24" s="18">
        <f t="shared" si="8"/>
        <v>238352.25</v>
      </c>
      <c r="J24" s="18">
        <f t="shared" si="8"/>
        <v>238352.25</v>
      </c>
      <c r="K24" s="18">
        <f t="shared" si="8"/>
        <v>238352.25</v>
      </c>
      <c r="L24" s="18">
        <f t="shared" si="8"/>
        <v>238352.25</v>
      </c>
      <c r="M24" s="18">
        <f t="shared" si="8"/>
        <v>238352.25</v>
      </c>
      <c r="N24" s="18">
        <f t="shared" si="8"/>
        <v>238352.25</v>
      </c>
      <c r="O24" s="16">
        <f t="shared" si="7"/>
        <v>2860227</v>
      </c>
    </row>
    <row r="25" spans="1:16">
      <c r="A25" t="s">
        <v>21</v>
      </c>
      <c r="B25" s="9" t="s">
        <v>116</v>
      </c>
      <c r="C25" s="19">
        <f t="shared" ref="C25:N25" si="10">SUM(C17:C24)</f>
        <v>548275.91666666663</v>
      </c>
      <c r="D25" s="19">
        <f t="shared" si="10"/>
        <v>548275.91666666663</v>
      </c>
      <c r="E25" s="19">
        <f t="shared" si="10"/>
        <v>548275.91666666663</v>
      </c>
      <c r="F25" s="19">
        <f t="shared" si="10"/>
        <v>548275.91666666663</v>
      </c>
      <c r="G25" s="19">
        <f t="shared" si="10"/>
        <v>548275.91666666663</v>
      </c>
      <c r="H25" s="19">
        <f t="shared" si="10"/>
        <v>548275.91666666663</v>
      </c>
      <c r="I25" s="19">
        <f t="shared" si="10"/>
        <v>548275.91666666663</v>
      </c>
      <c r="J25" s="19">
        <f t="shared" si="10"/>
        <v>548275.91666666663</v>
      </c>
      <c r="K25" s="19">
        <f t="shared" si="10"/>
        <v>548275.91666666663</v>
      </c>
      <c r="L25" s="19">
        <f t="shared" si="10"/>
        <v>548275.91666666663</v>
      </c>
      <c r="M25" s="19">
        <f t="shared" si="10"/>
        <v>548275.91666666663</v>
      </c>
      <c r="N25" s="19">
        <f t="shared" si="10"/>
        <v>548275.91666666663</v>
      </c>
      <c r="O25" s="19">
        <f>SUM(O17:O24)</f>
        <v>6579311</v>
      </c>
    </row>
    <row r="26" spans="1:16" ht="16.149999999999999" customHeight="1">
      <c r="B26" s="9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6"/>
    </row>
    <row r="27" spans="1:16" ht="15.75" thickBot="1">
      <c r="A27" t="s">
        <v>117</v>
      </c>
      <c r="B27" s="9" t="s">
        <v>143</v>
      </c>
      <c r="C27" s="21">
        <f>C25+C14</f>
        <v>1256556.6666666665</v>
      </c>
      <c r="D27" s="21">
        <f>D25+D14</f>
        <v>1256556.6666666665</v>
      </c>
      <c r="E27" s="21">
        <f t="shared" ref="E27:O27" si="11">E25+E14</f>
        <v>1256556.6666666665</v>
      </c>
      <c r="F27" s="21">
        <f t="shared" si="11"/>
        <v>1256556.6666666665</v>
      </c>
      <c r="G27" s="21">
        <f t="shared" si="11"/>
        <v>1256556.6666666665</v>
      </c>
      <c r="H27" s="21">
        <f t="shared" si="11"/>
        <v>1256556.6666666665</v>
      </c>
      <c r="I27" s="21">
        <f t="shared" si="11"/>
        <v>1256556.6666666665</v>
      </c>
      <c r="J27" s="21">
        <f t="shared" si="11"/>
        <v>1256556.6666666665</v>
      </c>
      <c r="K27" s="21">
        <f t="shared" si="11"/>
        <v>1256556.6666666665</v>
      </c>
      <c r="L27" s="21">
        <f t="shared" si="11"/>
        <v>1256556.6666666665</v>
      </c>
      <c r="M27" s="21">
        <f t="shared" si="11"/>
        <v>1256556.6666666665</v>
      </c>
      <c r="N27" s="21">
        <f t="shared" si="11"/>
        <v>1256556.6666666665</v>
      </c>
      <c r="O27" s="21">
        <f t="shared" si="11"/>
        <v>15078680</v>
      </c>
    </row>
    <row r="28" spans="1:16" ht="15.75" thickTop="1">
      <c r="B28" s="9"/>
    </row>
    <row r="29" spans="1:16">
      <c r="B29" s="10" t="s">
        <v>59</v>
      </c>
    </row>
    <row r="30" spans="1:16">
      <c r="B30" s="6" t="s">
        <v>31</v>
      </c>
      <c r="C30" s="18">
        <v>1211535.21</v>
      </c>
      <c r="D30" s="18">
        <v>260965.1</v>
      </c>
      <c r="E30" s="18">
        <v>441832.41000000003</v>
      </c>
      <c r="F30" s="18">
        <v>371890.82</v>
      </c>
      <c r="G30" s="18">
        <v>219788.96</v>
      </c>
      <c r="H30" s="18">
        <v>1057050.1000000001</v>
      </c>
      <c r="I30" s="18"/>
      <c r="J30" s="18"/>
      <c r="K30" s="18"/>
      <c r="L30" s="18"/>
      <c r="M30" s="18"/>
      <c r="N30" s="18"/>
      <c r="O30" s="16">
        <f t="shared" ref="O30:O36" si="12">SUM(C30:N30)</f>
        <v>3563062.6</v>
      </c>
      <c r="P30" s="16">
        <f t="shared" ref="P30:P36" si="13">SUM(D30:O30)</f>
        <v>5914589.9900000002</v>
      </c>
    </row>
    <row r="31" spans="1:16">
      <c r="B31" s="6" t="s">
        <v>32</v>
      </c>
      <c r="C31" s="18">
        <v>224080.69</v>
      </c>
      <c r="D31" s="18">
        <v>182305.82</v>
      </c>
      <c r="E31" s="18">
        <v>130649.24</v>
      </c>
      <c r="F31" s="18">
        <v>123131.48999999999</v>
      </c>
      <c r="G31" s="18">
        <v>126398.06</v>
      </c>
      <c r="H31" s="18">
        <v>123269.82</v>
      </c>
      <c r="I31" s="18"/>
      <c r="J31" s="18"/>
      <c r="K31" s="18"/>
      <c r="L31" s="18"/>
      <c r="M31" s="18"/>
      <c r="N31" s="18"/>
      <c r="O31" s="16">
        <f t="shared" si="12"/>
        <v>909835.12000000011</v>
      </c>
      <c r="P31" s="16">
        <f t="shared" si="13"/>
        <v>1595589.55</v>
      </c>
    </row>
    <row r="32" spans="1:16">
      <c r="B32" s="6" t="s">
        <v>76</v>
      </c>
      <c r="C32" s="18">
        <v>0</v>
      </c>
      <c r="D32" s="18">
        <v>0</v>
      </c>
      <c r="E32" s="18">
        <v>157965.53</v>
      </c>
      <c r="F32" s="18"/>
      <c r="G32" s="18">
        <v>95834.81</v>
      </c>
      <c r="H32" s="18">
        <v>120198.61</v>
      </c>
      <c r="I32" s="18"/>
      <c r="J32" s="18"/>
      <c r="K32" s="18"/>
      <c r="L32" s="18"/>
      <c r="M32" s="18"/>
      <c r="N32" s="18"/>
      <c r="O32" s="16">
        <f t="shared" si="12"/>
        <v>373998.95</v>
      </c>
      <c r="P32" s="16">
        <f t="shared" si="13"/>
        <v>747997.9</v>
      </c>
    </row>
    <row r="33" spans="1:16" hidden="1">
      <c r="B33" s="6" t="s">
        <v>33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6">
        <f t="shared" si="12"/>
        <v>0</v>
      </c>
      <c r="P33" s="16">
        <f t="shared" si="13"/>
        <v>0</v>
      </c>
    </row>
    <row r="34" spans="1:16" hidden="1">
      <c r="B34" s="6" t="s">
        <v>34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6">
        <f t="shared" si="12"/>
        <v>0</v>
      </c>
      <c r="P34" s="16">
        <f t="shared" si="13"/>
        <v>0</v>
      </c>
    </row>
    <row r="35" spans="1:16" hidden="1">
      <c r="B35" s="6" t="s">
        <v>35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6">
        <f t="shared" si="12"/>
        <v>0</v>
      </c>
      <c r="P35" s="16">
        <f t="shared" si="13"/>
        <v>0</v>
      </c>
    </row>
    <row r="36" spans="1:16" hidden="1">
      <c r="B36" s="6" t="s">
        <v>36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6">
        <f t="shared" si="12"/>
        <v>0</v>
      </c>
      <c r="P36" s="16">
        <f t="shared" si="13"/>
        <v>0</v>
      </c>
    </row>
    <row r="37" spans="1:16">
      <c r="A37" t="s">
        <v>20</v>
      </c>
      <c r="B37" s="10" t="s">
        <v>38</v>
      </c>
      <c r="C37" s="19">
        <f>SUM(C30:C36)</f>
        <v>1435615.9</v>
      </c>
      <c r="D37" s="19">
        <f t="shared" ref="D37:E37" si="14">SUM(D30:D36)</f>
        <v>443270.92000000004</v>
      </c>
      <c r="E37" s="19">
        <f t="shared" si="14"/>
        <v>730447.18</v>
      </c>
      <c r="F37" s="19">
        <f t="shared" ref="F37:N37" si="15">SUM(F30:F36)</f>
        <v>495022.31</v>
      </c>
      <c r="G37" s="19">
        <f t="shared" si="15"/>
        <v>442021.83</v>
      </c>
      <c r="H37" s="19">
        <f t="shared" si="15"/>
        <v>1300518.5300000003</v>
      </c>
      <c r="I37" s="19">
        <f t="shared" si="15"/>
        <v>0</v>
      </c>
      <c r="J37" s="19">
        <f t="shared" si="15"/>
        <v>0</v>
      </c>
      <c r="K37" s="19">
        <f t="shared" si="15"/>
        <v>0</v>
      </c>
      <c r="L37" s="19">
        <f t="shared" si="15"/>
        <v>0</v>
      </c>
      <c r="M37" s="19">
        <f t="shared" si="15"/>
        <v>0</v>
      </c>
      <c r="N37" s="19">
        <f t="shared" si="15"/>
        <v>0</v>
      </c>
      <c r="O37" s="19">
        <f t="shared" ref="O37" si="16">SUM(O30:O36)</f>
        <v>4846896.6700000009</v>
      </c>
      <c r="P37" s="19">
        <f>SUM(P30:P36)</f>
        <v>8258177.4400000004</v>
      </c>
    </row>
    <row r="38" spans="1:16">
      <c r="B38" s="10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</row>
    <row r="39" spans="1:16">
      <c r="B39" s="10" t="s">
        <v>119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6"/>
      <c r="P39" s="18"/>
    </row>
    <row r="40" spans="1:16">
      <c r="B40" s="6" t="s">
        <v>31</v>
      </c>
      <c r="C40" s="18">
        <f>100263.28+7266.1</f>
        <v>107529.38</v>
      </c>
      <c r="D40" s="18">
        <f>11994.15+6554.37</f>
        <v>18548.52</v>
      </c>
      <c r="E40" s="18">
        <f>24336.78+7575.68</f>
        <v>31912.46</v>
      </c>
      <c r="F40" s="18">
        <f>41997.27+7530.4</f>
        <v>49527.67</v>
      </c>
      <c r="G40" s="18">
        <v>14803.720000000003</v>
      </c>
      <c r="H40" s="18">
        <v>41659.21</v>
      </c>
      <c r="I40" s="18"/>
      <c r="J40" s="18"/>
      <c r="K40" s="18"/>
      <c r="L40" s="18"/>
      <c r="M40" s="18"/>
      <c r="N40" s="18"/>
      <c r="O40" s="16">
        <f t="shared" ref="O40:O47" si="17">SUM(C40:N40)</f>
        <v>263980.96000000002</v>
      </c>
      <c r="P40" s="16">
        <f t="shared" ref="P40:P47" si="18">SUM(D40:O40)</f>
        <v>420432.54000000004</v>
      </c>
    </row>
    <row r="41" spans="1:16">
      <c r="B41" s="6" t="s">
        <v>32</v>
      </c>
      <c r="C41" s="18">
        <f>8194.18+1274.47</f>
        <v>9468.65</v>
      </c>
      <c r="D41" s="18">
        <f>8336.55+986.44</f>
        <v>9322.99</v>
      </c>
      <c r="E41" s="18">
        <f>95010.95+1571.25</f>
        <v>96582.2</v>
      </c>
      <c r="F41" s="18">
        <f>32020.38+1385.07</f>
        <v>33405.450000000004</v>
      </c>
      <c r="G41" s="18">
        <v>54245.83</v>
      </c>
      <c r="H41" s="18">
        <v>64464.68</v>
      </c>
      <c r="I41" s="18"/>
      <c r="J41" s="18"/>
      <c r="K41" s="18"/>
      <c r="L41" s="18"/>
      <c r="M41" s="18"/>
      <c r="N41" s="18"/>
      <c r="O41" s="16">
        <f t="shared" si="17"/>
        <v>267489.8</v>
      </c>
      <c r="P41" s="16">
        <f t="shared" si="18"/>
        <v>525510.94999999995</v>
      </c>
    </row>
    <row r="42" spans="1:16">
      <c r="B42" s="6" t="s">
        <v>76</v>
      </c>
      <c r="C42" s="18">
        <f>1498.82+1372.62</f>
        <v>2871.4399999999996</v>
      </c>
      <c r="D42" s="18">
        <f>54.83+653.61</f>
        <v>708.44</v>
      </c>
      <c r="E42" s="18">
        <f>5309.24-718.98</f>
        <v>4590.26</v>
      </c>
      <c r="F42" s="18">
        <f>2102.63+268.54</f>
        <v>2371.17</v>
      </c>
      <c r="G42" s="18">
        <v>2027.02</v>
      </c>
      <c r="H42" s="18">
        <v>2700.59</v>
      </c>
      <c r="I42" s="18"/>
      <c r="J42" s="18"/>
      <c r="K42" s="18"/>
      <c r="L42" s="18"/>
      <c r="M42" s="18"/>
      <c r="N42" s="18"/>
      <c r="O42" s="16">
        <f t="shared" si="17"/>
        <v>15268.92</v>
      </c>
      <c r="P42" s="16">
        <f t="shared" si="18"/>
        <v>27666.400000000001</v>
      </c>
    </row>
    <row r="43" spans="1:16">
      <c r="B43" s="6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6">
        <f t="shared" si="17"/>
        <v>0</v>
      </c>
      <c r="P43" s="16">
        <f t="shared" si="18"/>
        <v>0</v>
      </c>
    </row>
    <row r="44" spans="1:16">
      <c r="B44" s="6" t="s">
        <v>34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6">
        <f t="shared" si="17"/>
        <v>0</v>
      </c>
      <c r="P44" s="16">
        <f t="shared" si="18"/>
        <v>0</v>
      </c>
    </row>
    <row r="45" spans="1:16">
      <c r="B45" s="6" t="s">
        <v>35</v>
      </c>
      <c r="C45" s="18">
        <v>2008.56</v>
      </c>
      <c r="D45" s="18">
        <v>2491.9900000000002</v>
      </c>
      <c r="E45" s="18">
        <v>2412.96</v>
      </c>
      <c r="F45" s="18">
        <v>308407.89</v>
      </c>
      <c r="G45" s="18"/>
      <c r="H45" s="18"/>
      <c r="I45" s="18"/>
      <c r="J45" s="18"/>
      <c r="K45" s="18"/>
      <c r="L45" s="18"/>
      <c r="M45" s="18"/>
      <c r="N45" s="18"/>
      <c r="O45" s="16">
        <f t="shared" si="17"/>
        <v>315321.40000000002</v>
      </c>
      <c r="P45" s="16">
        <f t="shared" si="18"/>
        <v>628634.24</v>
      </c>
    </row>
    <row r="46" spans="1:16">
      <c r="B46" s="6" t="s">
        <v>78</v>
      </c>
      <c r="C46" s="18">
        <v>33410.520000000004</v>
      </c>
      <c r="D46" s="18">
        <v>40594.160000000003</v>
      </c>
      <c r="E46" s="18">
        <v>49516.72</v>
      </c>
      <c r="F46" s="18">
        <v>47139.65</v>
      </c>
      <c r="G46" s="18">
        <v>10749.92</v>
      </c>
      <c r="H46" s="18">
        <v>100746.52</v>
      </c>
      <c r="I46" s="18"/>
      <c r="J46" s="18"/>
      <c r="K46" s="18"/>
      <c r="L46" s="18"/>
      <c r="M46" s="18"/>
      <c r="N46" s="18"/>
      <c r="O46" s="16">
        <f t="shared" ref="O46" si="19">SUM(C46:N46)</f>
        <v>282157.49000000005</v>
      </c>
      <c r="P46" s="16"/>
    </row>
    <row r="47" spans="1:16">
      <c r="B47" s="6" t="s">
        <v>36</v>
      </c>
      <c r="C47" s="18">
        <v>85332.25</v>
      </c>
      <c r="D47" s="18">
        <v>107213.77</v>
      </c>
      <c r="E47" s="18">
        <v>114691.33</v>
      </c>
      <c r="F47" s="18">
        <v>137661.38</v>
      </c>
      <c r="G47" s="18">
        <v>104297.33</v>
      </c>
      <c r="H47" s="18">
        <v>111624.20000000001</v>
      </c>
      <c r="I47" s="18"/>
      <c r="J47" s="18"/>
      <c r="K47" s="18"/>
      <c r="L47" s="18"/>
      <c r="M47" s="18"/>
      <c r="N47" s="18"/>
      <c r="O47" s="16">
        <f t="shared" si="17"/>
        <v>660820.26</v>
      </c>
      <c r="P47" s="16">
        <f t="shared" si="18"/>
        <v>1236308.27</v>
      </c>
    </row>
    <row r="48" spans="1:16">
      <c r="A48" t="s">
        <v>24</v>
      </c>
      <c r="B48" s="10" t="s">
        <v>120</v>
      </c>
      <c r="C48" s="19">
        <f t="shared" ref="C48:E48" si="20">SUM(C40:C47)</f>
        <v>240620.79999999999</v>
      </c>
      <c r="D48" s="19">
        <f t="shared" si="20"/>
        <v>178879.87</v>
      </c>
      <c r="E48" s="19">
        <f t="shared" si="20"/>
        <v>299705.93</v>
      </c>
      <c r="F48" s="19">
        <f t="shared" ref="F48:O48" si="21">SUM(F40:F47)</f>
        <v>578513.21</v>
      </c>
      <c r="G48" s="19">
        <f t="shared" si="21"/>
        <v>186123.82</v>
      </c>
      <c r="H48" s="19">
        <f t="shared" si="21"/>
        <v>321195.2</v>
      </c>
      <c r="I48" s="19">
        <f t="shared" si="21"/>
        <v>0</v>
      </c>
      <c r="J48" s="19">
        <f t="shared" si="21"/>
        <v>0</v>
      </c>
      <c r="K48" s="19">
        <f t="shared" si="21"/>
        <v>0</v>
      </c>
      <c r="L48" s="19">
        <f t="shared" si="21"/>
        <v>0</v>
      </c>
      <c r="M48" s="19">
        <f t="shared" si="21"/>
        <v>0</v>
      </c>
      <c r="N48" s="19">
        <f t="shared" si="21"/>
        <v>0</v>
      </c>
      <c r="O48" s="19">
        <f t="shared" si="21"/>
        <v>1805038.83</v>
      </c>
      <c r="P48" s="19">
        <f>SUM(P40:P47)</f>
        <v>2838552.4</v>
      </c>
    </row>
    <row r="49" spans="1:16">
      <c r="B49" s="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</row>
    <row r="50" spans="1:16" ht="15.75" thickBot="1">
      <c r="A50" t="s">
        <v>118</v>
      </c>
      <c r="B50" s="10" t="s">
        <v>144</v>
      </c>
      <c r="C50" s="21">
        <f>C48+C37</f>
        <v>1676236.7</v>
      </c>
      <c r="D50" s="21">
        <f t="shared" ref="D50:O50" si="22">D48+D37</f>
        <v>622150.79</v>
      </c>
      <c r="E50" s="21">
        <f t="shared" si="22"/>
        <v>1030153.1100000001</v>
      </c>
      <c r="F50" s="21">
        <f t="shared" si="22"/>
        <v>1073535.52</v>
      </c>
      <c r="G50" s="21">
        <f t="shared" si="22"/>
        <v>628145.65</v>
      </c>
      <c r="H50" s="21">
        <f t="shared" si="22"/>
        <v>1621713.7300000002</v>
      </c>
      <c r="I50" s="21">
        <f t="shared" si="22"/>
        <v>0</v>
      </c>
      <c r="J50" s="21">
        <f t="shared" si="22"/>
        <v>0</v>
      </c>
      <c r="K50" s="21">
        <f t="shared" si="22"/>
        <v>0</v>
      </c>
      <c r="L50" s="21">
        <f t="shared" si="22"/>
        <v>0</v>
      </c>
      <c r="M50" s="21">
        <f t="shared" si="22"/>
        <v>0</v>
      </c>
      <c r="N50" s="21">
        <f t="shared" si="22"/>
        <v>0</v>
      </c>
      <c r="O50" s="21">
        <f t="shared" si="22"/>
        <v>6651935.5000000009</v>
      </c>
      <c r="P50" s="21" t="e">
        <f>#REF!+P48+P37</f>
        <v>#REF!</v>
      </c>
    </row>
    <row r="51" spans="1:16" ht="15.75" thickTop="1">
      <c r="B51" s="9"/>
    </row>
    <row r="52" spans="1:16">
      <c r="B52" s="41" t="s">
        <v>39</v>
      </c>
    </row>
    <row r="53" spans="1:16">
      <c r="B53" s="41" t="s">
        <v>60</v>
      </c>
    </row>
    <row r="54" spans="1:16">
      <c r="B54" s="40" t="s">
        <v>31</v>
      </c>
      <c r="C54" s="36">
        <f t="shared" ref="C54:N54" si="23">C7-C30</f>
        <v>-731061.96</v>
      </c>
      <c r="D54" s="36">
        <f t="shared" si="23"/>
        <v>219508.15</v>
      </c>
      <c r="E54" s="36">
        <f t="shared" si="23"/>
        <v>38640.839999999967</v>
      </c>
      <c r="F54" s="36">
        <f t="shared" si="23"/>
        <v>108582.43</v>
      </c>
      <c r="G54" s="36">
        <f t="shared" si="23"/>
        <v>260684.29</v>
      </c>
      <c r="H54" s="36">
        <f t="shared" si="23"/>
        <v>-576576.85000000009</v>
      </c>
      <c r="I54" s="36">
        <f t="shared" si="23"/>
        <v>480473.25</v>
      </c>
      <c r="J54" s="36">
        <f t="shared" si="23"/>
        <v>480473.25</v>
      </c>
      <c r="K54" s="36">
        <f t="shared" si="23"/>
        <v>480473.25</v>
      </c>
      <c r="L54" s="36">
        <f t="shared" si="23"/>
        <v>480473.25</v>
      </c>
      <c r="M54" s="36">
        <f t="shared" si="23"/>
        <v>480473.25</v>
      </c>
      <c r="N54" s="36">
        <f t="shared" si="23"/>
        <v>480473.25</v>
      </c>
      <c r="O54" s="16">
        <f t="shared" ref="O54:O60" si="24">SUM(C54:N54)</f>
        <v>2202616.4</v>
      </c>
    </row>
    <row r="55" spans="1:16">
      <c r="B55" s="40" t="s">
        <v>32</v>
      </c>
      <c r="C55" s="36">
        <f t="shared" ref="C55:N55" si="25">C8-C31</f>
        <v>-80870.606666666659</v>
      </c>
      <c r="D55" s="36">
        <f t="shared" si="25"/>
        <v>-39095.736666666664</v>
      </c>
      <c r="E55" s="36">
        <f t="shared" si="25"/>
        <v>12560.843333333338</v>
      </c>
      <c r="F55" s="36">
        <f t="shared" si="25"/>
        <v>20078.593333333352</v>
      </c>
      <c r="G55" s="36">
        <f t="shared" si="25"/>
        <v>16812.023333333345</v>
      </c>
      <c r="H55" s="36">
        <f t="shared" si="25"/>
        <v>19940.263333333336</v>
      </c>
      <c r="I55" s="36">
        <f t="shared" si="25"/>
        <v>143210.08333333334</v>
      </c>
      <c r="J55" s="36">
        <f t="shared" si="25"/>
        <v>143210.08333333334</v>
      </c>
      <c r="K55" s="36">
        <f t="shared" si="25"/>
        <v>143210.08333333334</v>
      </c>
      <c r="L55" s="36">
        <f t="shared" si="25"/>
        <v>143210.08333333334</v>
      </c>
      <c r="M55" s="36">
        <f t="shared" si="25"/>
        <v>143210.08333333334</v>
      </c>
      <c r="N55" s="36">
        <f t="shared" si="25"/>
        <v>143210.08333333334</v>
      </c>
      <c r="O55" s="16">
        <f t="shared" si="24"/>
        <v>808685.88000000024</v>
      </c>
    </row>
    <row r="56" spans="1:16">
      <c r="B56" s="40" t="s">
        <v>76</v>
      </c>
      <c r="C56" s="36">
        <f t="shared" ref="C56:N56" si="26">C9-C32</f>
        <v>84597.416666666672</v>
      </c>
      <c r="D56" s="36">
        <f t="shared" si="26"/>
        <v>84597.416666666672</v>
      </c>
      <c r="E56" s="36">
        <f t="shared" si="26"/>
        <v>-73368.113333333327</v>
      </c>
      <c r="F56" s="36">
        <f t="shared" si="26"/>
        <v>84597.416666666672</v>
      </c>
      <c r="G56" s="36">
        <f t="shared" si="26"/>
        <v>-11237.393333333326</v>
      </c>
      <c r="H56" s="36">
        <f t="shared" si="26"/>
        <v>-35601.193333333329</v>
      </c>
      <c r="I56" s="36">
        <f t="shared" si="26"/>
        <v>84597.416666666672</v>
      </c>
      <c r="J56" s="36">
        <f t="shared" si="26"/>
        <v>84597.416666666672</v>
      </c>
      <c r="K56" s="36">
        <f t="shared" si="26"/>
        <v>84597.416666666672</v>
      </c>
      <c r="L56" s="36">
        <f t="shared" si="26"/>
        <v>84597.416666666672</v>
      </c>
      <c r="M56" s="36">
        <f t="shared" si="26"/>
        <v>84597.416666666672</v>
      </c>
      <c r="N56" s="36">
        <f t="shared" si="26"/>
        <v>84597.416666666672</v>
      </c>
      <c r="O56" s="16">
        <f t="shared" si="24"/>
        <v>641170.05000000005</v>
      </c>
    </row>
    <row r="57" spans="1:16" hidden="1">
      <c r="B57" s="40" t="s">
        <v>33</v>
      </c>
      <c r="C57" s="36">
        <f t="shared" ref="C57:N57" si="27">C10-C33</f>
        <v>0</v>
      </c>
      <c r="D57" s="36">
        <f t="shared" si="27"/>
        <v>0</v>
      </c>
      <c r="E57" s="36">
        <f t="shared" si="27"/>
        <v>0</v>
      </c>
      <c r="F57" s="36">
        <f t="shared" si="27"/>
        <v>0</v>
      </c>
      <c r="G57" s="36">
        <f t="shared" si="27"/>
        <v>0</v>
      </c>
      <c r="H57" s="36">
        <f t="shared" si="27"/>
        <v>0</v>
      </c>
      <c r="I57" s="36">
        <f t="shared" si="27"/>
        <v>0</v>
      </c>
      <c r="J57" s="36">
        <f t="shared" si="27"/>
        <v>0</v>
      </c>
      <c r="K57" s="36">
        <f t="shared" si="27"/>
        <v>0</v>
      </c>
      <c r="L57" s="36">
        <f t="shared" si="27"/>
        <v>0</v>
      </c>
      <c r="M57" s="36">
        <f t="shared" si="27"/>
        <v>0</v>
      </c>
      <c r="N57" s="36">
        <f t="shared" si="27"/>
        <v>0</v>
      </c>
      <c r="O57" s="16">
        <f t="shared" si="24"/>
        <v>0</v>
      </c>
    </row>
    <row r="58" spans="1:16" hidden="1">
      <c r="B58" s="40" t="s">
        <v>34</v>
      </c>
      <c r="C58" s="36">
        <f t="shared" ref="C58:N58" si="28">C11-C34</f>
        <v>0</v>
      </c>
      <c r="D58" s="36">
        <f t="shared" si="28"/>
        <v>0</v>
      </c>
      <c r="E58" s="36">
        <f t="shared" si="28"/>
        <v>0</v>
      </c>
      <c r="F58" s="36">
        <f t="shared" si="28"/>
        <v>0</v>
      </c>
      <c r="G58" s="36">
        <f t="shared" si="28"/>
        <v>0</v>
      </c>
      <c r="H58" s="36">
        <f t="shared" si="28"/>
        <v>0</v>
      </c>
      <c r="I58" s="36">
        <f t="shared" si="28"/>
        <v>0</v>
      </c>
      <c r="J58" s="36">
        <f t="shared" si="28"/>
        <v>0</v>
      </c>
      <c r="K58" s="36">
        <f t="shared" si="28"/>
        <v>0</v>
      </c>
      <c r="L58" s="36">
        <f t="shared" si="28"/>
        <v>0</v>
      </c>
      <c r="M58" s="36">
        <f t="shared" si="28"/>
        <v>0</v>
      </c>
      <c r="N58" s="36">
        <f t="shared" si="28"/>
        <v>0</v>
      </c>
      <c r="O58" s="16">
        <f t="shared" si="24"/>
        <v>0</v>
      </c>
    </row>
    <row r="59" spans="1:16" hidden="1">
      <c r="B59" s="40" t="s">
        <v>35</v>
      </c>
      <c r="C59" s="36">
        <f t="shared" ref="C59:N59" si="29">C12-C35</f>
        <v>0</v>
      </c>
      <c r="D59" s="36">
        <f t="shared" si="29"/>
        <v>0</v>
      </c>
      <c r="E59" s="36">
        <f t="shared" si="29"/>
        <v>0</v>
      </c>
      <c r="F59" s="36">
        <f t="shared" si="29"/>
        <v>0</v>
      </c>
      <c r="G59" s="36">
        <f t="shared" si="29"/>
        <v>0</v>
      </c>
      <c r="H59" s="36">
        <f t="shared" si="29"/>
        <v>0</v>
      </c>
      <c r="I59" s="36">
        <f t="shared" si="29"/>
        <v>0</v>
      </c>
      <c r="J59" s="36">
        <f t="shared" si="29"/>
        <v>0</v>
      </c>
      <c r="K59" s="36">
        <f t="shared" si="29"/>
        <v>0</v>
      </c>
      <c r="L59" s="36">
        <f t="shared" si="29"/>
        <v>0</v>
      </c>
      <c r="M59" s="36">
        <f t="shared" si="29"/>
        <v>0</v>
      </c>
      <c r="N59" s="36">
        <f t="shared" si="29"/>
        <v>0</v>
      </c>
      <c r="O59" s="16">
        <f t="shared" si="24"/>
        <v>0</v>
      </c>
    </row>
    <row r="60" spans="1:16" hidden="1">
      <c r="B60" s="40" t="s">
        <v>36</v>
      </c>
      <c r="C60" s="36">
        <f t="shared" ref="C60:N60" si="30">C13-C36</f>
        <v>0</v>
      </c>
      <c r="D60" s="36">
        <f t="shared" si="30"/>
        <v>0</v>
      </c>
      <c r="E60" s="36">
        <f t="shared" si="30"/>
        <v>0</v>
      </c>
      <c r="F60" s="36">
        <f t="shared" si="30"/>
        <v>0</v>
      </c>
      <c r="G60" s="36">
        <f t="shared" si="30"/>
        <v>0</v>
      </c>
      <c r="H60" s="36">
        <f t="shared" si="30"/>
        <v>0</v>
      </c>
      <c r="I60" s="36">
        <f t="shared" si="30"/>
        <v>0</v>
      </c>
      <c r="J60" s="36">
        <f t="shared" si="30"/>
        <v>0</v>
      </c>
      <c r="K60" s="36">
        <f t="shared" si="30"/>
        <v>0</v>
      </c>
      <c r="L60" s="36">
        <f t="shared" si="30"/>
        <v>0</v>
      </c>
      <c r="M60" s="36">
        <f t="shared" si="30"/>
        <v>0</v>
      </c>
      <c r="N60" s="36">
        <f t="shared" si="30"/>
        <v>0</v>
      </c>
      <c r="O60" s="16">
        <f t="shared" si="24"/>
        <v>0</v>
      </c>
    </row>
    <row r="61" spans="1:16">
      <c r="A61" t="s">
        <v>121</v>
      </c>
      <c r="B61" s="41" t="s">
        <v>40</v>
      </c>
      <c r="C61" s="19">
        <f t="shared" ref="C61:N61" si="31">C14-C37</f>
        <v>-727335.14999999991</v>
      </c>
      <c r="D61" s="19">
        <f t="shared" si="31"/>
        <v>265009.82999999996</v>
      </c>
      <c r="E61" s="19">
        <f t="shared" si="31"/>
        <v>-22166.430000000051</v>
      </c>
      <c r="F61" s="19">
        <f t="shared" si="31"/>
        <v>213258.44</v>
      </c>
      <c r="G61" s="19">
        <f t="shared" si="31"/>
        <v>266258.92</v>
      </c>
      <c r="H61" s="19">
        <f t="shared" si="31"/>
        <v>-592237.78000000026</v>
      </c>
      <c r="I61" s="19">
        <f t="shared" si="31"/>
        <v>708280.75</v>
      </c>
      <c r="J61" s="19">
        <f t="shared" si="31"/>
        <v>708280.75</v>
      </c>
      <c r="K61" s="19">
        <f t="shared" si="31"/>
        <v>708280.75</v>
      </c>
      <c r="L61" s="19">
        <f t="shared" si="31"/>
        <v>708280.75</v>
      </c>
      <c r="M61" s="19">
        <f t="shared" si="31"/>
        <v>708280.75</v>
      </c>
      <c r="N61" s="19">
        <f t="shared" si="31"/>
        <v>708280.75</v>
      </c>
      <c r="O61" s="19">
        <f t="shared" ref="O61" si="32">SUM(O54:O60)</f>
        <v>3652472.33</v>
      </c>
    </row>
    <row r="62" spans="1:16">
      <c r="B62" s="41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18"/>
    </row>
    <row r="63" spans="1:16">
      <c r="B63" s="41" t="s">
        <v>125</v>
      </c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16"/>
    </row>
    <row r="64" spans="1:16">
      <c r="B64" s="40" t="s">
        <v>31</v>
      </c>
      <c r="C64" s="36">
        <f t="shared" ref="C64:N64" si="33">C17-C40</f>
        <v>-47811.546666666669</v>
      </c>
      <c r="D64" s="36">
        <f t="shared" si="33"/>
        <v>41169.313333333339</v>
      </c>
      <c r="E64" s="36">
        <f t="shared" si="33"/>
        <v>27805.373333333337</v>
      </c>
      <c r="F64" s="36">
        <f t="shared" si="33"/>
        <v>10190.163333333338</v>
      </c>
      <c r="G64" s="36">
        <f t="shared" si="33"/>
        <v>44914.113333333335</v>
      </c>
      <c r="H64" s="36">
        <f t="shared" si="33"/>
        <v>18058.623333333337</v>
      </c>
      <c r="I64" s="36">
        <f t="shared" si="33"/>
        <v>59717.833333333336</v>
      </c>
      <c r="J64" s="36">
        <f t="shared" si="33"/>
        <v>59717.833333333336</v>
      </c>
      <c r="K64" s="36">
        <f t="shared" si="33"/>
        <v>59717.833333333336</v>
      </c>
      <c r="L64" s="36">
        <f t="shared" si="33"/>
        <v>59717.833333333336</v>
      </c>
      <c r="M64" s="36">
        <f t="shared" si="33"/>
        <v>59717.833333333336</v>
      </c>
      <c r="N64" s="36">
        <f t="shared" si="33"/>
        <v>59717.833333333336</v>
      </c>
      <c r="O64" s="16">
        <f t="shared" ref="O64:O71" si="34">SUM(C64:N64)</f>
        <v>452633.04</v>
      </c>
    </row>
    <row r="65" spans="1:15">
      <c r="B65" s="40" t="s">
        <v>32</v>
      </c>
      <c r="C65" s="36">
        <f t="shared" ref="C65:N65" si="35">C18-C41</f>
        <v>11094.266666666668</v>
      </c>
      <c r="D65" s="36">
        <f t="shared" si="35"/>
        <v>11239.926666666668</v>
      </c>
      <c r="E65" s="36">
        <f t="shared" si="35"/>
        <v>-76019.283333333326</v>
      </c>
      <c r="F65" s="36">
        <f t="shared" si="35"/>
        <v>-12842.533333333336</v>
      </c>
      <c r="G65" s="36">
        <f t="shared" si="35"/>
        <v>-33682.91333333333</v>
      </c>
      <c r="H65" s="36">
        <f t="shared" si="35"/>
        <v>-43901.763333333336</v>
      </c>
      <c r="I65" s="36">
        <f t="shared" si="35"/>
        <v>20562.916666666668</v>
      </c>
      <c r="J65" s="36">
        <f t="shared" si="35"/>
        <v>20562.916666666668</v>
      </c>
      <c r="K65" s="36">
        <f t="shared" si="35"/>
        <v>20562.916666666668</v>
      </c>
      <c r="L65" s="36">
        <f t="shared" si="35"/>
        <v>20562.916666666668</v>
      </c>
      <c r="M65" s="36">
        <f t="shared" si="35"/>
        <v>20562.916666666668</v>
      </c>
      <c r="N65" s="36">
        <f t="shared" si="35"/>
        <v>20562.916666666668</v>
      </c>
      <c r="O65" s="16">
        <f t="shared" si="34"/>
        <v>-20734.799999999963</v>
      </c>
    </row>
    <row r="66" spans="1:15" hidden="1">
      <c r="B66" s="40" t="s">
        <v>33</v>
      </c>
      <c r="C66" s="36">
        <f t="shared" ref="C66:N66" si="36">C20-C43</f>
        <v>0</v>
      </c>
      <c r="D66" s="36">
        <f t="shared" si="36"/>
        <v>0</v>
      </c>
      <c r="E66" s="36">
        <f t="shared" si="36"/>
        <v>0</v>
      </c>
      <c r="F66" s="36">
        <f t="shared" si="36"/>
        <v>0</v>
      </c>
      <c r="G66" s="36">
        <f t="shared" si="36"/>
        <v>0</v>
      </c>
      <c r="H66" s="36">
        <f t="shared" si="36"/>
        <v>0</v>
      </c>
      <c r="I66" s="36">
        <f t="shared" si="36"/>
        <v>0</v>
      </c>
      <c r="J66" s="36">
        <f t="shared" si="36"/>
        <v>0</v>
      </c>
      <c r="K66" s="36">
        <f t="shared" si="36"/>
        <v>0</v>
      </c>
      <c r="L66" s="36">
        <f t="shared" si="36"/>
        <v>0</v>
      </c>
      <c r="M66" s="36">
        <f t="shared" si="36"/>
        <v>0</v>
      </c>
      <c r="N66" s="36">
        <f t="shared" si="36"/>
        <v>0</v>
      </c>
      <c r="O66" s="16">
        <f t="shared" si="34"/>
        <v>0</v>
      </c>
    </row>
    <row r="67" spans="1:15" hidden="1">
      <c r="B67" s="40" t="s">
        <v>34</v>
      </c>
      <c r="C67" s="36">
        <f t="shared" ref="C67:N67" si="37">C21-C44</f>
        <v>0</v>
      </c>
      <c r="D67" s="36">
        <f t="shared" si="37"/>
        <v>0</v>
      </c>
      <c r="E67" s="36">
        <f t="shared" si="37"/>
        <v>0</v>
      </c>
      <c r="F67" s="36">
        <f t="shared" si="37"/>
        <v>0</v>
      </c>
      <c r="G67" s="36">
        <f t="shared" si="37"/>
        <v>0</v>
      </c>
      <c r="H67" s="36">
        <f t="shared" si="37"/>
        <v>0</v>
      </c>
      <c r="I67" s="36">
        <f t="shared" si="37"/>
        <v>0</v>
      </c>
      <c r="J67" s="36">
        <f t="shared" si="37"/>
        <v>0</v>
      </c>
      <c r="K67" s="36">
        <f t="shared" si="37"/>
        <v>0</v>
      </c>
      <c r="L67" s="36">
        <f t="shared" si="37"/>
        <v>0</v>
      </c>
      <c r="M67" s="36">
        <f t="shared" si="37"/>
        <v>0</v>
      </c>
      <c r="N67" s="36">
        <f t="shared" si="37"/>
        <v>0</v>
      </c>
      <c r="O67" s="16">
        <f t="shared" si="34"/>
        <v>0</v>
      </c>
    </row>
    <row r="68" spans="1:15">
      <c r="B68" s="40" t="s">
        <v>76</v>
      </c>
      <c r="C68" s="36">
        <f t="shared" ref="C68:N68" si="38">C19-C42</f>
        <v>9818.1433333333334</v>
      </c>
      <c r="D68" s="36">
        <f t="shared" si="38"/>
        <v>11981.143333333333</v>
      </c>
      <c r="E68" s="36">
        <f t="shared" si="38"/>
        <v>8099.3233333333337</v>
      </c>
      <c r="F68" s="36">
        <f t="shared" si="38"/>
        <v>10318.413333333334</v>
      </c>
      <c r="G68" s="36">
        <f t="shared" si="38"/>
        <v>10662.563333333334</v>
      </c>
      <c r="H68" s="36">
        <f t="shared" si="38"/>
        <v>9988.9933333333338</v>
      </c>
      <c r="I68" s="36">
        <f t="shared" si="38"/>
        <v>12689.583333333334</v>
      </c>
      <c r="J68" s="36">
        <f t="shared" si="38"/>
        <v>12689.583333333334</v>
      </c>
      <c r="K68" s="36">
        <f t="shared" si="38"/>
        <v>12689.583333333334</v>
      </c>
      <c r="L68" s="36">
        <f t="shared" si="38"/>
        <v>12689.583333333334</v>
      </c>
      <c r="M68" s="36">
        <f t="shared" si="38"/>
        <v>12689.583333333334</v>
      </c>
      <c r="N68" s="36">
        <f t="shared" si="38"/>
        <v>12689.583333333334</v>
      </c>
      <c r="O68" s="16">
        <f t="shared" ref="O68" si="39">SUM(C68:N68)</f>
        <v>137006.07999999999</v>
      </c>
    </row>
    <row r="69" spans="1:15">
      <c r="B69" s="40" t="s">
        <v>35</v>
      </c>
      <c r="C69" s="36">
        <f t="shared" ref="C69:N69" si="40">C22-C45</f>
        <v>123991.44</v>
      </c>
      <c r="D69" s="36">
        <f t="shared" si="40"/>
        <v>123508.01</v>
      </c>
      <c r="E69" s="36">
        <f t="shared" si="40"/>
        <v>123587.04</v>
      </c>
      <c r="F69" s="36">
        <f t="shared" si="40"/>
        <v>-182407.89</v>
      </c>
      <c r="G69" s="36">
        <f t="shared" si="40"/>
        <v>126000</v>
      </c>
      <c r="H69" s="36">
        <f t="shared" si="40"/>
        <v>126000</v>
      </c>
      <c r="I69" s="36">
        <f t="shared" si="40"/>
        <v>126000</v>
      </c>
      <c r="J69" s="36">
        <f t="shared" si="40"/>
        <v>126000</v>
      </c>
      <c r="K69" s="36">
        <f t="shared" si="40"/>
        <v>126000</v>
      </c>
      <c r="L69" s="36">
        <f t="shared" si="40"/>
        <v>126000</v>
      </c>
      <c r="M69" s="36">
        <f t="shared" si="40"/>
        <v>126000</v>
      </c>
      <c r="N69" s="36">
        <f t="shared" si="40"/>
        <v>126000</v>
      </c>
      <c r="O69" s="16">
        <f t="shared" si="34"/>
        <v>1196678.6000000001</v>
      </c>
    </row>
    <row r="70" spans="1:15">
      <c r="B70" s="40" t="s">
        <v>78</v>
      </c>
      <c r="C70" s="36">
        <f t="shared" ref="C70:N70" si="41">C23-C46</f>
        <v>57542.813333333324</v>
      </c>
      <c r="D70" s="36">
        <f t="shared" si="41"/>
        <v>50359.173333333325</v>
      </c>
      <c r="E70" s="36">
        <f t="shared" si="41"/>
        <v>41436.613333333327</v>
      </c>
      <c r="F70" s="36">
        <f t="shared" si="41"/>
        <v>43813.683333333327</v>
      </c>
      <c r="G70" s="36">
        <f t="shared" si="41"/>
        <v>80203.41333333333</v>
      </c>
      <c r="H70" s="36">
        <f t="shared" si="41"/>
        <v>-9793.1866666666756</v>
      </c>
      <c r="I70" s="36">
        <f t="shared" si="41"/>
        <v>90953.333333333328</v>
      </c>
      <c r="J70" s="36">
        <f t="shared" si="41"/>
        <v>90953.333333333328</v>
      </c>
      <c r="K70" s="36">
        <f t="shared" si="41"/>
        <v>90953.333333333328</v>
      </c>
      <c r="L70" s="36">
        <f t="shared" si="41"/>
        <v>90953.333333333328</v>
      </c>
      <c r="M70" s="36">
        <f t="shared" si="41"/>
        <v>90953.333333333328</v>
      </c>
      <c r="N70" s="36">
        <f t="shared" si="41"/>
        <v>90953.333333333328</v>
      </c>
      <c r="O70" s="16">
        <f t="shared" ref="O70" si="42">SUM(C70:N70)</f>
        <v>809282.51000000013</v>
      </c>
    </row>
    <row r="71" spans="1:15">
      <c r="B71" s="40" t="s">
        <v>36</v>
      </c>
      <c r="C71" s="36">
        <f t="shared" ref="C71:N71" si="43">C24-C47</f>
        <v>153020</v>
      </c>
      <c r="D71" s="36">
        <f t="shared" si="43"/>
        <v>131138.47999999998</v>
      </c>
      <c r="E71" s="36">
        <f t="shared" si="43"/>
        <v>123660.92</v>
      </c>
      <c r="F71" s="36">
        <f t="shared" si="43"/>
        <v>100690.87</v>
      </c>
      <c r="G71" s="36">
        <f t="shared" si="43"/>
        <v>134054.91999999998</v>
      </c>
      <c r="H71" s="36">
        <f t="shared" si="43"/>
        <v>126728.04999999999</v>
      </c>
      <c r="I71" s="36">
        <f t="shared" si="43"/>
        <v>238352.25</v>
      </c>
      <c r="J71" s="36">
        <f t="shared" si="43"/>
        <v>238352.25</v>
      </c>
      <c r="K71" s="36">
        <f t="shared" si="43"/>
        <v>238352.25</v>
      </c>
      <c r="L71" s="36">
        <f t="shared" si="43"/>
        <v>238352.25</v>
      </c>
      <c r="M71" s="36">
        <f t="shared" si="43"/>
        <v>238352.25</v>
      </c>
      <c r="N71" s="36">
        <f t="shared" si="43"/>
        <v>238352.25</v>
      </c>
      <c r="O71" s="16">
        <f t="shared" si="34"/>
        <v>2199406.7400000002</v>
      </c>
    </row>
    <row r="72" spans="1:15">
      <c r="A72" t="s">
        <v>122</v>
      </c>
      <c r="B72" s="41" t="s">
        <v>40</v>
      </c>
      <c r="C72" s="19">
        <f t="shared" ref="C72:N72" si="44">C25-C48</f>
        <v>307655.11666666664</v>
      </c>
      <c r="D72" s="19">
        <f t="shared" si="44"/>
        <v>369396.04666666663</v>
      </c>
      <c r="E72" s="19">
        <f t="shared" si="44"/>
        <v>248569.98666666663</v>
      </c>
      <c r="F72" s="19">
        <f t="shared" si="44"/>
        <v>-30237.293333333335</v>
      </c>
      <c r="G72" s="19">
        <f t="shared" si="44"/>
        <v>362152.09666666662</v>
      </c>
      <c r="H72" s="19">
        <f t="shared" si="44"/>
        <v>227080.71666666662</v>
      </c>
      <c r="I72" s="19">
        <f t="shared" si="44"/>
        <v>548275.91666666663</v>
      </c>
      <c r="J72" s="19">
        <f t="shared" si="44"/>
        <v>548275.91666666663</v>
      </c>
      <c r="K72" s="19">
        <f t="shared" si="44"/>
        <v>548275.91666666663</v>
      </c>
      <c r="L72" s="19">
        <f t="shared" si="44"/>
        <v>548275.91666666663</v>
      </c>
      <c r="M72" s="19">
        <f t="shared" si="44"/>
        <v>548275.91666666663</v>
      </c>
      <c r="N72" s="19">
        <f t="shared" si="44"/>
        <v>548275.91666666663</v>
      </c>
      <c r="O72" s="19">
        <f t="shared" ref="O72" si="45">SUM(O64:O71)</f>
        <v>4774272.17</v>
      </c>
    </row>
    <row r="73" spans="1:15">
      <c r="B73" s="41"/>
      <c r="C73" s="36" t="s">
        <v>53</v>
      </c>
      <c r="D73" s="36" t="s">
        <v>53</v>
      </c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18"/>
    </row>
    <row r="74" spans="1:15" ht="15.75" thickBot="1">
      <c r="B74" s="41" t="s">
        <v>40</v>
      </c>
      <c r="C74" s="38">
        <f t="shared" ref="C74:N74" si="46">C27-C50</f>
        <v>-419680.03333333344</v>
      </c>
      <c r="D74" s="38">
        <f t="shared" si="46"/>
        <v>634405.87666666647</v>
      </c>
      <c r="E74" s="38">
        <f t="shared" si="46"/>
        <v>226403.55666666641</v>
      </c>
      <c r="F74" s="38">
        <f t="shared" si="46"/>
        <v>183021.14666666649</v>
      </c>
      <c r="G74" s="38">
        <f t="shared" si="46"/>
        <v>628411.01666666649</v>
      </c>
      <c r="H74" s="38">
        <f t="shared" si="46"/>
        <v>-365157.0633333337</v>
      </c>
      <c r="I74" s="38">
        <f t="shared" si="46"/>
        <v>1256556.6666666665</v>
      </c>
      <c r="J74" s="38">
        <f t="shared" si="46"/>
        <v>1256556.6666666665</v>
      </c>
      <c r="K74" s="38">
        <f t="shared" si="46"/>
        <v>1256556.6666666665</v>
      </c>
      <c r="L74" s="38">
        <f t="shared" si="46"/>
        <v>1256556.6666666665</v>
      </c>
      <c r="M74" s="38">
        <f t="shared" si="46"/>
        <v>1256556.6666666665</v>
      </c>
      <c r="N74" s="38">
        <f t="shared" si="46"/>
        <v>1256556.6666666665</v>
      </c>
      <c r="O74" s="38">
        <f>O72+O61</f>
        <v>8426744.5</v>
      </c>
    </row>
    <row r="75" spans="1:15" ht="15.75" thickTop="1">
      <c r="B75" s="9"/>
    </row>
    <row r="76" spans="1:15">
      <c r="A76" t="s">
        <v>53</v>
      </c>
      <c r="B76" s="9"/>
    </row>
    <row r="77" spans="1:15">
      <c r="B77" s="32" t="s">
        <v>50</v>
      </c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>
      <c r="B78" s="94" t="s">
        <v>134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</row>
    <row r="80" spans="1:15">
      <c r="B80" s="61" t="s">
        <v>52</v>
      </c>
    </row>
    <row r="81" spans="2:15">
      <c r="B81" s="93" t="s">
        <v>93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</row>
    <row r="82" spans="2:15">
      <c r="B82" s="93" t="s">
        <v>100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2:15">
      <c r="B83" s="93" t="s">
        <v>123</v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2:15">
      <c r="B84" s="93" t="s">
        <v>124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2:15">
      <c r="B85" s="93" t="s">
        <v>136</v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2:15">
      <c r="B86" s="93" t="s">
        <v>146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</sheetData>
  <mergeCells count="7">
    <mergeCell ref="B86:O86"/>
    <mergeCell ref="B85:O85"/>
    <mergeCell ref="B84:O84"/>
    <mergeCell ref="B81:O81"/>
    <mergeCell ref="B78:O78"/>
    <mergeCell ref="B82:O82"/>
    <mergeCell ref="B83:O83"/>
  </mergeCells>
  <pageMargins left="0" right="0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0" sqref="B10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'WA-Sch191 Rider Balance'!J17</f>
        <v>-510936.8136271119</v>
      </c>
    </row>
    <row r="3" spans="1:2">
      <c r="A3" s="80"/>
    </row>
    <row r="4" spans="1:2">
      <c r="A4" s="80" t="s">
        <v>70</v>
      </c>
      <c r="B4" s="1">
        <v>2972000</v>
      </c>
    </row>
    <row r="5" spans="1:2">
      <c r="A5" s="80" t="s">
        <v>71</v>
      </c>
      <c r="B5" s="85">
        <f>SUM('WA-Sch191 Rider Balance'!K11:N11)</f>
        <v>1745400.6666666667</v>
      </c>
    </row>
    <row r="6" spans="1:2">
      <c r="A6" s="80"/>
      <c r="B6" s="1">
        <f>B5-B4</f>
        <v>-1226599.3333333333</v>
      </c>
    </row>
    <row r="8" spans="1:2">
      <c r="A8" s="80" t="s">
        <v>72</v>
      </c>
      <c r="B8" s="3">
        <f>B2+B6</f>
        <v>-1737536.1469604452</v>
      </c>
    </row>
    <row r="10" spans="1:2">
      <c r="A10" s="80" t="s">
        <v>73</v>
      </c>
      <c r="B10" s="1">
        <v>7703000</v>
      </c>
    </row>
    <row r="11" spans="1:2">
      <c r="A11" t="s">
        <v>74</v>
      </c>
      <c r="B11" s="86"/>
    </row>
    <row r="12" spans="1:2">
      <c r="B12" s="3">
        <f>B11-B10</f>
        <v>-7703000</v>
      </c>
    </row>
    <row r="14" spans="1:2">
      <c r="A14" t="s">
        <v>75</v>
      </c>
      <c r="B14" s="3">
        <f>B8+B12</f>
        <v>-9440536.1469604447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AF32"/>
  <sheetViews>
    <sheetView workbookViewId="0"/>
  </sheetViews>
  <sheetFormatPr defaultRowHeight="15"/>
  <cols>
    <col min="1" max="1" width="3.42578125" bestFit="1" customWidth="1"/>
    <col min="2" max="2" width="34.85546875" customWidth="1"/>
    <col min="3" max="3" width="11.28515625" bestFit="1" customWidth="1"/>
    <col min="4" max="14" width="13.28515625" bestFit="1" customWidth="1"/>
    <col min="15" max="15" width="11.28515625" bestFit="1" customWidth="1"/>
    <col min="16" max="16" width="11.5703125" bestFit="1" customWidth="1"/>
    <col min="17" max="17" width="11.28515625" bestFit="1" customWidth="1"/>
    <col min="18" max="18" width="10.5703125" bestFit="1" customWidth="1"/>
    <col min="19" max="19" width="11.28515625" bestFit="1" customWidth="1"/>
    <col min="21" max="32" width="11.28515625" bestFit="1" customWidth="1"/>
  </cols>
  <sheetData>
    <row r="2" spans="1:32">
      <c r="B2" s="39" t="s">
        <v>48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2970263.64</v>
      </c>
      <c r="D5" s="1">
        <v>2209768.9951906204</v>
      </c>
      <c r="E5" s="1">
        <v>1398928.3359438062</v>
      </c>
      <c r="F5" s="1">
        <v>657836.98644040385</v>
      </c>
      <c r="G5" s="1">
        <v>50790.82586601947</v>
      </c>
      <c r="H5" s="1">
        <v>-582696.73902742157</v>
      </c>
      <c r="I5" s="1">
        <v>-510936.8136271119</v>
      </c>
      <c r="J5" s="1">
        <v>-510936.8136271119</v>
      </c>
      <c r="K5" s="1">
        <v>-510936.8136271119</v>
      </c>
      <c r="L5" s="1">
        <v>-510936.8136271119</v>
      </c>
      <c r="M5" s="1">
        <v>-510936.8136271119</v>
      </c>
      <c r="N5" s="1">
        <v>-510936.8136271119</v>
      </c>
      <c r="O5" s="40"/>
      <c r="P5" s="44">
        <v>2970263.64</v>
      </c>
      <c r="Q5" s="47">
        <v>657836.98644040385</v>
      </c>
      <c r="R5" s="47">
        <v>-510936.81362711196</v>
      </c>
      <c r="S5" s="47">
        <v>-510936.81362711196</v>
      </c>
      <c r="U5" s="47">
        <v>-1906262.9537763151</v>
      </c>
      <c r="V5" s="47">
        <v>-1906262.9537763151</v>
      </c>
      <c r="W5" s="47">
        <v>-1906262.9537763151</v>
      </c>
      <c r="X5" s="47">
        <v>-1906262.9537763151</v>
      </c>
      <c r="Y5" s="47">
        <v>-1906262.9537763151</v>
      </c>
      <c r="Z5" s="47">
        <v>-1906262.9537763151</v>
      </c>
      <c r="AA5" s="47">
        <v>-1906262.9537763151</v>
      </c>
      <c r="AB5" s="47">
        <v>-1906262.9537763151</v>
      </c>
      <c r="AC5" s="47">
        <v>-1906262.9537763151</v>
      </c>
      <c r="AD5" s="47">
        <v>-1906262.9537763151</v>
      </c>
      <c r="AE5" s="47">
        <v>-1906262.9537763151</v>
      </c>
      <c r="AF5" s="47">
        <v>-1906262.9537763151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1">
        <v>1328446.7422662787</v>
      </c>
      <c r="D7" s="1">
        <v>1042953.8190682683</v>
      </c>
      <c r="E7" s="1">
        <v>871020.91990616766</v>
      </c>
      <c r="F7" s="1">
        <v>588676.60669584468</v>
      </c>
      <c r="G7" s="1">
        <v>342470.29291739844</v>
      </c>
      <c r="H7" s="1">
        <v>236810.583067306</v>
      </c>
      <c r="I7" s="1">
        <v>190498.24619396304</v>
      </c>
      <c r="J7" s="1">
        <v>186760.97676268272</v>
      </c>
      <c r="K7" s="1">
        <v>245863.36194051101</v>
      </c>
      <c r="L7" s="1">
        <v>561932.22204592673</v>
      </c>
      <c r="M7" s="1">
        <v>943018.87904586527</v>
      </c>
      <c r="N7" s="1">
        <v>1325007.5944366716</v>
      </c>
      <c r="O7" s="47">
        <v>7863460.2443468841</v>
      </c>
      <c r="P7" s="47">
        <v>3242421.4812407149</v>
      </c>
      <c r="Q7" s="47">
        <v>1167957.4826805491</v>
      </c>
      <c r="R7" s="47">
        <v>623122.5848971568</v>
      </c>
      <c r="S7" s="47">
        <v>2829958.6955284635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0</v>
      </c>
      <c r="AD7" s="27">
        <v>0</v>
      </c>
      <c r="AE7" s="27">
        <v>0</v>
      </c>
      <c r="AF7" s="27">
        <v>0</v>
      </c>
    </row>
    <row r="8" spans="1:32">
      <c r="A8" t="s">
        <v>21</v>
      </c>
      <c r="B8" t="s">
        <v>15</v>
      </c>
      <c r="C8" s="1">
        <v>1387195.8048093799</v>
      </c>
      <c r="D8" s="1">
        <v>1234998.0792468141</v>
      </c>
      <c r="E8" s="1">
        <v>1203587.6895034024</v>
      </c>
      <c r="F8" s="1">
        <v>884514.82057438442</v>
      </c>
      <c r="G8" s="1">
        <v>932683.05489344103</v>
      </c>
      <c r="H8" s="1">
        <v>412635.14459969033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6055614.5936271111</v>
      </c>
      <c r="P8" s="47">
        <v>3825781.5735595962</v>
      </c>
      <c r="Q8" s="47">
        <v>2229833.0200675158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58749.062543101143</v>
      </c>
      <c r="D9" s="22">
        <v>192044.26017854584</v>
      </c>
      <c r="E9" s="22">
        <v>332566.76959723479</v>
      </c>
      <c r="F9" s="22">
        <v>295838.21387853974</v>
      </c>
      <c r="G9" s="22">
        <v>590212.76197604253</v>
      </c>
      <c r="H9" s="22">
        <v>175824.56153238434</v>
      </c>
      <c r="I9" s="22">
        <v>-190498.24619396304</v>
      </c>
      <c r="J9" s="22">
        <v>-186760.97676268272</v>
      </c>
      <c r="K9" s="22">
        <v>-245863.36194051101</v>
      </c>
      <c r="L9" s="22">
        <v>-561932.22204592673</v>
      </c>
      <c r="M9" s="22">
        <v>-943018.87904586527</v>
      </c>
      <c r="N9" s="22">
        <v>-1325007.5944366716</v>
      </c>
      <c r="O9" s="48">
        <v>-1807845.6507197721</v>
      </c>
      <c r="P9" s="48">
        <v>583360.0923188813</v>
      </c>
      <c r="Q9" s="48">
        <v>1061875.5373869666</v>
      </c>
      <c r="R9" s="48">
        <v>-623122.5848971568</v>
      </c>
      <c r="S9" s="48">
        <v>-2829958.6955284635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436350.16666666669</v>
      </c>
      <c r="D11" s="1">
        <v>436350.16666666669</v>
      </c>
      <c r="E11" s="1">
        <v>436350.16666666669</v>
      </c>
      <c r="F11" s="1">
        <v>436350.16666666669</v>
      </c>
      <c r="G11" s="1">
        <v>436350.16666666669</v>
      </c>
      <c r="H11" s="1">
        <v>436350.16666666669</v>
      </c>
      <c r="I11" s="1">
        <v>436350.16666666669</v>
      </c>
      <c r="J11" s="1">
        <v>436350.16666666669</v>
      </c>
      <c r="K11" s="1">
        <v>436350.16666666669</v>
      </c>
      <c r="L11" s="1">
        <v>436350.16666666669</v>
      </c>
      <c r="M11" s="1">
        <v>436350.16666666669</v>
      </c>
      <c r="N11" s="1">
        <v>436350.16666666669</v>
      </c>
      <c r="O11" s="47">
        <v>5236202</v>
      </c>
      <c r="P11" s="47">
        <v>1309050.5</v>
      </c>
      <c r="Q11" s="47">
        <v>1309050.5</v>
      </c>
      <c r="R11" s="47">
        <v>1309050.5</v>
      </c>
      <c r="S11" s="47">
        <v>1309050.5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27">
        <v>0</v>
      </c>
      <c r="AA11" s="27">
        <v>0</v>
      </c>
      <c r="AB11" s="27">
        <v>0</v>
      </c>
      <c r="AC11" s="27">
        <v>0</v>
      </c>
      <c r="AD11" s="27">
        <v>0</v>
      </c>
      <c r="AE11" s="27">
        <v>0</v>
      </c>
      <c r="AF11" s="27">
        <v>0</v>
      </c>
    </row>
    <row r="12" spans="1:32">
      <c r="A12" t="s">
        <v>20</v>
      </c>
      <c r="B12" t="s">
        <v>17</v>
      </c>
      <c r="C12" s="1">
        <v>626701.16</v>
      </c>
      <c r="D12" s="1">
        <v>424157.41999999993</v>
      </c>
      <c r="E12" s="1">
        <v>462496.34</v>
      </c>
      <c r="F12" s="1">
        <v>277468.66000000003</v>
      </c>
      <c r="G12" s="1">
        <v>299195.49</v>
      </c>
      <c r="H12" s="1">
        <v>484395.07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2574414.14</v>
      </c>
      <c r="P12" s="47">
        <v>1513354.9200000002</v>
      </c>
      <c r="Q12" s="47">
        <v>1061059.22</v>
      </c>
      <c r="R12" s="47">
        <v>0</v>
      </c>
      <c r="S12" s="47">
        <v>0</v>
      </c>
      <c r="U12" s="45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-190350.99333333335</v>
      </c>
      <c r="D13" s="23">
        <v>12192.746666666761</v>
      </c>
      <c r="E13" s="23">
        <v>-26146.17333333334</v>
      </c>
      <c r="F13" s="23">
        <v>158881.50666666665</v>
      </c>
      <c r="G13" s="23">
        <v>137154.6766666667</v>
      </c>
      <c r="H13" s="23">
        <v>-48044.903333333321</v>
      </c>
      <c r="I13" s="23">
        <v>436350.16666666669</v>
      </c>
      <c r="J13" s="23">
        <v>436350.16666666669</v>
      </c>
      <c r="K13" s="23">
        <v>436350.16666666669</v>
      </c>
      <c r="L13" s="23">
        <v>436350.16666666669</v>
      </c>
      <c r="M13" s="23">
        <v>436350.16666666669</v>
      </c>
      <c r="N13" s="23">
        <v>436350.16666666669</v>
      </c>
      <c r="O13" s="48">
        <v>2661787.86</v>
      </c>
      <c r="P13" s="49">
        <v>-204304.42000000016</v>
      </c>
      <c r="Q13" s="49">
        <v>247991.28000000003</v>
      </c>
      <c r="R13" s="49">
        <v>1309050.5</v>
      </c>
      <c r="S13" s="49">
        <v>1309050.5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760494.64480937982</v>
      </c>
      <c r="D15" s="1">
        <v>810840.6592468142</v>
      </c>
      <c r="E15" s="1">
        <v>741091.34950340237</v>
      </c>
      <c r="F15" s="1">
        <v>607046.16057438438</v>
      </c>
      <c r="G15" s="1">
        <v>633487.56489344104</v>
      </c>
      <c r="H15" s="1">
        <v>-71759.925400309672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3481200.4536271109</v>
      </c>
      <c r="P15" s="45">
        <v>2312426.6535595963</v>
      </c>
      <c r="Q15" s="45">
        <v>1168773.8000675158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2209768.9951906204</v>
      </c>
      <c r="D17" s="59">
        <v>1398928.3359438062</v>
      </c>
      <c r="E17" s="59">
        <v>657836.98644040385</v>
      </c>
      <c r="F17" s="59">
        <v>50790.82586601947</v>
      </c>
      <c r="G17" s="59">
        <v>-582696.73902742157</v>
      </c>
      <c r="H17" s="59">
        <v>-510936.8136271119</v>
      </c>
      <c r="I17" s="59">
        <v>-510936.8136271119</v>
      </c>
      <c r="J17" s="59">
        <v>-510936.8136271119</v>
      </c>
      <c r="K17" s="59">
        <v>-510936.8136271119</v>
      </c>
      <c r="L17" s="59">
        <v>-510936.8136271119</v>
      </c>
      <c r="M17" s="59">
        <v>-510936.8136271119</v>
      </c>
      <c r="N17" s="59">
        <v>-510936.8136271119</v>
      </c>
      <c r="O17" s="47"/>
      <c r="P17" s="47">
        <v>657836.98644040385</v>
      </c>
      <c r="Q17" s="47">
        <v>-510936.81362711196</v>
      </c>
      <c r="R17" s="47">
        <v>-510936.81362711196</v>
      </c>
      <c r="S17" s="47">
        <v>-510936.81362711196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>
        <v>-265084.89315440826</v>
      </c>
      <c r="J19" s="3">
        <v>-261347.62372312794</v>
      </c>
      <c r="K19" s="3">
        <v>-320450.00890095619</v>
      </c>
      <c r="L19" s="3">
        <v>-636518.86900637182</v>
      </c>
      <c r="M19" s="3">
        <v>-1017605.5260063105</v>
      </c>
      <c r="N19" s="3">
        <v>-1906262.9537763151</v>
      </c>
      <c r="O19" s="40"/>
      <c r="P19" s="47"/>
      <c r="Q19" s="40"/>
      <c r="R19" s="40"/>
      <c r="S19" s="40"/>
      <c r="U19" s="47">
        <v>-1906262.9537763151</v>
      </c>
      <c r="V19" s="47">
        <v>-1906262.9537763151</v>
      </c>
      <c r="W19" s="47">
        <v>-1906262.9537763151</v>
      </c>
      <c r="X19" s="47">
        <v>-1906262.9537763151</v>
      </c>
      <c r="Y19" s="47">
        <v>-1906262.9537763151</v>
      </c>
      <c r="Z19" s="47">
        <v>-1906262.9537763151</v>
      </c>
      <c r="AA19" s="47">
        <v>-1906262.9537763151</v>
      </c>
      <c r="AB19" s="47">
        <v>-1906262.9537763151</v>
      </c>
      <c r="AC19" s="47">
        <v>-1906262.9537763151</v>
      </c>
      <c r="AD19" s="47">
        <v>-1906262.9537763151</v>
      </c>
      <c r="AE19" s="47">
        <v>-1906262.9537763151</v>
      </c>
      <c r="AF19" s="47">
        <v>-1906262.9537763151</v>
      </c>
    </row>
    <row r="22" spans="2:32">
      <c r="B22" s="51" t="s">
        <v>26</v>
      </c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</row>
    <row r="23" spans="2:32">
      <c r="B23" s="93" t="s">
        <v>94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2:32">
      <c r="B24" s="93" t="s">
        <v>102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2:32">
      <c r="B25" s="93" t="s">
        <v>106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2:32">
      <c r="B26" s="93" t="s">
        <v>112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  <row r="27" spans="2:32">
      <c r="B27" s="93" t="s">
        <v>141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</row>
    <row r="28" spans="2:32">
      <c r="B28" s="93" t="s">
        <v>149</v>
      </c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</row>
    <row r="29" spans="2:32">
      <c r="B29" s="93" t="s">
        <v>53</v>
      </c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</row>
    <row r="30" spans="2:32">
      <c r="B30" s="93" t="s">
        <v>53</v>
      </c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</row>
    <row r="31" spans="2:32">
      <c r="B31" s="93" t="s">
        <v>53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</row>
    <row r="32" spans="2:32">
      <c r="B32" s="93" t="s">
        <v>53</v>
      </c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</row>
  </sheetData>
  <mergeCells count="10">
    <mergeCell ref="B32:O32"/>
    <mergeCell ref="B31:O31"/>
    <mergeCell ref="B30:O30"/>
    <mergeCell ref="B29:O29"/>
    <mergeCell ref="B28:O28"/>
    <mergeCell ref="B23:O23"/>
    <mergeCell ref="B24:O24"/>
    <mergeCell ref="B25:O25"/>
    <mergeCell ref="B26:O26"/>
    <mergeCell ref="B27:O27"/>
  </mergeCells>
  <pageMargins left="0" right="0" top="0.75" bottom="0.75" header="0.3" footer="0.3"/>
  <pageSetup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 tint="0.39997558519241921"/>
  </sheetPr>
  <dimension ref="A2:BD86"/>
  <sheetViews>
    <sheetView workbookViewId="0">
      <pane xSplit="2" ySplit="4" topLeftCell="E5" activePane="bottomRight" state="frozen"/>
      <selection activeCell="D35" sqref="D35"/>
      <selection pane="topRight" activeCell="D35" sqref="D35"/>
      <selection pane="bottomLeft" activeCell="D35" sqref="D35"/>
      <selection pane="bottomRight" activeCell="A5" sqref="A5"/>
    </sheetView>
  </sheetViews>
  <sheetFormatPr defaultRowHeight="15"/>
  <cols>
    <col min="1" max="1" width="10.28515625" bestFit="1" customWidth="1"/>
    <col min="2" max="2" width="43.28515625" customWidth="1"/>
    <col min="3" max="5" width="9.140625" style="20" bestFit="1" customWidth="1"/>
    <col min="6" max="14" width="9.85546875" style="13" bestFit="1" customWidth="1"/>
    <col min="15" max="15" width="10.7109375" style="13" bestFit="1" customWidth="1"/>
    <col min="16" max="28" width="11.7109375" style="13" hidden="1" customWidth="1"/>
    <col min="29" max="34" width="11.7109375" style="13" customWidth="1"/>
    <col min="35" max="56" width="11.7109375" style="7" customWidth="1"/>
  </cols>
  <sheetData>
    <row r="2" spans="1:28">
      <c r="B2" s="39" t="s">
        <v>48</v>
      </c>
    </row>
    <row r="3" spans="1:28">
      <c r="B3" s="5" t="s">
        <v>42</v>
      </c>
      <c r="C3" s="14">
        <v>2011</v>
      </c>
      <c r="D3" s="14">
        <f>C3</f>
        <v>2011</v>
      </c>
      <c r="E3" s="14">
        <f t="shared" ref="E3:N3" si="0">D3</f>
        <v>2011</v>
      </c>
      <c r="F3" s="14">
        <f t="shared" si="0"/>
        <v>2011</v>
      </c>
      <c r="G3" s="14">
        <f t="shared" si="0"/>
        <v>2011</v>
      </c>
      <c r="H3" s="14">
        <f t="shared" si="0"/>
        <v>2011</v>
      </c>
      <c r="I3" s="14">
        <f t="shared" si="0"/>
        <v>2011</v>
      </c>
      <c r="J3" s="14">
        <f t="shared" si="0"/>
        <v>2011</v>
      </c>
      <c r="K3" s="14">
        <f t="shared" si="0"/>
        <v>2011</v>
      </c>
      <c r="L3" s="14">
        <f t="shared" si="0"/>
        <v>2011</v>
      </c>
      <c r="M3" s="14">
        <f t="shared" si="0"/>
        <v>2011</v>
      </c>
      <c r="N3" s="14">
        <f t="shared" si="0"/>
        <v>2011</v>
      </c>
      <c r="O3" s="14" t="s">
        <v>29</v>
      </c>
      <c r="P3" s="14">
        <v>2011</v>
      </c>
      <c r="Q3" s="14">
        <v>2011</v>
      </c>
      <c r="R3" s="14">
        <v>2011</v>
      </c>
      <c r="S3" s="14">
        <v>2011</v>
      </c>
      <c r="T3" s="14">
        <v>2011</v>
      </c>
      <c r="U3" s="14">
        <v>2011</v>
      </c>
      <c r="V3" s="14">
        <v>2011</v>
      </c>
      <c r="W3" s="14">
        <v>2011</v>
      </c>
      <c r="X3" s="14">
        <v>2011</v>
      </c>
      <c r="Y3" s="14">
        <v>2011</v>
      </c>
      <c r="Z3" s="14">
        <v>2011</v>
      </c>
      <c r="AA3" s="14">
        <v>2011</v>
      </c>
      <c r="AB3" s="14" t="s">
        <v>29</v>
      </c>
    </row>
    <row r="4" spans="1:28">
      <c r="C4" s="37" t="s">
        <v>0</v>
      </c>
      <c r="D4" s="37" t="s">
        <v>1</v>
      </c>
      <c r="E4" s="37" t="s">
        <v>2</v>
      </c>
      <c r="F4" s="17" t="s">
        <v>3</v>
      </c>
      <c r="G4" s="17" t="s">
        <v>4</v>
      </c>
      <c r="H4" s="17" t="s">
        <v>5</v>
      </c>
      <c r="I4" s="17" t="s">
        <v>6</v>
      </c>
      <c r="J4" s="17" t="s">
        <v>7</v>
      </c>
      <c r="K4" s="17" t="s">
        <v>8</v>
      </c>
      <c r="L4" s="17" t="s">
        <v>9</v>
      </c>
      <c r="M4" s="17" t="s">
        <v>10</v>
      </c>
      <c r="N4" s="17" t="s">
        <v>11</v>
      </c>
      <c r="O4" s="17"/>
      <c r="P4" s="14" t="s">
        <v>0</v>
      </c>
      <c r="Q4" s="14" t="s">
        <v>1</v>
      </c>
      <c r="R4" s="14" t="s">
        <v>2</v>
      </c>
      <c r="S4" s="14" t="s">
        <v>3</v>
      </c>
      <c r="T4" s="14" t="s">
        <v>4</v>
      </c>
      <c r="U4" s="14" t="s">
        <v>5</v>
      </c>
      <c r="V4" s="14" t="s">
        <v>6</v>
      </c>
      <c r="W4" s="14" t="s">
        <v>7</v>
      </c>
      <c r="X4" s="14" t="s">
        <v>8</v>
      </c>
      <c r="Y4" s="14" t="s">
        <v>9</v>
      </c>
      <c r="Z4" s="14" t="s">
        <v>10</v>
      </c>
      <c r="AA4" s="14" t="s">
        <v>11</v>
      </c>
      <c r="AB4" s="14"/>
    </row>
    <row r="5" spans="1:28">
      <c r="F5" s="15"/>
      <c r="G5" s="15"/>
      <c r="H5" s="15"/>
      <c r="I5" s="15"/>
      <c r="J5" s="15"/>
      <c r="K5" s="15"/>
      <c r="L5" s="15"/>
      <c r="M5" s="15"/>
      <c r="N5" s="15"/>
    </row>
    <row r="6" spans="1:28">
      <c r="B6" s="9" t="s">
        <v>58</v>
      </c>
      <c r="F6" s="15"/>
      <c r="G6" s="15"/>
      <c r="H6" s="15"/>
      <c r="I6" s="15"/>
      <c r="J6" s="15"/>
      <c r="K6" s="15"/>
      <c r="L6" s="15"/>
      <c r="M6" s="15"/>
      <c r="N6" s="15"/>
      <c r="O6" s="16"/>
    </row>
    <row r="7" spans="1:28">
      <c r="B7" s="5" t="s">
        <v>31</v>
      </c>
      <c r="C7" s="20">
        <f>1884435/12</f>
        <v>157036.25</v>
      </c>
      <c r="D7" s="18">
        <f t="shared" ref="D7:N9" si="1">C7</f>
        <v>157036.25</v>
      </c>
      <c r="E7" s="18">
        <f t="shared" si="1"/>
        <v>157036.25</v>
      </c>
      <c r="F7" s="18">
        <f t="shared" si="1"/>
        <v>157036.25</v>
      </c>
      <c r="G7" s="18">
        <f t="shared" si="1"/>
        <v>157036.25</v>
      </c>
      <c r="H7" s="18">
        <f t="shared" si="1"/>
        <v>157036.25</v>
      </c>
      <c r="I7" s="18">
        <f t="shared" si="1"/>
        <v>157036.25</v>
      </c>
      <c r="J7" s="18">
        <f t="shared" si="1"/>
        <v>157036.25</v>
      </c>
      <c r="K7" s="18">
        <f t="shared" si="1"/>
        <v>157036.25</v>
      </c>
      <c r="L7" s="18">
        <f t="shared" si="1"/>
        <v>157036.25</v>
      </c>
      <c r="M7" s="18">
        <f t="shared" si="1"/>
        <v>157036.25</v>
      </c>
      <c r="N7" s="18">
        <f t="shared" si="1"/>
        <v>157036.25</v>
      </c>
      <c r="O7" s="52">
        <f t="shared" ref="O7:O13" si="2">SUM(C7:N7)</f>
        <v>1884435</v>
      </c>
    </row>
    <row r="8" spans="1:28">
      <c r="B8" s="5" t="s">
        <v>32</v>
      </c>
      <c r="C8" s="18">
        <f>1771742/12</f>
        <v>147645.16666666666</v>
      </c>
      <c r="D8" s="18">
        <f t="shared" si="1"/>
        <v>147645.16666666666</v>
      </c>
      <c r="E8" s="18">
        <f t="shared" si="1"/>
        <v>147645.16666666666</v>
      </c>
      <c r="F8" s="18">
        <f t="shared" si="1"/>
        <v>147645.16666666666</v>
      </c>
      <c r="G8" s="18">
        <f t="shared" si="1"/>
        <v>147645.16666666666</v>
      </c>
      <c r="H8" s="18">
        <f t="shared" si="1"/>
        <v>147645.16666666666</v>
      </c>
      <c r="I8" s="18">
        <f t="shared" si="1"/>
        <v>147645.16666666666</v>
      </c>
      <c r="J8" s="18">
        <f t="shared" si="1"/>
        <v>147645.16666666666</v>
      </c>
      <c r="K8" s="18">
        <f t="shared" si="1"/>
        <v>147645.16666666666</v>
      </c>
      <c r="L8" s="18">
        <f t="shared" si="1"/>
        <v>147645.16666666666</v>
      </c>
      <c r="M8" s="18">
        <f t="shared" si="1"/>
        <v>147645.16666666666</v>
      </c>
      <c r="N8" s="18">
        <f t="shared" si="1"/>
        <v>147645.16666666666</v>
      </c>
      <c r="O8" s="52">
        <f t="shared" si="2"/>
        <v>1771742.0000000002</v>
      </c>
    </row>
    <row r="9" spans="1:28">
      <c r="B9" s="5" t="s">
        <v>76</v>
      </c>
      <c r="C9" s="18">
        <f>724032/12</f>
        <v>60336</v>
      </c>
      <c r="D9" s="18">
        <f t="shared" si="1"/>
        <v>60336</v>
      </c>
      <c r="E9" s="18">
        <f t="shared" si="1"/>
        <v>60336</v>
      </c>
      <c r="F9" s="18">
        <f t="shared" si="1"/>
        <v>60336</v>
      </c>
      <c r="G9" s="18">
        <f t="shared" si="1"/>
        <v>60336</v>
      </c>
      <c r="H9" s="18">
        <f t="shared" si="1"/>
        <v>60336</v>
      </c>
      <c r="I9" s="18">
        <f t="shared" si="1"/>
        <v>60336</v>
      </c>
      <c r="J9" s="18">
        <f t="shared" si="1"/>
        <v>60336</v>
      </c>
      <c r="K9" s="18">
        <f t="shared" si="1"/>
        <v>60336</v>
      </c>
      <c r="L9" s="18">
        <f t="shared" si="1"/>
        <v>60336</v>
      </c>
      <c r="M9" s="18">
        <f t="shared" si="1"/>
        <v>60336</v>
      </c>
      <c r="N9" s="18">
        <f t="shared" si="1"/>
        <v>60336</v>
      </c>
      <c r="O9" s="52">
        <f t="shared" si="2"/>
        <v>724032</v>
      </c>
    </row>
    <row r="10" spans="1:28" hidden="1">
      <c r="B10" s="5" t="s">
        <v>33</v>
      </c>
      <c r="F10" s="15"/>
      <c r="G10" s="15"/>
      <c r="H10" s="15"/>
      <c r="I10" s="15"/>
      <c r="J10" s="15"/>
      <c r="K10" s="15"/>
      <c r="L10" s="15"/>
      <c r="M10" s="15"/>
      <c r="N10" s="15"/>
      <c r="O10" s="52">
        <f t="shared" si="2"/>
        <v>0</v>
      </c>
    </row>
    <row r="11" spans="1:28" hidden="1">
      <c r="B11" s="5" t="s">
        <v>34</v>
      </c>
      <c r="F11" s="15"/>
      <c r="G11" s="15"/>
      <c r="H11" s="15"/>
      <c r="I11" s="15"/>
      <c r="J11" s="15"/>
      <c r="K11" s="15"/>
      <c r="L11" s="15"/>
      <c r="M11" s="15"/>
      <c r="N11" s="15"/>
      <c r="O11" s="52">
        <f t="shared" si="2"/>
        <v>0</v>
      </c>
    </row>
    <row r="12" spans="1:28" hidden="1">
      <c r="B12" s="5" t="s">
        <v>35</v>
      </c>
      <c r="F12" s="15"/>
      <c r="G12" s="15"/>
      <c r="H12" s="15"/>
      <c r="I12" s="15"/>
      <c r="J12" s="15"/>
      <c r="K12" s="15"/>
      <c r="L12" s="15"/>
      <c r="M12" s="15"/>
      <c r="N12" s="15"/>
      <c r="O12" s="52">
        <f t="shared" si="2"/>
        <v>0</v>
      </c>
    </row>
    <row r="13" spans="1:28" hidden="1">
      <c r="B13" s="5" t="s">
        <v>36</v>
      </c>
      <c r="F13" s="15"/>
      <c r="G13" s="15"/>
      <c r="H13" s="15"/>
      <c r="I13" s="15"/>
      <c r="J13" s="15"/>
      <c r="K13" s="15"/>
      <c r="L13" s="15"/>
      <c r="M13" s="15"/>
      <c r="N13" s="15"/>
      <c r="O13" s="52">
        <f t="shared" si="2"/>
        <v>0</v>
      </c>
    </row>
    <row r="14" spans="1:28">
      <c r="A14" t="s">
        <v>22</v>
      </c>
      <c r="B14" s="9" t="s">
        <v>37</v>
      </c>
      <c r="C14" s="19">
        <f>SUM(C7:C13)</f>
        <v>365017.41666666663</v>
      </c>
      <c r="D14" s="19">
        <f t="shared" ref="D14:N14" si="3">SUM(D7:D13)</f>
        <v>365017.41666666663</v>
      </c>
      <c r="E14" s="19">
        <f t="shared" si="3"/>
        <v>365017.41666666663</v>
      </c>
      <c r="F14" s="19">
        <f t="shared" si="3"/>
        <v>365017.41666666663</v>
      </c>
      <c r="G14" s="19">
        <f t="shared" si="3"/>
        <v>365017.41666666663</v>
      </c>
      <c r="H14" s="19">
        <f t="shared" si="3"/>
        <v>365017.41666666663</v>
      </c>
      <c r="I14" s="19">
        <f t="shared" si="3"/>
        <v>365017.41666666663</v>
      </c>
      <c r="J14" s="19">
        <f t="shared" si="3"/>
        <v>365017.41666666663</v>
      </c>
      <c r="K14" s="19">
        <f t="shared" si="3"/>
        <v>365017.41666666663</v>
      </c>
      <c r="L14" s="19">
        <f t="shared" si="3"/>
        <v>365017.41666666663</v>
      </c>
      <c r="M14" s="19">
        <f t="shared" si="3"/>
        <v>365017.41666666663</v>
      </c>
      <c r="N14" s="19">
        <f t="shared" si="3"/>
        <v>365017.41666666663</v>
      </c>
      <c r="O14" s="53">
        <f>SUM(O7:O13)</f>
        <v>4380209</v>
      </c>
    </row>
    <row r="15" spans="1:28">
      <c r="B15" s="9"/>
      <c r="F15" s="15"/>
      <c r="G15" s="15"/>
      <c r="H15" s="15"/>
      <c r="I15" s="15"/>
      <c r="J15" s="15"/>
      <c r="K15" s="15"/>
      <c r="L15" s="15"/>
      <c r="M15" s="15"/>
      <c r="N15" s="15"/>
      <c r="O15" s="52"/>
    </row>
    <row r="16" spans="1:28">
      <c r="B16" s="9" t="s">
        <v>115</v>
      </c>
      <c r="F16" s="15"/>
      <c r="G16" s="15"/>
      <c r="H16" s="15"/>
      <c r="I16" s="15"/>
      <c r="J16" s="15"/>
      <c r="K16" s="15"/>
      <c r="L16" s="15"/>
      <c r="M16" s="15"/>
      <c r="N16" s="15"/>
      <c r="O16" s="52"/>
    </row>
    <row r="17" spans="1:29">
      <c r="B17" s="5" t="s">
        <v>31</v>
      </c>
      <c r="C17" s="20">
        <f>(24286+98068)/12</f>
        <v>10196.166666666666</v>
      </c>
      <c r="D17" s="18">
        <f>C17</f>
        <v>10196.166666666666</v>
      </c>
      <c r="E17" s="18">
        <f t="shared" ref="E17:N17" si="4">D17</f>
        <v>10196.166666666666</v>
      </c>
      <c r="F17" s="18">
        <f t="shared" si="4"/>
        <v>10196.166666666666</v>
      </c>
      <c r="G17" s="18">
        <f t="shared" si="4"/>
        <v>10196.166666666666</v>
      </c>
      <c r="H17" s="18">
        <f t="shared" si="4"/>
        <v>10196.166666666666</v>
      </c>
      <c r="I17" s="18">
        <f t="shared" si="4"/>
        <v>10196.166666666666</v>
      </c>
      <c r="J17" s="18">
        <f t="shared" si="4"/>
        <v>10196.166666666666</v>
      </c>
      <c r="K17" s="18">
        <f t="shared" si="4"/>
        <v>10196.166666666666</v>
      </c>
      <c r="L17" s="18">
        <f t="shared" si="4"/>
        <v>10196.166666666666</v>
      </c>
      <c r="M17" s="18">
        <f t="shared" si="4"/>
        <v>10196.166666666666</v>
      </c>
      <c r="N17" s="18">
        <f t="shared" si="4"/>
        <v>10196.166666666666</v>
      </c>
      <c r="O17" s="52">
        <f t="shared" ref="O17:O24" si="5">SUM(C17:N17)</f>
        <v>122354.00000000001</v>
      </c>
    </row>
    <row r="18" spans="1:29">
      <c r="B18" s="5" t="s">
        <v>32</v>
      </c>
      <c r="C18" s="18">
        <f>(14627+6010)/12</f>
        <v>1719.75</v>
      </c>
      <c r="D18" s="18">
        <f>C18</f>
        <v>1719.75</v>
      </c>
      <c r="E18" s="18">
        <f t="shared" ref="E18:N18" si="6">D18</f>
        <v>1719.75</v>
      </c>
      <c r="F18" s="18">
        <f t="shared" si="6"/>
        <v>1719.75</v>
      </c>
      <c r="G18" s="18">
        <f t="shared" si="6"/>
        <v>1719.75</v>
      </c>
      <c r="H18" s="18">
        <f t="shared" si="6"/>
        <v>1719.75</v>
      </c>
      <c r="I18" s="18">
        <f t="shared" si="6"/>
        <v>1719.75</v>
      </c>
      <c r="J18" s="18">
        <f t="shared" si="6"/>
        <v>1719.75</v>
      </c>
      <c r="K18" s="18">
        <f t="shared" si="6"/>
        <v>1719.75</v>
      </c>
      <c r="L18" s="18">
        <f t="shared" si="6"/>
        <v>1719.75</v>
      </c>
      <c r="M18" s="18">
        <f t="shared" si="6"/>
        <v>1719.75</v>
      </c>
      <c r="N18" s="18">
        <f t="shared" si="6"/>
        <v>1719.75</v>
      </c>
      <c r="O18" s="52">
        <f t="shared" si="5"/>
        <v>20637</v>
      </c>
    </row>
    <row r="19" spans="1:29">
      <c r="B19" s="5" t="s">
        <v>76</v>
      </c>
      <c r="C19" s="18">
        <f>(108605+0)/12</f>
        <v>9050.4166666666661</v>
      </c>
      <c r="D19" s="18">
        <f>C19</f>
        <v>9050.4166666666661</v>
      </c>
      <c r="E19" s="18">
        <f t="shared" ref="E19:N19" si="7">D19</f>
        <v>9050.4166666666661</v>
      </c>
      <c r="F19" s="18">
        <f t="shared" si="7"/>
        <v>9050.4166666666661</v>
      </c>
      <c r="G19" s="18">
        <f t="shared" si="7"/>
        <v>9050.4166666666661</v>
      </c>
      <c r="H19" s="18">
        <f t="shared" si="7"/>
        <v>9050.4166666666661</v>
      </c>
      <c r="I19" s="18">
        <f t="shared" si="7"/>
        <v>9050.4166666666661</v>
      </c>
      <c r="J19" s="18">
        <f t="shared" si="7"/>
        <v>9050.4166666666661</v>
      </c>
      <c r="K19" s="18">
        <f t="shared" si="7"/>
        <v>9050.4166666666661</v>
      </c>
      <c r="L19" s="18">
        <f t="shared" si="7"/>
        <v>9050.4166666666661</v>
      </c>
      <c r="M19" s="18">
        <f t="shared" si="7"/>
        <v>9050.4166666666661</v>
      </c>
      <c r="N19" s="18">
        <f t="shared" si="7"/>
        <v>9050.4166666666661</v>
      </c>
      <c r="O19" s="52">
        <f t="shared" si="5"/>
        <v>108605.00000000001</v>
      </c>
    </row>
    <row r="20" spans="1:29" hidden="1">
      <c r="B20" s="5" t="s">
        <v>33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52">
        <f t="shared" si="5"/>
        <v>0</v>
      </c>
    </row>
    <row r="21" spans="1:29" hidden="1">
      <c r="B21" s="5" t="s">
        <v>34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52">
        <f t="shared" si="5"/>
        <v>0</v>
      </c>
    </row>
    <row r="22" spans="1:29">
      <c r="B22" s="5" t="s">
        <v>35</v>
      </c>
      <c r="C22" s="18">
        <v>0</v>
      </c>
      <c r="D22" s="18">
        <f>C22</f>
        <v>0</v>
      </c>
      <c r="E22" s="18">
        <f t="shared" ref="E22:N23" si="8">D22</f>
        <v>0</v>
      </c>
      <c r="F22" s="18">
        <f t="shared" si="8"/>
        <v>0</v>
      </c>
      <c r="G22" s="18">
        <f t="shared" si="8"/>
        <v>0</v>
      </c>
      <c r="H22" s="18">
        <f t="shared" si="8"/>
        <v>0</v>
      </c>
      <c r="I22" s="18">
        <f t="shared" si="8"/>
        <v>0</v>
      </c>
      <c r="J22" s="18">
        <f t="shared" si="8"/>
        <v>0</v>
      </c>
      <c r="K22" s="18">
        <f t="shared" si="8"/>
        <v>0</v>
      </c>
      <c r="L22" s="18">
        <f t="shared" si="8"/>
        <v>0</v>
      </c>
      <c r="M22" s="18">
        <f t="shared" si="8"/>
        <v>0</v>
      </c>
      <c r="N22" s="18">
        <f t="shared" si="8"/>
        <v>0</v>
      </c>
      <c r="O22" s="52">
        <f t="shared" si="5"/>
        <v>0</v>
      </c>
    </row>
    <row r="23" spans="1:29">
      <c r="B23" s="5" t="s">
        <v>78</v>
      </c>
      <c r="C23" s="18">
        <f>(231700+41160)/12</f>
        <v>22738.333333333332</v>
      </c>
      <c r="D23" s="18">
        <f>C23</f>
        <v>22738.333333333332</v>
      </c>
      <c r="E23" s="18">
        <f t="shared" si="8"/>
        <v>22738.333333333332</v>
      </c>
      <c r="F23" s="18">
        <f t="shared" si="8"/>
        <v>22738.333333333332</v>
      </c>
      <c r="G23" s="18">
        <f t="shared" si="8"/>
        <v>22738.333333333332</v>
      </c>
      <c r="H23" s="18">
        <f t="shared" si="8"/>
        <v>22738.333333333332</v>
      </c>
      <c r="I23" s="18">
        <f t="shared" si="8"/>
        <v>22738.333333333332</v>
      </c>
      <c r="J23" s="18">
        <f t="shared" si="8"/>
        <v>22738.333333333332</v>
      </c>
      <c r="K23" s="18">
        <f t="shared" si="8"/>
        <v>22738.333333333332</v>
      </c>
      <c r="L23" s="18">
        <f t="shared" si="8"/>
        <v>22738.333333333332</v>
      </c>
      <c r="M23" s="18">
        <f t="shared" si="8"/>
        <v>22738.333333333332</v>
      </c>
      <c r="N23" s="18">
        <f t="shared" si="8"/>
        <v>22738.333333333332</v>
      </c>
      <c r="O23" s="52">
        <f t="shared" ref="O23" si="9">SUM(C23:N23)</f>
        <v>272860.00000000006</v>
      </c>
    </row>
    <row r="24" spans="1:29">
      <c r="B24" s="5" t="s">
        <v>36</v>
      </c>
      <c r="C24" s="18">
        <f>(145520+347173)/12</f>
        <v>41057.75</v>
      </c>
      <c r="D24" s="18">
        <f>C24</f>
        <v>41057.75</v>
      </c>
      <c r="E24" s="18">
        <f t="shared" ref="E24:N24" si="10">D24</f>
        <v>41057.75</v>
      </c>
      <c r="F24" s="18">
        <f t="shared" si="10"/>
        <v>41057.75</v>
      </c>
      <c r="G24" s="18">
        <f t="shared" si="10"/>
        <v>41057.75</v>
      </c>
      <c r="H24" s="18">
        <f t="shared" si="10"/>
        <v>41057.75</v>
      </c>
      <c r="I24" s="18">
        <f t="shared" si="10"/>
        <v>41057.75</v>
      </c>
      <c r="J24" s="18">
        <f t="shared" si="10"/>
        <v>41057.75</v>
      </c>
      <c r="K24" s="18">
        <f t="shared" si="10"/>
        <v>41057.75</v>
      </c>
      <c r="L24" s="18">
        <f t="shared" si="10"/>
        <v>41057.75</v>
      </c>
      <c r="M24" s="18">
        <f t="shared" si="10"/>
        <v>41057.75</v>
      </c>
      <c r="N24" s="18">
        <f t="shared" si="10"/>
        <v>41057.75</v>
      </c>
      <c r="O24" s="52">
        <f t="shared" si="5"/>
        <v>492693</v>
      </c>
    </row>
    <row r="25" spans="1:29">
      <c r="A25" t="s">
        <v>21</v>
      </c>
      <c r="B25" s="9" t="s">
        <v>126</v>
      </c>
      <c r="C25" s="19">
        <f t="shared" ref="C25:N25" si="11">SUM(C17:C24)</f>
        <v>84762.416666666657</v>
      </c>
      <c r="D25" s="19">
        <f t="shared" si="11"/>
        <v>84762.416666666657</v>
      </c>
      <c r="E25" s="19">
        <f t="shared" si="11"/>
        <v>84762.416666666657</v>
      </c>
      <c r="F25" s="19">
        <f t="shared" si="11"/>
        <v>84762.416666666657</v>
      </c>
      <c r="G25" s="19">
        <f t="shared" si="11"/>
        <v>84762.416666666657</v>
      </c>
      <c r="H25" s="19">
        <f t="shared" si="11"/>
        <v>84762.416666666657</v>
      </c>
      <c r="I25" s="19">
        <f t="shared" si="11"/>
        <v>84762.416666666657</v>
      </c>
      <c r="J25" s="19">
        <f t="shared" si="11"/>
        <v>84762.416666666657</v>
      </c>
      <c r="K25" s="19">
        <f t="shared" si="11"/>
        <v>84762.416666666657</v>
      </c>
      <c r="L25" s="19">
        <f t="shared" si="11"/>
        <v>84762.416666666657</v>
      </c>
      <c r="M25" s="19">
        <f t="shared" si="11"/>
        <v>84762.416666666657</v>
      </c>
      <c r="N25" s="19">
        <f t="shared" si="11"/>
        <v>84762.416666666657</v>
      </c>
      <c r="O25" s="53">
        <f>SUM(O17:O24)</f>
        <v>1017149</v>
      </c>
    </row>
    <row r="26" spans="1:29" ht="16.149999999999999" customHeight="1">
      <c r="B26" s="9"/>
      <c r="F26" s="15"/>
      <c r="G26" s="15"/>
      <c r="H26" s="15"/>
      <c r="I26" s="15"/>
      <c r="J26" s="15"/>
      <c r="K26" s="15"/>
      <c r="L26" s="15"/>
      <c r="M26" s="15"/>
      <c r="N26" s="15"/>
      <c r="O26" s="52"/>
    </row>
    <row r="27" spans="1:29" ht="15.75" thickBot="1">
      <c r="A27" t="s">
        <v>117</v>
      </c>
      <c r="B27" s="9" t="s">
        <v>143</v>
      </c>
      <c r="C27" s="38">
        <f>C25+C14</f>
        <v>449779.83333333326</v>
      </c>
      <c r="D27" s="38">
        <f t="shared" ref="D27:O27" si="12">D25+D14</f>
        <v>449779.83333333326</v>
      </c>
      <c r="E27" s="38">
        <f t="shared" si="12"/>
        <v>449779.83333333326</v>
      </c>
      <c r="F27" s="38">
        <f t="shared" si="12"/>
        <v>449779.83333333326</v>
      </c>
      <c r="G27" s="38">
        <f t="shared" si="12"/>
        <v>449779.83333333326</v>
      </c>
      <c r="H27" s="38">
        <f t="shared" si="12"/>
        <v>449779.83333333326</v>
      </c>
      <c r="I27" s="38">
        <f t="shared" si="12"/>
        <v>449779.83333333326</v>
      </c>
      <c r="J27" s="38">
        <f t="shared" si="12"/>
        <v>449779.83333333326</v>
      </c>
      <c r="K27" s="38">
        <f t="shared" si="12"/>
        <v>449779.83333333326</v>
      </c>
      <c r="L27" s="38">
        <f t="shared" si="12"/>
        <v>449779.83333333326</v>
      </c>
      <c r="M27" s="38">
        <f t="shared" si="12"/>
        <v>449779.83333333326</v>
      </c>
      <c r="N27" s="38">
        <f t="shared" si="12"/>
        <v>449779.83333333326</v>
      </c>
      <c r="O27" s="38">
        <f t="shared" si="12"/>
        <v>5397358</v>
      </c>
    </row>
    <row r="28" spans="1:29" ht="15.75" thickTop="1">
      <c r="B28" s="9"/>
      <c r="O28" s="54"/>
    </row>
    <row r="29" spans="1:29">
      <c r="B29" s="30" t="s">
        <v>59</v>
      </c>
      <c r="F29" s="18"/>
      <c r="G29" s="18"/>
      <c r="H29" s="18"/>
      <c r="I29" s="18"/>
      <c r="J29" s="18"/>
      <c r="K29" s="18"/>
      <c r="L29" s="18"/>
      <c r="M29" s="18"/>
      <c r="N29" s="18"/>
      <c r="O29" s="56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</row>
    <row r="30" spans="1:29">
      <c r="B30" s="31" t="s">
        <v>31</v>
      </c>
      <c r="C30" s="20">
        <v>184726.78</v>
      </c>
      <c r="D30" s="18">
        <v>107234.5</v>
      </c>
      <c r="E30" s="18">
        <v>161384.78</v>
      </c>
      <c r="F30" s="18">
        <v>38930.67</v>
      </c>
      <c r="G30" s="18">
        <v>32951.32</v>
      </c>
      <c r="H30" s="18">
        <v>169356.54</v>
      </c>
      <c r="I30" s="18"/>
      <c r="J30" s="18"/>
      <c r="K30" s="18"/>
      <c r="L30" s="18"/>
      <c r="M30" s="18"/>
      <c r="N30" s="18"/>
      <c r="O30" s="52">
        <f t="shared" ref="O30:O36" si="13">SUM(C30:N30)</f>
        <v>694584.59000000008</v>
      </c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</row>
    <row r="31" spans="1:29">
      <c r="B31" s="31" t="s">
        <v>32</v>
      </c>
      <c r="C31" s="18">
        <v>367497.79000000004</v>
      </c>
      <c r="D31" s="18">
        <v>243858.84</v>
      </c>
      <c r="E31" s="18">
        <v>158793.24</v>
      </c>
      <c r="F31" s="18">
        <v>121714.73</v>
      </c>
      <c r="G31" s="18">
        <v>151226.70000000001</v>
      </c>
      <c r="H31" s="18">
        <v>158030.46</v>
      </c>
      <c r="I31" s="18"/>
      <c r="J31" s="18"/>
      <c r="K31" s="18"/>
      <c r="L31" s="18"/>
      <c r="M31" s="18"/>
      <c r="N31" s="18"/>
      <c r="O31" s="52">
        <f t="shared" si="13"/>
        <v>1201121.76</v>
      </c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</row>
    <row r="32" spans="1:29">
      <c r="B32" s="31" t="s">
        <v>76</v>
      </c>
      <c r="C32" s="18">
        <v>0</v>
      </c>
      <c r="D32" s="18">
        <v>0</v>
      </c>
      <c r="E32" s="18">
        <v>39754.06</v>
      </c>
      <c r="F32" s="18"/>
      <c r="G32" s="18">
        <v>22085.05</v>
      </c>
      <c r="H32" s="18">
        <v>43031.32</v>
      </c>
      <c r="I32" s="18"/>
      <c r="J32" s="18"/>
      <c r="K32" s="18"/>
      <c r="L32" s="18"/>
      <c r="M32" s="18"/>
      <c r="N32" s="18"/>
      <c r="O32" s="52">
        <f t="shared" si="13"/>
        <v>104870.43</v>
      </c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</row>
    <row r="33" spans="1:29" hidden="1">
      <c r="B33" s="31" t="s">
        <v>33</v>
      </c>
      <c r="F33" s="18"/>
      <c r="G33" s="18"/>
      <c r="H33" s="18"/>
      <c r="I33" s="18"/>
      <c r="J33" s="18"/>
      <c r="K33" s="18"/>
      <c r="L33" s="18"/>
      <c r="M33" s="18"/>
      <c r="N33" s="18"/>
      <c r="O33" s="52">
        <f t="shared" si="13"/>
        <v>0</v>
      </c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</row>
    <row r="34" spans="1:29" hidden="1">
      <c r="B34" s="31" t="s">
        <v>34</v>
      </c>
      <c r="F34" s="18"/>
      <c r="G34" s="18"/>
      <c r="H34" s="18"/>
      <c r="I34" s="18"/>
      <c r="J34" s="18"/>
      <c r="K34" s="18"/>
      <c r="L34" s="18"/>
      <c r="M34" s="18"/>
      <c r="N34" s="18"/>
      <c r="O34" s="52">
        <f t="shared" si="13"/>
        <v>0</v>
      </c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</row>
    <row r="35" spans="1:29" hidden="1">
      <c r="B35" s="31" t="s">
        <v>35</v>
      </c>
      <c r="F35" s="18"/>
      <c r="G35" s="18"/>
      <c r="H35" s="18"/>
      <c r="I35" s="18"/>
      <c r="J35" s="18"/>
      <c r="K35" s="18"/>
      <c r="L35" s="18"/>
      <c r="M35" s="18"/>
      <c r="N35" s="18"/>
      <c r="O35" s="52">
        <f t="shared" si="13"/>
        <v>0</v>
      </c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</row>
    <row r="36" spans="1:29" hidden="1">
      <c r="B36" s="31" t="s">
        <v>36</v>
      </c>
      <c r="F36" s="18"/>
      <c r="G36" s="18"/>
      <c r="H36" s="18"/>
      <c r="I36" s="18"/>
      <c r="J36" s="18"/>
      <c r="K36" s="18"/>
      <c r="L36" s="18"/>
      <c r="M36" s="18"/>
      <c r="N36" s="18"/>
      <c r="O36" s="52">
        <f t="shared" si="13"/>
        <v>0</v>
      </c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</row>
    <row r="37" spans="1:29">
      <c r="A37" t="s">
        <v>20</v>
      </c>
      <c r="B37" s="30" t="s">
        <v>38</v>
      </c>
      <c r="C37" s="19">
        <f>SUM(C30:C36)</f>
        <v>552224.57000000007</v>
      </c>
      <c r="D37" s="19">
        <f t="shared" ref="D37:N37" si="14">SUM(D30:D36)</f>
        <v>351093.33999999997</v>
      </c>
      <c r="E37" s="19">
        <f t="shared" si="14"/>
        <v>359932.08</v>
      </c>
      <c r="F37" s="19">
        <f t="shared" si="14"/>
        <v>160645.4</v>
      </c>
      <c r="G37" s="19">
        <f t="shared" si="14"/>
        <v>206263.07</v>
      </c>
      <c r="H37" s="19">
        <f t="shared" si="14"/>
        <v>370418.32</v>
      </c>
      <c r="I37" s="19">
        <f t="shared" si="14"/>
        <v>0</v>
      </c>
      <c r="J37" s="19">
        <f t="shared" si="14"/>
        <v>0</v>
      </c>
      <c r="K37" s="19">
        <f t="shared" si="14"/>
        <v>0</v>
      </c>
      <c r="L37" s="19">
        <f t="shared" si="14"/>
        <v>0</v>
      </c>
      <c r="M37" s="19">
        <f t="shared" si="14"/>
        <v>0</v>
      </c>
      <c r="N37" s="19">
        <f t="shared" si="14"/>
        <v>0</v>
      </c>
      <c r="O37" s="53">
        <f>SUM(O30:O36)</f>
        <v>2000576.78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</row>
    <row r="38" spans="1:29">
      <c r="B38" s="30"/>
      <c r="F38" s="18"/>
      <c r="G38" s="18"/>
      <c r="H38" s="18"/>
      <c r="I38" s="18"/>
      <c r="J38" s="18"/>
      <c r="K38" s="18"/>
      <c r="L38" s="18"/>
      <c r="M38" s="18"/>
      <c r="N38" s="18"/>
      <c r="O38" s="56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</row>
    <row r="39" spans="1:29">
      <c r="B39" s="30" t="s">
        <v>119</v>
      </c>
      <c r="F39" s="18"/>
      <c r="G39" s="18"/>
      <c r="H39" s="18"/>
      <c r="I39" s="18"/>
      <c r="J39" s="18"/>
      <c r="K39" s="18"/>
      <c r="L39" s="18"/>
      <c r="M39" s="18"/>
      <c r="N39" s="18"/>
      <c r="O39" s="56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</row>
    <row r="40" spans="1:29">
      <c r="B40" s="31" t="s">
        <v>31</v>
      </c>
      <c r="C40" s="20">
        <f>3568.28+2991.4</f>
        <v>6559.68</v>
      </c>
      <c r="D40" s="18">
        <f>5419.85+3215.57</f>
        <v>8635.42</v>
      </c>
      <c r="E40" s="18">
        <f>4181.58+3786.73</f>
        <v>7968.3099999999995</v>
      </c>
      <c r="F40" s="18">
        <f>4614.71+3090.17</f>
        <v>7704.88</v>
      </c>
      <c r="G40" s="18">
        <v>6433.84</v>
      </c>
      <c r="H40" s="18">
        <v>5481.18</v>
      </c>
      <c r="I40" s="18"/>
      <c r="J40" s="18"/>
      <c r="K40" s="18"/>
      <c r="L40" s="18"/>
      <c r="M40" s="18"/>
      <c r="N40" s="18"/>
      <c r="O40" s="52">
        <f t="shared" ref="O40:O47" si="15">SUM(C40:N40)</f>
        <v>42783.310000000005</v>
      </c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</row>
    <row r="41" spans="1:29">
      <c r="B41" s="31" t="s">
        <v>32</v>
      </c>
      <c r="C41" s="18">
        <v>3147.7</v>
      </c>
      <c r="D41" s="18">
        <v>4826.67</v>
      </c>
      <c r="E41" s="18">
        <v>21158.410000000003</v>
      </c>
      <c r="F41" s="18">
        <v>14605.710000000001</v>
      </c>
      <c r="G41" s="18">
        <v>21022.1</v>
      </c>
      <c r="H41" s="18">
        <v>10777.08</v>
      </c>
      <c r="I41" s="18"/>
      <c r="J41" s="18"/>
      <c r="K41" s="18"/>
      <c r="L41" s="18"/>
      <c r="M41" s="18"/>
      <c r="N41" s="18"/>
      <c r="O41" s="52">
        <f t="shared" si="15"/>
        <v>75537.67</v>
      </c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</row>
    <row r="42" spans="1:29">
      <c r="B42" s="31" t="s">
        <v>76</v>
      </c>
      <c r="C42" s="18">
        <v>1200.82</v>
      </c>
      <c r="D42" s="18">
        <v>43.379999999999995</v>
      </c>
      <c r="E42" s="18">
        <v>594.73</v>
      </c>
      <c r="F42" s="18">
        <f>4415.86+268.54</f>
        <v>4684.3999999999996</v>
      </c>
      <c r="G42" s="18">
        <v>1966.2200000000003</v>
      </c>
      <c r="H42" s="18">
        <v>2040.67</v>
      </c>
      <c r="I42" s="18"/>
      <c r="J42" s="18"/>
      <c r="K42" s="18"/>
      <c r="L42" s="18"/>
      <c r="M42" s="18"/>
      <c r="N42" s="18"/>
      <c r="O42" s="52">
        <f t="shared" si="15"/>
        <v>10530.22</v>
      </c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idden="1">
      <c r="B43" s="31" t="s">
        <v>33</v>
      </c>
      <c r="C43" s="18">
        <v>0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52">
        <f t="shared" si="15"/>
        <v>0</v>
      </c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</row>
    <row r="44" spans="1:29" hidden="1">
      <c r="B44" s="31" t="s">
        <v>34</v>
      </c>
      <c r="C44" s="18">
        <v>0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52">
        <f t="shared" si="15"/>
        <v>0</v>
      </c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</row>
    <row r="45" spans="1:29">
      <c r="B45" s="31" t="s">
        <v>35</v>
      </c>
      <c r="C45" s="18">
        <v>0</v>
      </c>
      <c r="D45" s="18">
        <v>0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52">
        <f t="shared" si="15"/>
        <v>0</v>
      </c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</row>
    <row r="46" spans="1:29">
      <c r="B46" s="31" t="s">
        <v>78</v>
      </c>
      <c r="C46" s="18">
        <v>18951.16</v>
      </c>
      <c r="D46" s="18">
        <v>8093.52</v>
      </c>
      <c r="E46" s="18">
        <v>12923.15</v>
      </c>
      <c r="F46" s="18">
        <v>18719.72</v>
      </c>
      <c r="G46" s="18">
        <v>2976.66</v>
      </c>
      <c r="H46" s="18">
        <v>44015.56</v>
      </c>
      <c r="I46" s="18"/>
      <c r="J46" s="18"/>
      <c r="K46" s="18"/>
      <c r="L46" s="18"/>
      <c r="M46" s="18"/>
      <c r="N46" s="18"/>
      <c r="O46" s="52">
        <f t="shared" ref="O46" si="16">SUM(C46:N46)</f>
        <v>105679.77</v>
      </c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</row>
    <row r="47" spans="1:29">
      <c r="B47" s="31" t="s">
        <v>36</v>
      </c>
      <c r="C47" s="18">
        <v>44617.23</v>
      </c>
      <c r="D47" s="18">
        <v>51465.09</v>
      </c>
      <c r="E47" s="18">
        <v>59919.659999999996</v>
      </c>
      <c r="F47" s="18">
        <v>71108.55</v>
      </c>
      <c r="G47" s="18">
        <v>60533.599999999999</v>
      </c>
      <c r="H47" s="18">
        <v>51662.259999999995</v>
      </c>
      <c r="I47" s="18"/>
      <c r="J47" s="18"/>
      <c r="K47" s="18"/>
      <c r="L47" s="18"/>
      <c r="M47" s="18"/>
      <c r="N47" s="18"/>
      <c r="O47" s="52">
        <f t="shared" si="15"/>
        <v>339306.39</v>
      </c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</row>
    <row r="48" spans="1:29">
      <c r="A48" t="s">
        <v>24</v>
      </c>
      <c r="B48" s="30" t="s">
        <v>120</v>
      </c>
      <c r="C48" s="19">
        <f t="shared" ref="C48:N48" si="17">SUM(C40:C47)</f>
        <v>74476.59</v>
      </c>
      <c r="D48" s="19">
        <f t="shared" si="17"/>
        <v>73064.079999999987</v>
      </c>
      <c r="E48" s="19">
        <f t="shared" si="17"/>
        <v>102564.26</v>
      </c>
      <c r="F48" s="19">
        <f t="shared" si="17"/>
        <v>116823.26000000001</v>
      </c>
      <c r="G48" s="19">
        <f t="shared" si="17"/>
        <v>92932.42</v>
      </c>
      <c r="H48" s="19">
        <f t="shared" si="17"/>
        <v>113976.75</v>
      </c>
      <c r="I48" s="19">
        <f t="shared" si="17"/>
        <v>0</v>
      </c>
      <c r="J48" s="19">
        <f t="shared" si="17"/>
        <v>0</v>
      </c>
      <c r="K48" s="19">
        <f t="shared" si="17"/>
        <v>0</v>
      </c>
      <c r="L48" s="19">
        <f t="shared" si="17"/>
        <v>0</v>
      </c>
      <c r="M48" s="19">
        <f t="shared" si="17"/>
        <v>0</v>
      </c>
      <c r="N48" s="19">
        <f t="shared" si="17"/>
        <v>0</v>
      </c>
      <c r="O48" s="53">
        <f>SUM(O40:O47)</f>
        <v>573837.3600000001</v>
      </c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</row>
    <row r="49" spans="1:29">
      <c r="B49" s="30"/>
      <c r="F49" s="18"/>
      <c r="G49" s="18"/>
      <c r="H49" s="18"/>
      <c r="I49" s="18"/>
      <c r="J49" s="18"/>
      <c r="K49" s="18"/>
      <c r="L49" s="18"/>
      <c r="M49" s="18"/>
      <c r="N49" s="18"/>
      <c r="O49" s="56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</row>
    <row r="50" spans="1:29" ht="15.75" thickBot="1">
      <c r="A50" t="s">
        <v>118</v>
      </c>
      <c r="B50" s="30" t="s">
        <v>144</v>
      </c>
      <c r="C50" s="38">
        <f>C48+C37</f>
        <v>626701.16</v>
      </c>
      <c r="D50" s="38">
        <f t="shared" ref="D50:O50" si="18">D48+D37</f>
        <v>424157.41999999993</v>
      </c>
      <c r="E50" s="38">
        <f t="shared" si="18"/>
        <v>462496.34</v>
      </c>
      <c r="F50" s="38">
        <f t="shared" si="18"/>
        <v>277468.66000000003</v>
      </c>
      <c r="G50" s="38">
        <f t="shared" si="18"/>
        <v>299195.49</v>
      </c>
      <c r="H50" s="38">
        <f t="shared" si="18"/>
        <v>484395.07</v>
      </c>
      <c r="I50" s="38">
        <f t="shared" si="18"/>
        <v>0</v>
      </c>
      <c r="J50" s="38">
        <f t="shared" si="18"/>
        <v>0</v>
      </c>
      <c r="K50" s="38">
        <f t="shared" si="18"/>
        <v>0</v>
      </c>
      <c r="L50" s="38">
        <f t="shared" si="18"/>
        <v>0</v>
      </c>
      <c r="M50" s="38">
        <f t="shared" si="18"/>
        <v>0</v>
      </c>
      <c r="N50" s="38">
        <f t="shared" si="18"/>
        <v>0</v>
      </c>
      <c r="O50" s="38">
        <f t="shared" si="18"/>
        <v>2574414.14</v>
      </c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</row>
    <row r="51" spans="1:29" ht="15.75" thickTop="1">
      <c r="B51" s="32"/>
      <c r="F51" s="18"/>
      <c r="G51" s="18"/>
      <c r="H51" s="18"/>
      <c r="I51" s="18"/>
      <c r="J51" s="18"/>
      <c r="K51" s="18"/>
      <c r="L51" s="18"/>
      <c r="M51" s="18"/>
      <c r="N51" s="18"/>
      <c r="O51" s="56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</row>
    <row r="52" spans="1:29">
      <c r="B52" s="33" t="s">
        <v>39</v>
      </c>
      <c r="F52" s="18"/>
      <c r="G52" s="18"/>
      <c r="H52" s="18"/>
      <c r="I52" s="18"/>
      <c r="J52" s="18"/>
      <c r="K52" s="18"/>
      <c r="L52" s="18"/>
      <c r="M52" s="18"/>
      <c r="N52" s="18"/>
      <c r="O52" s="56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</row>
    <row r="53" spans="1:29">
      <c r="B53" s="33" t="s">
        <v>60</v>
      </c>
      <c r="F53" s="18"/>
      <c r="G53" s="18"/>
      <c r="H53" s="18"/>
      <c r="I53" s="18"/>
      <c r="J53" s="18"/>
      <c r="K53" s="18"/>
      <c r="L53" s="18"/>
      <c r="M53" s="18"/>
      <c r="N53" s="18"/>
      <c r="O53" s="56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</row>
    <row r="54" spans="1:29">
      <c r="B54" s="34" t="s">
        <v>31</v>
      </c>
      <c r="C54" s="20">
        <f t="shared" ref="C54:N54" si="19">C7-C30</f>
        <v>-27690.53</v>
      </c>
      <c r="D54" s="20">
        <f t="shared" si="19"/>
        <v>49801.75</v>
      </c>
      <c r="E54" s="20">
        <f t="shared" si="19"/>
        <v>-4348.5299999999988</v>
      </c>
      <c r="F54" s="20">
        <f t="shared" si="19"/>
        <v>118105.58</v>
      </c>
      <c r="G54" s="20">
        <f t="shared" si="19"/>
        <v>124084.93</v>
      </c>
      <c r="H54" s="20">
        <f t="shared" si="19"/>
        <v>-12320.290000000008</v>
      </c>
      <c r="I54" s="20">
        <f t="shared" si="19"/>
        <v>157036.25</v>
      </c>
      <c r="J54" s="20">
        <f t="shared" si="19"/>
        <v>157036.25</v>
      </c>
      <c r="K54" s="20">
        <f t="shared" si="19"/>
        <v>157036.25</v>
      </c>
      <c r="L54" s="20">
        <f t="shared" si="19"/>
        <v>157036.25</v>
      </c>
      <c r="M54" s="20">
        <f t="shared" si="19"/>
        <v>157036.25</v>
      </c>
      <c r="N54" s="20">
        <f t="shared" si="19"/>
        <v>157036.25</v>
      </c>
      <c r="O54" s="52">
        <f t="shared" ref="O54:O60" si="20">SUM(C54:N54)</f>
        <v>1189850.4100000001</v>
      </c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</row>
    <row r="55" spans="1:29">
      <c r="B55" s="34" t="s">
        <v>32</v>
      </c>
      <c r="C55" s="20">
        <f t="shared" ref="C55:N55" si="21">C8-C31</f>
        <v>-219852.62333333338</v>
      </c>
      <c r="D55" s="20">
        <f t="shared" si="21"/>
        <v>-96213.67333333334</v>
      </c>
      <c r="E55" s="20">
        <f t="shared" si="21"/>
        <v>-11148.073333333334</v>
      </c>
      <c r="F55" s="20">
        <f t="shared" si="21"/>
        <v>25930.436666666661</v>
      </c>
      <c r="G55" s="20">
        <f t="shared" si="21"/>
        <v>-3581.5333333333547</v>
      </c>
      <c r="H55" s="20">
        <f t="shared" si="21"/>
        <v>-10385.293333333335</v>
      </c>
      <c r="I55" s="20">
        <f t="shared" si="21"/>
        <v>147645.16666666666</v>
      </c>
      <c r="J55" s="20">
        <f t="shared" si="21"/>
        <v>147645.16666666666</v>
      </c>
      <c r="K55" s="20">
        <f t="shared" si="21"/>
        <v>147645.16666666666</v>
      </c>
      <c r="L55" s="20">
        <f t="shared" si="21"/>
        <v>147645.16666666666</v>
      </c>
      <c r="M55" s="20">
        <f t="shared" si="21"/>
        <v>147645.16666666666</v>
      </c>
      <c r="N55" s="20">
        <f t="shared" si="21"/>
        <v>147645.16666666666</v>
      </c>
      <c r="O55" s="52">
        <f t="shared" si="20"/>
        <v>570620.23999999976</v>
      </c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</row>
    <row r="56" spans="1:29">
      <c r="B56" s="34" t="s">
        <v>76</v>
      </c>
      <c r="C56" s="20">
        <f t="shared" ref="C56:N56" si="22">C9-C32</f>
        <v>60336</v>
      </c>
      <c r="D56" s="20">
        <f t="shared" si="22"/>
        <v>60336</v>
      </c>
      <c r="E56" s="20">
        <f t="shared" si="22"/>
        <v>20581.940000000002</v>
      </c>
      <c r="F56" s="20">
        <f t="shared" si="22"/>
        <v>60336</v>
      </c>
      <c r="G56" s="20">
        <f t="shared" si="22"/>
        <v>38250.949999999997</v>
      </c>
      <c r="H56" s="20">
        <f t="shared" si="22"/>
        <v>17304.68</v>
      </c>
      <c r="I56" s="20">
        <f t="shared" si="22"/>
        <v>60336</v>
      </c>
      <c r="J56" s="20">
        <f t="shared" si="22"/>
        <v>60336</v>
      </c>
      <c r="K56" s="20">
        <f t="shared" si="22"/>
        <v>60336</v>
      </c>
      <c r="L56" s="20">
        <f t="shared" si="22"/>
        <v>60336</v>
      </c>
      <c r="M56" s="20">
        <f t="shared" si="22"/>
        <v>60336</v>
      </c>
      <c r="N56" s="20">
        <f t="shared" si="22"/>
        <v>60336</v>
      </c>
      <c r="O56" s="52">
        <f t="shared" si="20"/>
        <v>619161.57000000007</v>
      </c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</row>
    <row r="57" spans="1:29" hidden="1">
      <c r="B57" s="34" t="s">
        <v>33</v>
      </c>
      <c r="C57" s="20">
        <f t="shared" ref="C57:N57" si="23">C10-C33</f>
        <v>0</v>
      </c>
      <c r="D57" s="20">
        <f t="shared" si="23"/>
        <v>0</v>
      </c>
      <c r="E57" s="20">
        <f t="shared" si="23"/>
        <v>0</v>
      </c>
      <c r="F57" s="20">
        <f t="shared" si="23"/>
        <v>0</v>
      </c>
      <c r="G57" s="20">
        <f t="shared" si="23"/>
        <v>0</v>
      </c>
      <c r="H57" s="20">
        <f t="shared" si="23"/>
        <v>0</v>
      </c>
      <c r="I57" s="20">
        <f t="shared" si="23"/>
        <v>0</v>
      </c>
      <c r="J57" s="20">
        <f t="shared" si="23"/>
        <v>0</v>
      </c>
      <c r="K57" s="20">
        <f t="shared" si="23"/>
        <v>0</v>
      </c>
      <c r="L57" s="20">
        <f t="shared" si="23"/>
        <v>0</v>
      </c>
      <c r="M57" s="20">
        <f t="shared" si="23"/>
        <v>0</v>
      </c>
      <c r="N57" s="20">
        <f t="shared" si="23"/>
        <v>0</v>
      </c>
      <c r="O57" s="52">
        <f t="shared" si="20"/>
        <v>0</v>
      </c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</row>
    <row r="58" spans="1:29" hidden="1">
      <c r="B58" s="34" t="s">
        <v>34</v>
      </c>
      <c r="C58" s="20">
        <f t="shared" ref="C58:N58" si="24">C11-C34</f>
        <v>0</v>
      </c>
      <c r="D58" s="20">
        <f t="shared" si="24"/>
        <v>0</v>
      </c>
      <c r="E58" s="20">
        <f t="shared" si="24"/>
        <v>0</v>
      </c>
      <c r="F58" s="20">
        <f t="shared" si="24"/>
        <v>0</v>
      </c>
      <c r="G58" s="20">
        <f t="shared" si="24"/>
        <v>0</v>
      </c>
      <c r="H58" s="20">
        <f t="shared" si="24"/>
        <v>0</v>
      </c>
      <c r="I58" s="20">
        <f t="shared" si="24"/>
        <v>0</v>
      </c>
      <c r="J58" s="20">
        <f t="shared" si="24"/>
        <v>0</v>
      </c>
      <c r="K58" s="20">
        <f t="shared" si="24"/>
        <v>0</v>
      </c>
      <c r="L58" s="20">
        <f t="shared" si="24"/>
        <v>0</v>
      </c>
      <c r="M58" s="20">
        <f t="shared" si="24"/>
        <v>0</v>
      </c>
      <c r="N58" s="20">
        <f t="shared" si="24"/>
        <v>0</v>
      </c>
      <c r="O58" s="52">
        <f t="shared" si="20"/>
        <v>0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</row>
    <row r="59" spans="1:29" hidden="1">
      <c r="B59" s="34" t="s">
        <v>35</v>
      </c>
      <c r="C59" s="20">
        <f t="shared" ref="C59:N59" si="25">C12-C35</f>
        <v>0</v>
      </c>
      <c r="D59" s="20">
        <f t="shared" si="25"/>
        <v>0</v>
      </c>
      <c r="E59" s="20">
        <f t="shared" si="25"/>
        <v>0</v>
      </c>
      <c r="F59" s="20">
        <f t="shared" si="25"/>
        <v>0</v>
      </c>
      <c r="G59" s="20">
        <f t="shared" si="25"/>
        <v>0</v>
      </c>
      <c r="H59" s="20">
        <f t="shared" si="25"/>
        <v>0</v>
      </c>
      <c r="I59" s="20">
        <f t="shared" si="25"/>
        <v>0</v>
      </c>
      <c r="J59" s="20">
        <f t="shared" si="25"/>
        <v>0</v>
      </c>
      <c r="K59" s="20">
        <f t="shared" si="25"/>
        <v>0</v>
      </c>
      <c r="L59" s="20">
        <f t="shared" si="25"/>
        <v>0</v>
      </c>
      <c r="M59" s="20">
        <f t="shared" si="25"/>
        <v>0</v>
      </c>
      <c r="N59" s="20">
        <f t="shared" si="25"/>
        <v>0</v>
      </c>
      <c r="O59" s="52">
        <f t="shared" si="20"/>
        <v>0</v>
      </c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</row>
    <row r="60" spans="1:29" hidden="1">
      <c r="B60" s="34" t="s">
        <v>36</v>
      </c>
      <c r="C60" s="20">
        <f t="shared" ref="C60:N60" si="26">C13-C36</f>
        <v>0</v>
      </c>
      <c r="D60" s="20">
        <f t="shared" si="26"/>
        <v>0</v>
      </c>
      <c r="E60" s="20">
        <f t="shared" si="26"/>
        <v>0</v>
      </c>
      <c r="F60" s="20">
        <f t="shared" si="26"/>
        <v>0</v>
      </c>
      <c r="G60" s="20">
        <f t="shared" si="26"/>
        <v>0</v>
      </c>
      <c r="H60" s="20">
        <f t="shared" si="26"/>
        <v>0</v>
      </c>
      <c r="I60" s="20">
        <f t="shared" si="26"/>
        <v>0</v>
      </c>
      <c r="J60" s="20">
        <f t="shared" si="26"/>
        <v>0</v>
      </c>
      <c r="K60" s="20">
        <f t="shared" si="26"/>
        <v>0</v>
      </c>
      <c r="L60" s="20">
        <f t="shared" si="26"/>
        <v>0</v>
      </c>
      <c r="M60" s="20">
        <f t="shared" si="26"/>
        <v>0</v>
      </c>
      <c r="N60" s="20">
        <f t="shared" si="26"/>
        <v>0</v>
      </c>
      <c r="O60" s="52">
        <f t="shared" si="20"/>
        <v>0</v>
      </c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>
      <c r="A61" t="s">
        <v>121</v>
      </c>
      <c r="B61" s="33" t="s">
        <v>40</v>
      </c>
      <c r="C61" s="19">
        <f t="shared" ref="C61:N61" si="27">C14-C37</f>
        <v>-187207.15333333344</v>
      </c>
      <c r="D61" s="19">
        <f t="shared" si="27"/>
        <v>13924.07666666666</v>
      </c>
      <c r="E61" s="19">
        <f t="shared" si="27"/>
        <v>5085.3366666666116</v>
      </c>
      <c r="F61" s="19">
        <f t="shared" si="27"/>
        <v>204372.01666666663</v>
      </c>
      <c r="G61" s="19">
        <f t="shared" si="27"/>
        <v>158754.34666666662</v>
      </c>
      <c r="H61" s="19">
        <f t="shared" si="27"/>
        <v>-5400.9033333333791</v>
      </c>
      <c r="I61" s="19">
        <f t="shared" si="27"/>
        <v>365017.41666666663</v>
      </c>
      <c r="J61" s="19">
        <f t="shared" si="27"/>
        <v>365017.41666666663</v>
      </c>
      <c r="K61" s="19">
        <f t="shared" si="27"/>
        <v>365017.41666666663</v>
      </c>
      <c r="L61" s="19">
        <f t="shared" si="27"/>
        <v>365017.41666666663</v>
      </c>
      <c r="M61" s="19">
        <f t="shared" si="27"/>
        <v>365017.41666666663</v>
      </c>
      <c r="N61" s="19">
        <f t="shared" si="27"/>
        <v>365017.41666666663</v>
      </c>
      <c r="O61" s="53">
        <f t="shared" ref="O61" si="28">SUM(O54:O60)</f>
        <v>2379632.2199999997</v>
      </c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</row>
    <row r="62" spans="1:29">
      <c r="B62" s="33"/>
      <c r="F62" s="20"/>
      <c r="G62" s="20"/>
      <c r="H62" s="20"/>
      <c r="I62" s="20"/>
      <c r="J62" s="20"/>
      <c r="K62" s="20"/>
      <c r="L62" s="20"/>
      <c r="M62" s="20"/>
      <c r="N62" s="20"/>
      <c r="O62" s="56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</row>
    <row r="63" spans="1:29">
      <c r="B63" s="33" t="s">
        <v>125</v>
      </c>
      <c r="F63" s="20"/>
      <c r="G63" s="20"/>
      <c r="H63" s="20"/>
      <c r="I63" s="20"/>
      <c r="J63" s="20"/>
      <c r="K63" s="20"/>
      <c r="L63" s="20"/>
      <c r="M63" s="20"/>
      <c r="N63" s="20"/>
      <c r="O63" s="52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</row>
    <row r="64" spans="1:29">
      <c r="B64" s="34" t="s">
        <v>31</v>
      </c>
      <c r="C64" s="20">
        <f t="shared" ref="C64:N64" si="29">C17-C40</f>
        <v>3636.4866666666658</v>
      </c>
      <c r="D64" s="20">
        <f t="shared" si="29"/>
        <v>1560.746666666666</v>
      </c>
      <c r="E64" s="20">
        <f t="shared" si="29"/>
        <v>2227.8566666666666</v>
      </c>
      <c r="F64" s="20">
        <f t="shared" si="29"/>
        <v>2491.286666666666</v>
      </c>
      <c r="G64" s="20">
        <f t="shared" si="29"/>
        <v>3762.3266666666659</v>
      </c>
      <c r="H64" s="20">
        <f t="shared" si="29"/>
        <v>4714.9866666666658</v>
      </c>
      <c r="I64" s="20">
        <f t="shared" si="29"/>
        <v>10196.166666666666</v>
      </c>
      <c r="J64" s="20">
        <f t="shared" si="29"/>
        <v>10196.166666666666</v>
      </c>
      <c r="K64" s="20">
        <f t="shared" si="29"/>
        <v>10196.166666666666</v>
      </c>
      <c r="L64" s="20">
        <f t="shared" si="29"/>
        <v>10196.166666666666</v>
      </c>
      <c r="M64" s="20">
        <f t="shared" si="29"/>
        <v>10196.166666666666</v>
      </c>
      <c r="N64" s="20">
        <f t="shared" si="29"/>
        <v>10196.166666666666</v>
      </c>
      <c r="O64" s="52">
        <f t="shared" ref="O64:O71" si="30">SUM(C64:N64)</f>
        <v>79570.689999999988</v>
      </c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</row>
    <row r="65" spans="1:29">
      <c r="B65" s="34" t="s">
        <v>32</v>
      </c>
      <c r="C65" s="20">
        <f t="shared" ref="C65:N65" si="31">C18-C41</f>
        <v>-1427.9499999999998</v>
      </c>
      <c r="D65" s="20">
        <f t="shared" si="31"/>
        <v>-3106.92</v>
      </c>
      <c r="E65" s="20">
        <f t="shared" si="31"/>
        <v>-19438.660000000003</v>
      </c>
      <c r="F65" s="20">
        <f t="shared" si="31"/>
        <v>-12885.960000000001</v>
      </c>
      <c r="G65" s="20">
        <f t="shared" si="31"/>
        <v>-19302.349999999999</v>
      </c>
      <c r="H65" s="20">
        <f t="shared" si="31"/>
        <v>-9057.33</v>
      </c>
      <c r="I65" s="20">
        <f t="shared" si="31"/>
        <v>1719.75</v>
      </c>
      <c r="J65" s="20">
        <f t="shared" si="31"/>
        <v>1719.75</v>
      </c>
      <c r="K65" s="20">
        <f t="shared" si="31"/>
        <v>1719.75</v>
      </c>
      <c r="L65" s="20">
        <f t="shared" si="31"/>
        <v>1719.75</v>
      </c>
      <c r="M65" s="20">
        <f t="shared" si="31"/>
        <v>1719.75</v>
      </c>
      <c r="N65" s="20">
        <f t="shared" si="31"/>
        <v>1719.75</v>
      </c>
      <c r="O65" s="52">
        <f t="shared" si="30"/>
        <v>-54900.670000000006</v>
      </c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</row>
    <row r="66" spans="1:29">
      <c r="B66" s="34" t="s">
        <v>76</v>
      </c>
      <c r="C66" s="20">
        <f t="shared" ref="C66:N66" si="32">C19-C42</f>
        <v>7849.5966666666664</v>
      </c>
      <c r="D66" s="20">
        <f t="shared" si="32"/>
        <v>9007.0366666666669</v>
      </c>
      <c r="E66" s="20">
        <f t="shared" si="32"/>
        <v>8455.6866666666665</v>
      </c>
      <c r="F66" s="20">
        <f t="shared" si="32"/>
        <v>4366.0166666666664</v>
      </c>
      <c r="G66" s="20">
        <f t="shared" si="32"/>
        <v>7084.1966666666658</v>
      </c>
      <c r="H66" s="20">
        <f t="shared" si="32"/>
        <v>7009.746666666666</v>
      </c>
      <c r="I66" s="20">
        <f t="shared" si="32"/>
        <v>9050.4166666666661</v>
      </c>
      <c r="J66" s="20">
        <f t="shared" si="32"/>
        <v>9050.4166666666661</v>
      </c>
      <c r="K66" s="20">
        <f t="shared" si="32"/>
        <v>9050.4166666666661</v>
      </c>
      <c r="L66" s="20">
        <f t="shared" si="32"/>
        <v>9050.4166666666661</v>
      </c>
      <c r="M66" s="20">
        <f t="shared" si="32"/>
        <v>9050.4166666666661</v>
      </c>
      <c r="N66" s="20">
        <f t="shared" si="32"/>
        <v>9050.4166666666661</v>
      </c>
      <c r="O66" s="52">
        <f t="shared" si="30"/>
        <v>98074.780000000013</v>
      </c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</row>
    <row r="67" spans="1:29" hidden="1">
      <c r="B67" s="34" t="s">
        <v>33</v>
      </c>
      <c r="C67" s="20">
        <f t="shared" ref="C67:N67" si="33">C20-C43</f>
        <v>0</v>
      </c>
      <c r="D67" s="20">
        <f t="shared" si="33"/>
        <v>0</v>
      </c>
      <c r="E67" s="20">
        <f t="shared" si="33"/>
        <v>0</v>
      </c>
      <c r="F67" s="20">
        <f t="shared" si="33"/>
        <v>0</v>
      </c>
      <c r="G67" s="20">
        <f t="shared" si="33"/>
        <v>0</v>
      </c>
      <c r="H67" s="20">
        <f t="shared" si="33"/>
        <v>0</v>
      </c>
      <c r="I67" s="20">
        <f t="shared" si="33"/>
        <v>0</v>
      </c>
      <c r="J67" s="20">
        <f t="shared" si="33"/>
        <v>0</v>
      </c>
      <c r="K67" s="20">
        <f t="shared" si="33"/>
        <v>0</v>
      </c>
      <c r="L67" s="20">
        <f t="shared" si="33"/>
        <v>0</v>
      </c>
      <c r="M67" s="20">
        <f t="shared" si="33"/>
        <v>0</v>
      </c>
      <c r="N67" s="20">
        <f t="shared" si="33"/>
        <v>0</v>
      </c>
      <c r="O67" s="52">
        <f t="shared" si="30"/>
        <v>0</v>
      </c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</row>
    <row r="68" spans="1:29" hidden="1">
      <c r="B68" s="34" t="s">
        <v>34</v>
      </c>
      <c r="C68" s="20">
        <f t="shared" ref="C68:N68" si="34">C21-C44</f>
        <v>0</v>
      </c>
      <c r="D68" s="20">
        <f t="shared" si="34"/>
        <v>0</v>
      </c>
      <c r="E68" s="20">
        <f t="shared" si="34"/>
        <v>0</v>
      </c>
      <c r="F68" s="20">
        <f t="shared" si="34"/>
        <v>0</v>
      </c>
      <c r="G68" s="20">
        <f t="shared" si="34"/>
        <v>0</v>
      </c>
      <c r="H68" s="20">
        <f t="shared" si="34"/>
        <v>0</v>
      </c>
      <c r="I68" s="20">
        <f t="shared" si="34"/>
        <v>0</v>
      </c>
      <c r="J68" s="20">
        <f t="shared" si="34"/>
        <v>0</v>
      </c>
      <c r="K68" s="20">
        <f t="shared" si="34"/>
        <v>0</v>
      </c>
      <c r="L68" s="20">
        <f t="shared" si="34"/>
        <v>0</v>
      </c>
      <c r="M68" s="20">
        <f t="shared" si="34"/>
        <v>0</v>
      </c>
      <c r="N68" s="20">
        <f t="shared" si="34"/>
        <v>0</v>
      </c>
      <c r="O68" s="52">
        <f t="shared" si="30"/>
        <v>0</v>
      </c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</row>
    <row r="69" spans="1:29">
      <c r="B69" s="34" t="s">
        <v>35</v>
      </c>
      <c r="C69" s="20">
        <f t="shared" ref="C69:N69" si="35">C22-C45</f>
        <v>0</v>
      </c>
      <c r="D69" s="20">
        <f t="shared" si="35"/>
        <v>0</v>
      </c>
      <c r="E69" s="20">
        <f t="shared" si="35"/>
        <v>0</v>
      </c>
      <c r="F69" s="20">
        <f t="shared" si="35"/>
        <v>0</v>
      </c>
      <c r="G69" s="20">
        <f t="shared" si="35"/>
        <v>0</v>
      </c>
      <c r="H69" s="20">
        <f t="shared" si="35"/>
        <v>0</v>
      </c>
      <c r="I69" s="20">
        <f t="shared" si="35"/>
        <v>0</v>
      </c>
      <c r="J69" s="20">
        <f t="shared" si="35"/>
        <v>0</v>
      </c>
      <c r="K69" s="20">
        <f t="shared" si="35"/>
        <v>0</v>
      </c>
      <c r="L69" s="20">
        <f t="shared" si="35"/>
        <v>0</v>
      </c>
      <c r="M69" s="20">
        <f t="shared" si="35"/>
        <v>0</v>
      </c>
      <c r="N69" s="20">
        <f t="shared" si="35"/>
        <v>0</v>
      </c>
      <c r="O69" s="52">
        <f t="shared" si="30"/>
        <v>0</v>
      </c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</row>
    <row r="70" spans="1:29">
      <c r="B70" s="34" t="s">
        <v>78</v>
      </c>
      <c r="C70" s="20">
        <f t="shared" ref="C70:N70" si="36">C23-C46</f>
        <v>3787.1733333333323</v>
      </c>
      <c r="D70" s="20">
        <f t="shared" si="36"/>
        <v>14644.813333333332</v>
      </c>
      <c r="E70" s="20">
        <f t="shared" si="36"/>
        <v>9815.1833333333325</v>
      </c>
      <c r="F70" s="20">
        <f t="shared" si="36"/>
        <v>4018.613333333331</v>
      </c>
      <c r="G70" s="20">
        <f t="shared" si="36"/>
        <v>19761.673333333332</v>
      </c>
      <c r="H70" s="20">
        <f t="shared" si="36"/>
        <v>-21277.226666666666</v>
      </c>
      <c r="I70" s="20">
        <f t="shared" si="36"/>
        <v>22738.333333333332</v>
      </c>
      <c r="J70" s="20">
        <f t="shared" si="36"/>
        <v>22738.333333333332</v>
      </c>
      <c r="K70" s="20">
        <f t="shared" si="36"/>
        <v>22738.333333333332</v>
      </c>
      <c r="L70" s="20">
        <f t="shared" si="36"/>
        <v>22738.333333333332</v>
      </c>
      <c r="M70" s="20">
        <f t="shared" si="36"/>
        <v>22738.333333333332</v>
      </c>
      <c r="N70" s="20">
        <f t="shared" si="36"/>
        <v>22738.333333333332</v>
      </c>
      <c r="O70" s="52">
        <f t="shared" ref="O70" si="37">SUM(C70:N70)</f>
        <v>167180.23000000001</v>
      </c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</row>
    <row r="71" spans="1:29">
      <c r="B71" s="34" t="s">
        <v>36</v>
      </c>
      <c r="C71" s="20">
        <f t="shared" ref="C71:N71" si="38">C24-C47</f>
        <v>-3559.4800000000032</v>
      </c>
      <c r="D71" s="20">
        <f t="shared" si="38"/>
        <v>-10407.339999999997</v>
      </c>
      <c r="E71" s="20">
        <f t="shared" si="38"/>
        <v>-18861.909999999996</v>
      </c>
      <c r="F71" s="20">
        <f t="shared" si="38"/>
        <v>-30050.800000000003</v>
      </c>
      <c r="G71" s="20">
        <f t="shared" si="38"/>
        <v>-19475.849999999999</v>
      </c>
      <c r="H71" s="20">
        <f t="shared" si="38"/>
        <v>-10604.509999999995</v>
      </c>
      <c r="I71" s="20">
        <f t="shared" si="38"/>
        <v>41057.75</v>
      </c>
      <c r="J71" s="20">
        <f t="shared" si="38"/>
        <v>41057.75</v>
      </c>
      <c r="K71" s="20">
        <f t="shared" si="38"/>
        <v>41057.75</v>
      </c>
      <c r="L71" s="20">
        <f t="shared" si="38"/>
        <v>41057.75</v>
      </c>
      <c r="M71" s="20">
        <f t="shared" si="38"/>
        <v>41057.75</v>
      </c>
      <c r="N71" s="20">
        <f t="shared" si="38"/>
        <v>41057.75</v>
      </c>
      <c r="O71" s="52">
        <f t="shared" si="30"/>
        <v>153386.60999999999</v>
      </c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</row>
    <row r="72" spans="1:29">
      <c r="A72" t="s">
        <v>122</v>
      </c>
      <c r="B72" s="33" t="s">
        <v>40</v>
      </c>
      <c r="C72" s="19">
        <f t="shared" ref="C72:N72" si="39">C25-C48</f>
        <v>10285.82666666666</v>
      </c>
      <c r="D72" s="19">
        <f t="shared" si="39"/>
        <v>11698.33666666667</v>
      </c>
      <c r="E72" s="19">
        <f t="shared" si="39"/>
        <v>-17801.843333333338</v>
      </c>
      <c r="F72" s="19">
        <f t="shared" si="39"/>
        <v>-32060.843333333352</v>
      </c>
      <c r="G72" s="19">
        <f t="shared" si="39"/>
        <v>-8170.0033333333413</v>
      </c>
      <c r="H72" s="19">
        <f t="shared" si="39"/>
        <v>-29214.333333333343</v>
      </c>
      <c r="I72" s="19">
        <f t="shared" si="39"/>
        <v>84762.416666666657</v>
      </c>
      <c r="J72" s="19">
        <f t="shared" si="39"/>
        <v>84762.416666666657</v>
      </c>
      <c r="K72" s="19">
        <f t="shared" si="39"/>
        <v>84762.416666666657</v>
      </c>
      <c r="L72" s="19">
        <f t="shared" si="39"/>
        <v>84762.416666666657</v>
      </c>
      <c r="M72" s="19">
        <f t="shared" si="39"/>
        <v>84762.416666666657</v>
      </c>
      <c r="N72" s="19">
        <f t="shared" si="39"/>
        <v>84762.416666666657</v>
      </c>
      <c r="O72" s="53">
        <f t="shared" ref="O72" si="40">SUM(O64:O71)</f>
        <v>443311.64</v>
      </c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</row>
    <row r="73" spans="1:29">
      <c r="B73" s="33"/>
      <c r="F73" s="20"/>
      <c r="G73" s="20"/>
      <c r="H73" s="20"/>
      <c r="I73" s="20"/>
      <c r="J73" s="20"/>
      <c r="K73" s="20"/>
      <c r="L73" s="20"/>
      <c r="M73" s="20"/>
      <c r="N73" s="20"/>
      <c r="O73" s="56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</row>
    <row r="74" spans="1:29" ht="13.5" customHeight="1" thickBot="1">
      <c r="B74" s="33" t="s">
        <v>40</v>
      </c>
      <c r="C74" s="38">
        <f t="shared" ref="C74:N74" si="41">C27-C50</f>
        <v>-176921.32666666678</v>
      </c>
      <c r="D74" s="38">
        <f t="shared" si="41"/>
        <v>25622.41333333333</v>
      </c>
      <c r="E74" s="38">
        <f t="shared" si="41"/>
        <v>-12716.50666666677</v>
      </c>
      <c r="F74" s="38">
        <f t="shared" si="41"/>
        <v>172311.17333333322</v>
      </c>
      <c r="G74" s="38">
        <f t="shared" si="41"/>
        <v>150584.34333333327</v>
      </c>
      <c r="H74" s="38">
        <f t="shared" si="41"/>
        <v>-34615.236666666751</v>
      </c>
      <c r="I74" s="38">
        <f t="shared" si="41"/>
        <v>449779.83333333326</v>
      </c>
      <c r="J74" s="38">
        <f t="shared" si="41"/>
        <v>449779.83333333326</v>
      </c>
      <c r="K74" s="38">
        <f t="shared" si="41"/>
        <v>449779.83333333326</v>
      </c>
      <c r="L74" s="38">
        <f t="shared" si="41"/>
        <v>449779.83333333326</v>
      </c>
      <c r="M74" s="38">
        <f t="shared" si="41"/>
        <v>449779.83333333326</v>
      </c>
      <c r="N74" s="38">
        <f t="shared" si="41"/>
        <v>449779.83333333326</v>
      </c>
      <c r="O74" s="21">
        <f>O72+O61</f>
        <v>2822943.86</v>
      </c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</row>
    <row r="75" spans="1:29" ht="15.75" thickTop="1">
      <c r="B75" s="32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</row>
    <row r="76" spans="1:29">
      <c r="B76" s="32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</row>
    <row r="77" spans="1:29">
      <c r="B77" s="32" t="s">
        <v>50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</row>
    <row r="78" spans="1:29">
      <c r="B78" s="94" t="s">
        <v>134</v>
      </c>
      <c r="C78" s="94"/>
      <c r="D78" s="94"/>
      <c r="E78" s="94"/>
      <c r="F78" s="94"/>
      <c r="G78" s="94"/>
      <c r="H78" s="94"/>
      <c r="I78" s="94"/>
      <c r="J78" s="94"/>
      <c r="K78" s="94"/>
      <c r="L78" s="94"/>
      <c r="M78" s="94"/>
      <c r="N78" s="94"/>
      <c r="O78" s="94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</row>
    <row r="79" spans="1:29">
      <c r="B79" s="1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</row>
    <row r="80" spans="1:29">
      <c r="B80" s="61" t="s">
        <v>52</v>
      </c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</row>
    <row r="81" spans="2:29">
      <c r="B81" s="93" t="s">
        <v>95</v>
      </c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  <c r="AC81" s="18"/>
    </row>
    <row r="82" spans="2:29">
      <c r="B82" s="93" t="s">
        <v>127</v>
      </c>
      <c r="C82" s="93"/>
      <c r="D82" s="93"/>
      <c r="E82" s="93"/>
      <c r="F82" s="93"/>
      <c r="G82" s="93"/>
      <c r="H82" s="93"/>
      <c r="I82" s="93"/>
      <c r="J82" s="93"/>
      <c r="K82" s="93"/>
      <c r="L82" s="93"/>
      <c r="M82" s="93"/>
      <c r="N82" s="93"/>
      <c r="O82" s="93"/>
    </row>
    <row r="83" spans="2:29">
      <c r="B83" s="93" t="s">
        <v>105</v>
      </c>
      <c r="C83" s="93"/>
      <c r="D83" s="93"/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93"/>
    </row>
    <row r="84" spans="2:29">
      <c r="B84" s="93" t="s">
        <v>110</v>
      </c>
      <c r="C84" s="93"/>
      <c r="D84" s="93"/>
      <c r="E84" s="93"/>
      <c r="F84" s="93"/>
      <c r="G84" s="93"/>
      <c r="H84" s="93"/>
      <c r="I84" s="93"/>
      <c r="J84" s="93"/>
      <c r="K84" s="93"/>
      <c r="L84" s="93"/>
      <c r="M84" s="93"/>
      <c r="N84" s="93"/>
      <c r="O84" s="93"/>
    </row>
    <row r="85" spans="2:29">
      <c r="B85" s="93" t="s">
        <v>135</v>
      </c>
      <c r="C85" s="93"/>
      <c r="D85" s="93"/>
      <c r="E85" s="93"/>
      <c r="F85" s="93"/>
      <c r="G85" s="93"/>
      <c r="H85" s="93"/>
      <c r="I85" s="93"/>
      <c r="J85" s="93"/>
      <c r="K85" s="93"/>
      <c r="L85" s="93"/>
      <c r="M85" s="93"/>
      <c r="N85" s="93"/>
      <c r="O85" s="93"/>
    </row>
    <row r="86" spans="2:29">
      <c r="B86" s="93" t="s">
        <v>145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</row>
  </sheetData>
  <mergeCells count="7">
    <mergeCell ref="B86:O86"/>
    <mergeCell ref="B85:O85"/>
    <mergeCell ref="B84:O84"/>
    <mergeCell ref="B81:O81"/>
    <mergeCell ref="B78:O78"/>
    <mergeCell ref="B82:O82"/>
    <mergeCell ref="B83:O83"/>
  </mergeCells>
  <pageMargins left="0" right="0" top="0.75" bottom="0.75" header="0.3" footer="0.3"/>
  <pageSetup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14"/>
  <sheetViews>
    <sheetView workbookViewId="0">
      <selection activeCell="B11" sqref="B11"/>
    </sheetView>
  </sheetViews>
  <sheetFormatPr defaultRowHeight="15"/>
  <cols>
    <col min="1" max="1" width="51.5703125" bestFit="1" customWidth="1"/>
    <col min="2" max="2" width="14.28515625" bestFit="1" customWidth="1"/>
  </cols>
  <sheetData>
    <row r="2" spans="1:2">
      <c r="A2" s="80" t="s">
        <v>69</v>
      </c>
      <c r="B2" s="1">
        <f>'ID-Sch91 Rider Balance'!J17</f>
        <v>-1056644.8556046295</v>
      </c>
    </row>
    <row r="3" spans="1:2">
      <c r="A3" s="80"/>
    </row>
    <row r="4" spans="1:2">
      <c r="A4" s="80" t="s">
        <v>70</v>
      </c>
      <c r="B4" s="1">
        <v>2607000</v>
      </c>
    </row>
    <row r="5" spans="1:2">
      <c r="A5" s="80" t="s">
        <v>71</v>
      </c>
      <c r="B5" s="85">
        <f>SUM('ID-Sch91 Rider Balance'!K11:N11)</f>
        <v>1858259</v>
      </c>
    </row>
    <row r="6" spans="1:2">
      <c r="A6" s="80"/>
      <c r="B6" s="1">
        <f>B5-B4</f>
        <v>-748741</v>
      </c>
    </row>
    <row r="8" spans="1:2">
      <c r="A8" s="80" t="s">
        <v>72</v>
      </c>
      <c r="B8" s="3">
        <f>B2+B6</f>
        <v>-1805385.8556046295</v>
      </c>
    </row>
    <row r="10" spans="1:2">
      <c r="A10" s="80" t="s">
        <v>73</v>
      </c>
      <c r="B10" s="1">
        <v>7706000</v>
      </c>
    </row>
    <row r="11" spans="1:2">
      <c r="A11" t="s">
        <v>74</v>
      </c>
      <c r="B11" s="86"/>
    </row>
    <row r="12" spans="1:2">
      <c r="B12" s="3">
        <f>B11-B10</f>
        <v>-7706000</v>
      </c>
    </row>
    <row r="14" spans="1:2">
      <c r="A14" t="s">
        <v>75</v>
      </c>
      <c r="B14" s="3">
        <f>B8+B12</f>
        <v>-9511385.85560463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4" tint="0.39997558519241921"/>
  </sheetPr>
  <dimension ref="A2:AF31"/>
  <sheetViews>
    <sheetView workbookViewId="0">
      <selection activeCell="A3" sqref="A3"/>
    </sheetView>
  </sheetViews>
  <sheetFormatPr defaultRowHeight="15"/>
  <cols>
    <col min="1" max="1" width="3.42578125" bestFit="1" customWidth="1"/>
    <col min="2" max="2" width="34.85546875" customWidth="1"/>
    <col min="3" max="6" width="10.5703125" bestFit="1" customWidth="1"/>
    <col min="7" max="15" width="11.28515625" bestFit="1" customWidth="1"/>
    <col min="16" max="16" width="11.5703125" bestFit="1" customWidth="1"/>
    <col min="17" max="19" width="11.28515625" bestFit="1" customWidth="1"/>
    <col min="21" max="32" width="11.28515625" bestFit="1" customWidth="1"/>
  </cols>
  <sheetData>
    <row r="2" spans="1:32">
      <c r="B2" s="39" t="s">
        <v>27</v>
      </c>
    </row>
    <row r="3" spans="1:32">
      <c r="C3" s="25">
        <v>2011</v>
      </c>
      <c r="D3" s="25">
        <v>2011</v>
      </c>
      <c r="E3" s="25">
        <v>2011</v>
      </c>
      <c r="F3" s="25">
        <v>2011</v>
      </c>
      <c r="G3" s="25">
        <v>2011</v>
      </c>
      <c r="H3" s="25">
        <v>2011</v>
      </c>
      <c r="I3" s="25">
        <v>2011</v>
      </c>
      <c r="J3" s="25">
        <v>2011</v>
      </c>
      <c r="K3" s="25">
        <v>2011</v>
      </c>
      <c r="L3" s="25">
        <v>2011</v>
      </c>
      <c r="M3" s="25">
        <v>2011</v>
      </c>
      <c r="N3" s="25">
        <v>2011</v>
      </c>
      <c r="O3" s="42" t="s">
        <v>29</v>
      </c>
      <c r="P3" s="42">
        <v>2011</v>
      </c>
      <c r="Q3" s="42">
        <v>2011</v>
      </c>
      <c r="R3" s="42">
        <v>2011</v>
      </c>
      <c r="S3" s="42">
        <v>2011</v>
      </c>
      <c r="U3" s="42">
        <v>2012</v>
      </c>
      <c r="V3" s="42">
        <v>2012</v>
      </c>
      <c r="W3" s="42">
        <v>2012</v>
      </c>
      <c r="X3" s="42">
        <v>2012</v>
      </c>
      <c r="Y3" s="42">
        <v>2012</v>
      </c>
      <c r="Z3" s="42">
        <v>2012</v>
      </c>
      <c r="AA3" s="42">
        <v>2012</v>
      </c>
      <c r="AB3" s="42">
        <v>2012</v>
      </c>
      <c r="AC3" s="42">
        <v>2012</v>
      </c>
      <c r="AD3" s="42">
        <v>2012</v>
      </c>
      <c r="AE3" s="42">
        <v>2012</v>
      </c>
      <c r="AF3" s="42">
        <v>2012</v>
      </c>
    </row>
    <row r="4" spans="1:32">
      <c r="C4" s="25" t="s">
        <v>0</v>
      </c>
      <c r="D4" s="25" t="s">
        <v>1</v>
      </c>
      <c r="E4" s="25" t="s">
        <v>2</v>
      </c>
      <c r="F4" s="25" t="s">
        <v>3</v>
      </c>
      <c r="G4" s="25" t="s">
        <v>4</v>
      </c>
      <c r="H4" s="25" t="s">
        <v>5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5" t="s">
        <v>11</v>
      </c>
      <c r="O4" s="42"/>
      <c r="P4" s="42" t="s">
        <v>54</v>
      </c>
      <c r="Q4" s="42" t="s">
        <v>55</v>
      </c>
      <c r="R4" s="42" t="s">
        <v>56</v>
      </c>
      <c r="S4" s="42" t="s">
        <v>57</v>
      </c>
      <c r="U4" s="42" t="s">
        <v>0</v>
      </c>
      <c r="V4" s="42" t="s">
        <v>1</v>
      </c>
      <c r="W4" s="42" t="s">
        <v>2</v>
      </c>
      <c r="X4" s="42" t="s">
        <v>3</v>
      </c>
      <c r="Y4" s="42" t="s">
        <v>4</v>
      </c>
      <c r="Z4" s="42" t="s">
        <v>5</v>
      </c>
      <c r="AA4" s="42" t="s">
        <v>6</v>
      </c>
      <c r="AB4" s="42" t="s">
        <v>7</v>
      </c>
      <c r="AC4" s="42" t="s">
        <v>8</v>
      </c>
      <c r="AD4" s="42" t="s">
        <v>9</v>
      </c>
      <c r="AE4" s="42" t="s">
        <v>10</v>
      </c>
      <c r="AF4" s="42" t="s">
        <v>11</v>
      </c>
    </row>
    <row r="5" spans="1:32">
      <c r="A5" t="s">
        <v>22</v>
      </c>
      <c r="B5" t="s">
        <v>13</v>
      </c>
      <c r="C5" s="1">
        <v>466307.76</v>
      </c>
      <c r="D5" s="1">
        <v>141315.58494479198</v>
      </c>
      <c r="E5" s="1">
        <v>-292946.2054756427</v>
      </c>
      <c r="F5" s="1">
        <v>-697084.5654756428</v>
      </c>
      <c r="G5" s="1">
        <v>-723239.84637736739</v>
      </c>
      <c r="H5" s="1">
        <v>-1100740.3907709599</v>
      </c>
      <c r="I5" s="1">
        <v>-1056644.8556046295</v>
      </c>
      <c r="J5" s="1">
        <v>-1056644.8556046295</v>
      </c>
      <c r="K5" s="1">
        <v>-1056644.8556046295</v>
      </c>
      <c r="L5" s="1">
        <v>-1056644.8556046295</v>
      </c>
      <c r="M5" s="1">
        <v>-1056644.8556046295</v>
      </c>
      <c r="N5" s="1">
        <v>-1056644.8556046295</v>
      </c>
      <c r="O5" s="40"/>
      <c r="P5" s="44">
        <v>466307.76</v>
      </c>
      <c r="Q5" s="47">
        <v>-697084.56547564268</v>
      </c>
      <c r="R5" s="47">
        <v>-1056644.8556046295</v>
      </c>
      <c r="S5" s="47">
        <v>-1056644.8556046295</v>
      </c>
      <c r="U5" s="47">
        <v>-1538723.6175827556</v>
      </c>
      <c r="V5" s="47">
        <v>-1538723.6175827556</v>
      </c>
      <c r="W5" s="47">
        <v>-1538723.6175827556</v>
      </c>
      <c r="X5" s="47">
        <v>-1538723.6175827556</v>
      </c>
      <c r="Y5" s="47">
        <v>-1538723.6175827556</v>
      </c>
      <c r="Z5" s="47">
        <v>-1538723.6175827556</v>
      </c>
      <c r="AA5" s="47">
        <v>-1538723.6175827556</v>
      </c>
      <c r="AB5" s="47">
        <v>-1538723.6175827556</v>
      </c>
      <c r="AC5" s="47">
        <v>-1538723.6175827556</v>
      </c>
      <c r="AD5" s="47">
        <v>-1538723.6175827556</v>
      </c>
      <c r="AE5" s="47">
        <v>-1538723.6175827556</v>
      </c>
      <c r="AF5" s="47">
        <v>-1538723.6175827556</v>
      </c>
    </row>
    <row r="6" spans="1:32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40"/>
      <c r="P6" s="40"/>
      <c r="Q6" s="40"/>
      <c r="R6" s="40"/>
      <c r="S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>
      <c r="B7" t="s">
        <v>14</v>
      </c>
      <c r="C7" s="2">
        <v>762517.58312813356</v>
      </c>
      <c r="D7" s="2">
        <v>674515.55651750427</v>
      </c>
      <c r="E7" s="2">
        <v>666481.51311140764</v>
      </c>
      <c r="F7" s="2">
        <v>579081.23508125055</v>
      </c>
      <c r="G7" s="2">
        <v>572813.44250258419</v>
      </c>
      <c r="H7" s="2">
        <v>574689.38997737388</v>
      </c>
      <c r="I7" s="2">
        <v>610752.61206215969</v>
      </c>
      <c r="J7" s="2">
        <v>612737.13680048392</v>
      </c>
      <c r="K7" s="2">
        <v>571980.18213039427</v>
      </c>
      <c r="L7" s="2">
        <v>622702.35335211549</v>
      </c>
      <c r="M7" s="2">
        <v>672378.20568990125</v>
      </c>
      <c r="N7" s="2">
        <v>738830.05628822499</v>
      </c>
      <c r="O7" s="47">
        <v>7659479.2666415349</v>
      </c>
      <c r="P7" s="47">
        <v>2103514.6527570458</v>
      </c>
      <c r="Q7" s="47">
        <v>1726584.0675612085</v>
      </c>
      <c r="R7" s="47">
        <v>1795469.930993038</v>
      </c>
      <c r="S7" s="47">
        <v>2033910.6153302416</v>
      </c>
      <c r="U7" s="26">
        <v>0</v>
      </c>
      <c r="V7" s="26">
        <v>0</v>
      </c>
      <c r="W7" s="26">
        <v>0</v>
      </c>
      <c r="X7" s="26">
        <v>0</v>
      </c>
      <c r="Y7" s="26">
        <v>0</v>
      </c>
      <c r="Z7" s="26">
        <v>0</v>
      </c>
      <c r="AA7" s="26">
        <v>0</v>
      </c>
      <c r="AB7" s="26">
        <v>0</v>
      </c>
      <c r="AC7" s="26">
        <v>0</v>
      </c>
      <c r="AD7" s="26">
        <v>0</v>
      </c>
      <c r="AE7" s="26">
        <v>0</v>
      </c>
      <c r="AF7" s="26">
        <v>0</v>
      </c>
    </row>
    <row r="8" spans="1:32">
      <c r="A8" t="s">
        <v>21</v>
      </c>
      <c r="B8" t="s">
        <v>15</v>
      </c>
      <c r="C8" s="1">
        <v>766353.21505520807</v>
      </c>
      <c r="D8" s="1">
        <v>702367.17042043468</v>
      </c>
      <c r="E8" s="1">
        <v>747543.95000000007</v>
      </c>
      <c r="F8" s="1">
        <v>637968.62090172467</v>
      </c>
      <c r="G8" s="1">
        <v>608821.42439359252</v>
      </c>
      <c r="H8" s="1">
        <v>554417.88483366976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47">
        <v>4017472.2656046296</v>
      </c>
      <c r="P8" s="47">
        <v>2216264.3354756427</v>
      </c>
      <c r="Q8" s="47">
        <v>1801207.9301289869</v>
      </c>
      <c r="R8" s="47">
        <v>0</v>
      </c>
      <c r="S8" s="47">
        <v>0</v>
      </c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>
      <c r="B9" t="s">
        <v>16</v>
      </c>
      <c r="C9" s="22">
        <v>3835.6319270745153</v>
      </c>
      <c r="D9" s="22">
        <v>27851.613902930403</v>
      </c>
      <c r="E9" s="22">
        <v>81062.436888592434</v>
      </c>
      <c r="F9" s="22">
        <v>58887.385820474126</v>
      </c>
      <c r="G9" s="22">
        <v>36007.981891008327</v>
      </c>
      <c r="H9" s="22">
        <v>-20271.505143704126</v>
      </c>
      <c r="I9" s="22">
        <v>-610752.61206215969</v>
      </c>
      <c r="J9" s="22">
        <v>-612737.13680048392</v>
      </c>
      <c r="K9" s="22">
        <v>-571980.18213039427</v>
      </c>
      <c r="L9" s="22">
        <v>-622702.35335211549</v>
      </c>
      <c r="M9" s="22">
        <v>-672378.20568990125</v>
      </c>
      <c r="N9" s="22">
        <v>-738830.05628822499</v>
      </c>
      <c r="O9" s="48">
        <v>-3642007.0010369043</v>
      </c>
      <c r="P9" s="48">
        <v>112749.68271859689</v>
      </c>
      <c r="Q9" s="48">
        <v>74623.862567778444</v>
      </c>
      <c r="R9" s="48">
        <v>-1795469.930993038</v>
      </c>
      <c r="S9" s="48">
        <v>-2033910.6153302416</v>
      </c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40"/>
      <c r="P10" s="40"/>
      <c r="Q10" s="40"/>
      <c r="R10" s="40"/>
      <c r="S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>
      <c r="B11" t="s">
        <v>18</v>
      </c>
      <c r="C11" s="1">
        <v>464564.75</v>
      </c>
      <c r="D11" s="1">
        <v>464564.75</v>
      </c>
      <c r="E11" s="1">
        <v>464564.75</v>
      </c>
      <c r="F11" s="1">
        <v>464564.75</v>
      </c>
      <c r="G11" s="1">
        <v>464564.75</v>
      </c>
      <c r="H11" s="1">
        <v>464564.75</v>
      </c>
      <c r="I11" s="1">
        <v>464564.75</v>
      </c>
      <c r="J11" s="1">
        <v>464564.75</v>
      </c>
      <c r="K11" s="1">
        <v>464564.75</v>
      </c>
      <c r="L11" s="1">
        <v>464564.75</v>
      </c>
      <c r="M11" s="1">
        <v>464564.75</v>
      </c>
      <c r="N11" s="1">
        <v>464564.75</v>
      </c>
      <c r="O11" s="47">
        <v>5574777</v>
      </c>
      <c r="P11" s="47">
        <v>1393694.25</v>
      </c>
      <c r="Q11" s="47">
        <v>1393694.25</v>
      </c>
      <c r="R11" s="47">
        <v>1393694.25</v>
      </c>
      <c r="S11" s="47">
        <v>1393694.25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</row>
    <row r="12" spans="1:32">
      <c r="A12" t="s">
        <v>20</v>
      </c>
      <c r="B12" t="s">
        <v>17</v>
      </c>
      <c r="C12" s="1">
        <v>441361.04000000004</v>
      </c>
      <c r="D12" s="1">
        <v>268105.38</v>
      </c>
      <c r="E12" s="1">
        <v>343405.58999999997</v>
      </c>
      <c r="F12" s="1">
        <v>611813.34000000008</v>
      </c>
      <c r="G12" s="1">
        <v>231320.88000000003</v>
      </c>
      <c r="H12" s="1">
        <v>598513.42000000004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47">
        <v>2494519.6500000004</v>
      </c>
      <c r="P12" s="47">
        <v>1052872.01</v>
      </c>
      <c r="Q12" s="47">
        <v>1441647.6400000001</v>
      </c>
      <c r="R12" s="47">
        <v>0</v>
      </c>
      <c r="S12" s="47">
        <v>0</v>
      </c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>
      <c r="B13" t="s">
        <v>19</v>
      </c>
      <c r="C13" s="23">
        <v>23203.709999999963</v>
      </c>
      <c r="D13" s="23">
        <v>196459.37</v>
      </c>
      <c r="E13" s="23">
        <v>121159.16000000003</v>
      </c>
      <c r="F13" s="23">
        <v>-147248.59000000008</v>
      </c>
      <c r="G13" s="23">
        <v>233243.86999999997</v>
      </c>
      <c r="H13" s="23">
        <v>-133948.67000000004</v>
      </c>
      <c r="I13" s="23">
        <v>464564.75</v>
      </c>
      <c r="J13" s="23">
        <v>464564.75</v>
      </c>
      <c r="K13" s="23">
        <v>464564.75</v>
      </c>
      <c r="L13" s="23">
        <v>464564.75</v>
      </c>
      <c r="M13" s="23">
        <v>464564.75</v>
      </c>
      <c r="N13" s="23">
        <v>464564.75</v>
      </c>
      <c r="O13" s="48">
        <v>3080257.3499999996</v>
      </c>
      <c r="P13" s="49">
        <v>340822.24</v>
      </c>
      <c r="Q13" s="49">
        <v>-47953.39000000013</v>
      </c>
      <c r="R13" s="49">
        <v>1393694.25</v>
      </c>
      <c r="S13" s="49">
        <v>1393694.25</v>
      </c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40"/>
      <c r="P14" s="40"/>
      <c r="Q14" s="40"/>
      <c r="R14" s="40"/>
      <c r="S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ht="30">
      <c r="A15" t="s">
        <v>24</v>
      </c>
      <c r="B15" s="4" t="s">
        <v>23</v>
      </c>
      <c r="C15" s="1">
        <v>324992.17505520803</v>
      </c>
      <c r="D15" s="1">
        <v>434261.79042043467</v>
      </c>
      <c r="E15" s="1">
        <v>404138.3600000001</v>
      </c>
      <c r="F15" s="1">
        <v>26155.280901724589</v>
      </c>
      <c r="G15" s="1">
        <v>377500.54439359251</v>
      </c>
      <c r="H15" s="1">
        <v>-44095.535166330286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45">
        <v>1522952.6156046293</v>
      </c>
      <c r="P15" s="45">
        <v>1163392.3254756427</v>
      </c>
      <c r="Q15" s="45">
        <v>359560.29012898682</v>
      </c>
      <c r="R15" s="45">
        <v>0</v>
      </c>
      <c r="S15" s="45">
        <v>0</v>
      </c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40"/>
      <c r="P16" s="40"/>
      <c r="Q16" s="40"/>
      <c r="R16" s="40"/>
      <c r="S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2:32" ht="15.75" thickBot="1">
      <c r="B17" t="s">
        <v>25</v>
      </c>
      <c r="C17" s="59">
        <v>141315.58494479198</v>
      </c>
      <c r="D17" s="59">
        <v>-292946.2054756427</v>
      </c>
      <c r="E17" s="59">
        <v>-697084.5654756428</v>
      </c>
      <c r="F17" s="59">
        <v>-723239.84637736739</v>
      </c>
      <c r="G17" s="59">
        <v>-1100740.3907709599</v>
      </c>
      <c r="H17" s="59">
        <v>-1056644.8556046295</v>
      </c>
      <c r="I17" s="59">
        <v>-1056644.8556046295</v>
      </c>
      <c r="J17" s="59">
        <v>-1056644.8556046295</v>
      </c>
      <c r="K17" s="59">
        <v>-1056644.8556046295</v>
      </c>
      <c r="L17" s="59">
        <v>-1056644.8556046295</v>
      </c>
      <c r="M17" s="59">
        <v>-1056644.8556046295</v>
      </c>
      <c r="N17" s="59">
        <v>-1056644.8556046295</v>
      </c>
      <c r="O17" s="47"/>
      <c r="P17" s="47">
        <v>-697084.56547564268</v>
      </c>
      <c r="Q17" s="47">
        <v>-1056644.8556046295</v>
      </c>
      <c r="R17" s="47">
        <v>-1056644.8556046295</v>
      </c>
      <c r="S17" s="47">
        <v>-1056644.8556046295</v>
      </c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2:32" ht="15.75" thickTop="1">
      <c r="O18" s="40"/>
      <c r="P18" s="40"/>
      <c r="Q18" s="40"/>
      <c r="R18" s="40"/>
      <c r="S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2:32">
      <c r="B19" t="s">
        <v>28</v>
      </c>
      <c r="D19" s="3" t="s">
        <v>53</v>
      </c>
      <c r="E19" s="3" t="s">
        <v>53</v>
      </c>
      <c r="F19" s="3" t="s">
        <v>53</v>
      </c>
      <c r="G19" s="3" t="s">
        <v>53</v>
      </c>
      <c r="H19" s="3" t="s">
        <v>53</v>
      </c>
      <c r="I19" s="3">
        <v>-1202832.7176667892</v>
      </c>
      <c r="J19" s="3">
        <v>-1204817.2424051133</v>
      </c>
      <c r="K19" s="3">
        <v>-1164060.2877350238</v>
      </c>
      <c r="L19" s="3">
        <v>-1214782.458956745</v>
      </c>
      <c r="M19" s="3">
        <v>-1264458.3112945308</v>
      </c>
      <c r="N19" s="3">
        <v>-1538723.6175827556</v>
      </c>
      <c r="O19" s="40"/>
      <c r="P19" s="47"/>
      <c r="Q19" s="40"/>
      <c r="R19" s="40"/>
      <c r="S19" s="40"/>
      <c r="U19" s="47">
        <v>-1538723.6175827556</v>
      </c>
      <c r="V19" s="47">
        <v>-1538723.6175827556</v>
      </c>
      <c r="W19" s="47">
        <v>-1538723.6175827556</v>
      </c>
      <c r="X19" s="47">
        <v>-1538723.6175827556</v>
      </c>
      <c r="Y19" s="47">
        <v>-1538723.6175827556</v>
      </c>
      <c r="Z19" s="47">
        <v>-1538723.6175827556</v>
      </c>
      <c r="AA19" s="47">
        <v>-1538723.6175827556</v>
      </c>
      <c r="AB19" s="47">
        <v>-1538723.6175827556</v>
      </c>
      <c r="AC19" s="47">
        <v>-1538723.6175827556</v>
      </c>
      <c r="AD19" s="47">
        <v>-1538723.6175827556</v>
      </c>
      <c r="AE19" s="47">
        <v>-1538723.6175827556</v>
      </c>
      <c r="AF19" s="47">
        <v>-1538723.6175827556</v>
      </c>
    </row>
    <row r="21" spans="2:32">
      <c r="B21" s="51" t="s">
        <v>26</v>
      </c>
    </row>
    <row r="22" spans="2:32">
      <c r="B22" s="93" t="s">
        <v>96</v>
      </c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</row>
    <row r="23" spans="2:32">
      <c r="B23" s="93" t="s">
        <v>103</v>
      </c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</row>
    <row r="24" spans="2:32">
      <c r="B24" s="93" t="s">
        <v>107</v>
      </c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</row>
    <row r="25" spans="2:32">
      <c r="B25" s="93" t="s">
        <v>113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</row>
    <row r="26" spans="2:32">
      <c r="B26" s="93" t="s">
        <v>142</v>
      </c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</row>
    <row r="27" spans="2:32">
      <c r="B27" s="93" t="s">
        <v>151</v>
      </c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</row>
    <row r="28" spans="2:32">
      <c r="B28" s="90" t="s">
        <v>53</v>
      </c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</row>
    <row r="29" spans="2:32">
      <c r="B29" s="95" t="s">
        <v>53</v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</row>
    <row r="30" spans="2:32">
      <c r="B30" s="95" t="s">
        <v>53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</row>
    <row r="31" spans="2:32">
      <c r="B31" s="95" t="s">
        <v>53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</row>
  </sheetData>
  <mergeCells count="9">
    <mergeCell ref="B22:O22"/>
    <mergeCell ref="B23:O23"/>
    <mergeCell ref="B29:O29"/>
    <mergeCell ref="B30:O30"/>
    <mergeCell ref="B31:O31"/>
    <mergeCell ref="B24:O24"/>
    <mergeCell ref="B25:O25"/>
    <mergeCell ref="B26:O26"/>
    <mergeCell ref="B27:O27"/>
  </mergeCells>
  <pageMargins left="0" right="0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2008-12-31T08:00:00+00:00</OpenedDate>
    <Date1 xmlns="dc463f71-b30c-4ab2-9473-d307f9d35888">2011-07-12T07:00:00+00:00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082272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781205735848445924E4D0F05517EFE" ma:contentTypeVersion="135" ma:contentTypeDescription="" ma:contentTypeScope="" ma:versionID="a88cdd576291ccb1462ea7e3eb671d0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965F604-343E-4623-959D-D9655D3006B3}"/>
</file>

<file path=customXml/itemProps2.xml><?xml version="1.0" encoding="utf-8"?>
<ds:datastoreItem xmlns:ds="http://schemas.openxmlformats.org/officeDocument/2006/customXml" ds:itemID="{4D156B4E-5BCA-4055-BC98-42BAB7A749E2}"/>
</file>

<file path=customXml/itemProps3.xml><?xml version="1.0" encoding="utf-8"?>
<ds:datastoreItem xmlns:ds="http://schemas.openxmlformats.org/officeDocument/2006/customXml" ds:itemID="{FB953ADD-2554-4883-9FA7-9CA99DA323A1}"/>
</file>

<file path=customXml/itemProps4.xml><?xml version="1.0" encoding="utf-8"?>
<ds:datastoreItem xmlns:ds="http://schemas.openxmlformats.org/officeDocument/2006/customXml" ds:itemID="{93BB81EA-30CF-499F-B623-8C63215CD2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6</vt:i4>
      </vt:variant>
    </vt:vector>
  </HeadingPairs>
  <TitlesOfParts>
    <vt:vector size="20" baseType="lpstr">
      <vt:lpstr>WAID Act vs Budget savings</vt:lpstr>
      <vt:lpstr>WA-Sch91 Bal Projection</vt:lpstr>
      <vt:lpstr>WA-Sch91 Rider Balance</vt:lpstr>
      <vt:lpstr>WA-Sch91 Budget-Act Exp</vt:lpstr>
      <vt:lpstr>WA-Sch191 Bal Projection </vt:lpstr>
      <vt:lpstr>WA-Sch191 Rider Balance</vt:lpstr>
      <vt:lpstr>WA-Sch191 Budget-Act Exp </vt:lpstr>
      <vt:lpstr>ID-Sch91 Bal Projection </vt:lpstr>
      <vt:lpstr>ID-Sch91 Rider Balance</vt:lpstr>
      <vt:lpstr>ID-Sch91 Budget-Act Exp</vt:lpstr>
      <vt:lpstr>ID-Sch191 Bal Projection</vt:lpstr>
      <vt:lpstr>ID-Sch191 Rider Balance</vt:lpstr>
      <vt:lpstr>ID-Sch191 Budget-Act Exp</vt:lpstr>
      <vt:lpstr>Sheet1</vt:lpstr>
      <vt:lpstr>'WA-Sch91 Rider Balance'!DSMFlag</vt:lpstr>
      <vt:lpstr>'WA-Sch91 Budget-Act Exp'!Print_Area</vt:lpstr>
      <vt:lpstr>'ID-Sch191 Rider Balance'!Print_Titles</vt:lpstr>
      <vt:lpstr>'ID-Sch91 Rider Balance'!Print_Titles</vt:lpstr>
      <vt:lpstr>'WA-Sch191 Rider Balance'!Print_Titles</vt:lpstr>
      <vt:lpstr>'WA-Sch91 Rider Balance'!Print_Titles</vt:lpstr>
    </vt:vector>
  </TitlesOfParts>
  <Company>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</dc:creator>
  <cp:lastModifiedBy>Linda Gervais</cp:lastModifiedBy>
  <cp:lastPrinted>2011-05-23T18:25:03Z</cp:lastPrinted>
  <dcterms:created xsi:type="dcterms:W3CDTF">2010-03-25T21:27:14Z</dcterms:created>
  <dcterms:modified xsi:type="dcterms:W3CDTF">2011-07-12T16:03:19Z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0x0101006E56B4D1795A2E4DB2F0B01679ED314A001781205735848445924E4D0F05517EFE</vt:lpwstr>
  </property>
  <property fmtid="{D5CDD505-2E9C-101B-9397-08002B2CF9AE}" pid="4" name="_docset_NoMedatataSyncRequired">
    <vt:lpwstr>False</vt:lpwstr>
  </property>
</Properties>
</file>