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0100" windowHeight="9216"/>
  </bookViews>
  <sheets>
    <sheet name="JAP-4 (ERF Impacts)" sheetId="1" r:id="rId1"/>
    <sheet name="TARIFF IMPACTS===&gt;" sheetId="35" r:id="rId2"/>
    <sheet name="JAP-4 Sch 7 Res Impact" sheetId="36" r:id="rId3"/>
    <sheet name="JAP-4 Sch 24 Sec Volt Impact" sheetId="37" r:id="rId4"/>
    <sheet name="JAP-4 Sch 25 Sec Volt Impact" sheetId="38" r:id="rId5"/>
    <sheet name="JAP-4 Sch 26 Sec Volt Impact" sheetId="39" r:id="rId6"/>
    <sheet name="JAP-4 Sch 29 Sec Volt Impact" sheetId="40" r:id="rId7"/>
    <sheet name="JAP-4 Sch 31 Pri Volt Impact" sheetId="41" r:id="rId8"/>
    <sheet name="JAP-4 Sch 46 High Volt Impact" sheetId="42" r:id="rId9"/>
    <sheet name="JAP-4 Sch 49 High Volt Impact" sheetId="43" r:id="rId10"/>
    <sheet name="Proposed Filing 10-2018" sheetId="46" r:id="rId11"/>
    <sheet name="JAP-4 Proposed ERF Rev" sheetId="2" r:id="rId12"/>
    <sheet name="Annualized Rider Revenue" sheetId="15" r:id="rId13"/>
    <sheet name="Sch 95" sheetId="3" r:id="rId14"/>
    <sheet name="Sch 95a" sheetId="4" r:id="rId15"/>
    <sheet name="Sch 120" sheetId="13" r:id="rId16"/>
    <sheet name="Sch 129" sheetId="16" r:id="rId17"/>
    <sheet name="Sch 132" sheetId="17" r:id="rId18"/>
    <sheet name="Sch 137" sheetId="19" r:id="rId19"/>
    <sheet name="Sch 140" sheetId="22" r:id="rId20"/>
    <sheet name="Sch 141" sheetId="23" r:id="rId21"/>
    <sheet name="Sch 142" sheetId="24" r:id="rId22"/>
    <sheet name="Sch 194" sheetId="25" r:id="rId23"/>
    <sheet name="Compliance Filings" sheetId="14" r:id="rId24"/>
    <sheet name="UE-180284 Sch 95A" sheetId="12" r:id="rId25"/>
    <sheet name="UE-180285 Sch 120 " sheetId="49" r:id="rId26"/>
    <sheet name="UE-180739 Sch 129" sheetId="7" r:id="rId27"/>
    <sheet name="UE-171167 Sch 132" sheetId="18" r:id="rId28"/>
    <sheet name="UE-171169 Sch 137" sheetId="20" r:id="rId29"/>
    <sheet name="UE-180257 Sch 140" sheetId="48" r:id="rId30"/>
    <sheet name="UE-180282 Sch 142" sheetId="47" r:id="rId31"/>
    <sheet name="UE-170946 Sch 194" sheetId="10" r:id="rId32"/>
  </sheets>
  <externalReferences>
    <externalReference r:id="rId33"/>
    <externalReference r:id="rId34"/>
  </externalReferences>
  <definedNames>
    <definedName name="_Order1" localSheetId="11">0</definedName>
    <definedName name="_Order1">255</definedName>
    <definedName name="_Order2" localSheetId="11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2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0">'JAP-4 (ERF Impacts)'!$A$1:$V$37</definedName>
    <definedName name="_xlnm.Print_Area" localSheetId="11">'JAP-4 Proposed ERF Rev'!$B$1:$R$49</definedName>
    <definedName name="_xlnm.Print_Area" localSheetId="3">'JAP-4 Sch 24 Sec Volt Impact'!$A$1:$Y$47</definedName>
    <definedName name="_xlnm.Print_Area" localSheetId="4">'JAP-4 Sch 25 Sec Volt Impact'!$A$1:$Q$59</definedName>
    <definedName name="_xlnm.Print_Area" localSheetId="5">'JAP-4 Sch 26 Sec Volt Impact'!$A$1:$Q$47</definedName>
    <definedName name="_xlnm.Print_Area" localSheetId="6">'JAP-4 Sch 29 Sec Volt Impact'!$A$1:$Q$70</definedName>
    <definedName name="_xlnm.Print_Area" localSheetId="7">'JAP-4 Sch 31 Pri Volt Impact'!$A$1:$Q$47</definedName>
    <definedName name="_xlnm.Print_Area" localSheetId="8">'JAP-4 Sch 46 High Volt Impact'!$A$1:$P$39</definedName>
    <definedName name="_xlnm.Print_Area" localSheetId="9">'JAP-4 Sch 49 High Volt Impact'!$A$1:$P$39</definedName>
    <definedName name="_xlnm.Print_Area" localSheetId="2">'JAP-4 Sch 7 Res Impact'!$A$1:$R$46</definedName>
    <definedName name="_xlnm.Print_Titles" localSheetId="0">'JAP-4 (ERF Impacts)'!$A:$B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A" localSheetId="11">'JAP-4 Proposed ERF Rev'!$B$3:$T$49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 iterate="1" calcOnSave="0"/>
</workbook>
</file>

<file path=xl/calcChain.xml><?xml version="1.0" encoding="utf-8"?>
<calcChain xmlns="http://schemas.openxmlformats.org/spreadsheetml/2006/main">
  <c r="U46" i="2" l="1"/>
  <c r="U42" i="2"/>
  <c r="U40" i="2"/>
  <c r="U38" i="2"/>
  <c r="U33" i="2"/>
  <c r="U31" i="2"/>
  <c r="U25" i="2"/>
  <c r="U18" i="2"/>
  <c r="N46" i="2"/>
  <c r="L46" i="2"/>
  <c r="J46" i="2"/>
  <c r="H46" i="2"/>
  <c r="N42" i="2"/>
  <c r="L42" i="2"/>
  <c r="J42" i="2"/>
  <c r="H42" i="2"/>
  <c r="N40" i="2"/>
  <c r="L40" i="2"/>
  <c r="J40" i="2"/>
  <c r="H40" i="2"/>
  <c r="N37" i="2"/>
  <c r="L37" i="2"/>
  <c r="J37" i="2"/>
  <c r="H37" i="2"/>
  <c r="N36" i="2"/>
  <c r="L36" i="2"/>
  <c r="J36" i="2"/>
  <c r="H36" i="2"/>
  <c r="N33" i="2"/>
  <c r="L33" i="2"/>
  <c r="J33" i="2"/>
  <c r="H33" i="2"/>
  <c r="N30" i="2"/>
  <c r="L30" i="2"/>
  <c r="J30" i="2"/>
  <c r="H30" i="2"/>
  <c r="N29" i="2"/>
  <c r="L29" i="2"/>
  <c r="J29" i="2"/>
  <c r="H29" i="2"/>
  <c r="N28" i="2"/>
  <c r="L28" i="2"/>
  <c r="J28" i="2"/>
  <c r="H28" i="2"/>
  <c r="N24" i="2"/>
  <c r="L24" i="2"/>
  <c r="J24" i="2"/>
  <c r="H24" i="2"/>
  <c r="N23" i="2"/>
  <c r="L23" i="2"/>
  <c r="J23" i="2"/>
  <c r="H23" i="2"/>
  <c r="N22" i="2"/>
  <c r="L22" i="2"/>
  <c r="J22" i="2"/>
  <c r="H22" i="2"/>
  <c r="N21" i="2"/>
  <c r="L21" i="2"/>
  <c r="J21" i="2"/>
  <c r="H21" i="2"/>
  <c r="N17" i="2"/>
  <c r="L17" i="2"/>
  <c r="J17" i="2"/>
  <c r="H17" i="2"/>
  <c r="N9" i="2"/>
  <c r="E21" i="24"/>
  <c r="Q42" i="41"/>
  <c r="O28" i="41"/>
  <c r="E16" i="24"/>
  <c r="Q65" i="40"/>
  <c r="Q62" i="40"/>
  <c r="Q59" i="40"/>
  <c r="O45" i="40"/>
  <c r="O41" i="40"/>
  <c r="O38" i="40"/>
  <c r="Q42" i="39"/>
  <c r="O28" i="39"/>
  <c r="Q55" i="38"/>
  <c r="Q52" i="38"/>
  <c r="O38" i="38"/>
  <c r="O33" i="38"/>
  <c r="U23" i="37"/>
  <c r="P28" i="43"/>
  <c r="P27" i="43"/>
  <c r="N18" i="43"/>
  <c r="N17" i="43"/>
  <c r="P28" i="42"/>
  <c r="P27" i="42"/>
  <c r="N18" i="42"/>
  <c r="N17" i="42"/>
  <c r="Q43" i="41"/>
  <c r="Q41" i="41"/>
  <c r="Q40" i="41"/>
  <c r="Q39" i="41"/>
  <c r="Q38" i="41"/>
  <c r="O29" i="41"/>
  <c r="O27" i="41"/>
  <c r="O26" i="41"/>
  <c r="O25" i="41"/>
  <c r="O24" i="41"/>
  <c r="Q66" i="40"/>
  <c r="Q64" i="40"/>
  <c r="Q63" i="40"/>
  <c r="Q61" i="40"/>
  <c r="Q60" i="40"/>
  <c r="Q58" i="40"/>
  <c r="Q57" i="40"/>
  <c r="Q56" i="40"/>
  <c r="Q55" i="40"/>
  <c r="O46" i="40"/>
  <c r="O44" i="40"/>
  <c r="O43" i="40"/>
  <c r="O42" i="40"/>
  <c r="O40" i="40"/>
  <c r="O39" i="40"/>
  <c r="O37" i="40"/>
  <c r="O36" i="40"/>
  <c r="O35" i="40"/>
  <c r="O34" i="40"/>
  <c r="Q43" i="39"/>
  <c r="Q41" i="39"/>
  <c r="Q40" i="39"/>
  <c r="Q39" i="39"/>
  <c r="Q38" i="39"/>
  <c r="O29" i="39"/>
  <c r="O27" i="39"/>
  <c r="O26" i="39"/>
  <c r="O25" i="39"/>
  <c r="O24" i="39"/>
  <c r="Q57" i="38"/>
  <c r="Q56" i="38"/>
  <c r="Q54" i="38"/>
  <c r="Q53" i="38"/>
  <c r="Q51" i="38"/>
  <c r="Q50" i="38"/>
  <c r="Q49" i="38"/>
  <c r="O39" i="38"/>
  <c r="O37" i="38"/>
  <c r="O36" i="38"/>
  <c r="O35" i="38"/>
  <c r="O34" i="38"/>
  <c r="O32" i="38"/>
  <c r="O31" i="38"/>
  <c r="O30" i="38"/>
  <c r="Y35" i="37"/>
  <c r="Y34" i="37"/>
  <c r="Y33" i="37"/>
  <c r="Y32" i="37"/>
  <c r="U22" i="37"/>
  <c r="U21" i="37"/>
  <c r="V20" i="37"/>
  <c r="U20" i="37"/>
  <c r="Q36" i="36"/>
  <c r="Q35" i="36"/>
  <c r="Q34" i="36"/>
  <c r="O23" i="36"/>
  <c r="O22" i="36"/>
  <c r="O21" i="36"/>
  <c r="D38" i="25"/>
  <c r="D34" i="25"/>
  <c r="D32" i="25"/>
  <c r="D29" i="25"/>
  <c r="D28" i="25"/>
  <c r="D26" i="25"/>
  <c r="D23" i="25"/>
  <c r="D22" i="25"/>
  <c r="D21" i="25"/>
  <c r="D20" i="25"/>
  <c r="D17" i="25"/>
  <c r="D16" i="25"/>
  <c r="D15" i="25"/>
  <c r="D14" i="25"/>
  <c r="D13" i="25"/>
  <c r="D12" i="25"/>
  <c r="D11" i="25"/>
  <c r="D8" i="25"/>
  <c r="D7" i="25"/>
  <c r="A12" i="43" l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14" i="4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12" i="41"/>
  <c r="A13" i="41" s="1"/>
  <c r="A15" i="40"/>
  <c r="A16" i="40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13" i="40"/>
  <c r="A14" i="40" s="1"/>
  <c r="A12" i="40"/>
  <c r="A13" i="39"/>
  <c r="A14" i="39"/>
  <c r="A15" i="39"/>
  <c r="A16" i="39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12" i="39"/>
  <c r="A13" i="38"/>
  <c r="A14" i="38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12" i="38"/>
  <c r="A14" i="37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13" i="37"/>
  <c r="A12" i="37"/>
  <c r="A14" i="36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13" i="36"/>
  <c r="A12" i="36"/>
  <c r="N23" i="43" l="1"/>
  <c r="N23" i="42"/>
  <c r="O34" i="41" l="1"/>
  <c r="O51" i="40"/>
  <c r="O34" i="39"/>
  <c r="O45" i="38"/>
  <c r="V28" i="37"/>
  <c r="O30" i="36"/>
  <c r="P20" i="43" l="1"/>
  <c r="P23" i="43"/>
  <c r="N29" i="43"/>
  <c r="N26" i="43"/>
  <c r="P26" i="43" s="1"/>
  <c r="N22" i="43"/>
  <c r="P22" i="43" s="1"/>
  <c r="N21" i="43"/>
  <c r="P21" i="43" s="1"/>
  <c r="N26" i="42"/>
  <c r="P26" i="42"/>
  <c r="N29" i="42"/>
  <c r="P29" i="42"/>
  <c r="N22" i="42"/>
  <c r="P22" i="42" s="1"/>
  <c r="N21" i="42"/>
  <c r="P21" i="42" s="1"/>
  <c r="Q34" i="41"/>
  <c r="Q33" i="41"/>
  <c r="O45" i="41"/>
  <c r="O44" i="41"/>
  <c r="Q44" i="41" s="1"/>
  <c r="O37" i="41"/>
  <c r="Q37" i="41" s="1"/>
  <c r="O33" i="41"/>
  <c r="O32" i="41"/>
  <c r="Q32" i="41" s="1"/>
  <c r="Q45" i="41" l="1"/>
  <c r="P29" i="43"/>
  <c r="O67" i="40" l="1"/>
  <c r="O54" i="40"/>
  <c r="O50" i="40"/>
  <c r="O49" i="40"/>
  <c r="Q30" i="39"/>
  <c r="Q31" i="39"/>
  <c r="Q34" i="39"/>
  <c r="O45" i="39"/>
  <c r="Q45" i="39" s="1"/>
  <c r="O44" i="39"/>
  <c r="Q44" i="39" s="1"/>
  <c r="O37" i="39"/>
  <c r="Q37" i="39" s="1"/>
  <c r="O33" i="39"/>
  <c r="Q33" i="39" s="1"/>
  <c r="O32" i="39"/>
  <c r="Q32" i="39" s="1"/>
  <c r="O58" i="38"/>
  <c r="Q58" i="38" s="1"/>
  <c r="O48" i="38"/>
  <c r="Q48" i="38" s="1"/>
  <c r="O44" i="38"/>
  <c r="Q44" i="38" s="1"/>
  <c r="O43" i="38"/>
  <c r="Q43" i="38" s="1"/>
  <c r="V36" i="37"/>
  <c r="Y36" i="37" s="1"/>
  <c r="V31" i="37"/>
  <c r="Y31" i="37" s="1"/>
  <c r="Y27" i="37"/>
  <c r="Y26" i="37"/>
  <c r="Y25" i="37"/>
  <c r="V27" i="37"/>
  <c r="V26" i="37"/>
  <c r="O33" i="36" l="1"/>
  <c r="Q33" i="36" s="1"/>
  <c r="O29" i="36"/>
  <c r="Q29" i="36" s="1"/>
  <c r="O28" i="36"/>
  <c r="Q28" i="36" s="1"/>
  <c r="L9" i="1" l="1"/>
  <c r="L35" i="1"/>
  <c r="L31" i="1"/>
  <c r="L29" i="1"/>
  <c r="L26" i="1"/>
  <c r="L25" i="1"/>
  <c r="L23" i="1"/>
  <c r="L20" i="1"/>
  <c r="L19" i="1"/>
  <c r="L18" i="1"/>
  <c r="L15" i="1"/>
  <c r="L14" i="1"/>
  <c r="L13" i="1"/>
  <c r="L12" i="1"/>
  <c r="C27" i="23"/>
  <c r="C21" i="23"/>
  <c r="C16" i="23"/>
  <c r="C9" i="23"/>
  <c r="A4" i="23"/>
  <c r="A3" i="23"/>
  <c r="E7" i="13"/>
  <c r="E34" i="13"/>
  <c r="E32" i="13"/>
  <c r="E29" i="13"/>
  <c r="E28" i="13"/>
  <c r="E26" i="13"/>
  <c r="E23" i="13"/>
  <c r="E22" i="13"/>
  <c r="E20" i="13"/>
  <c r="E17" i="13"/>
  <c r="E15" i="13"/>
  <c r="E11" i="13"/>
  <c r="E8" i="13"/>
  <c r="E13" i="13" s="1"/>
  <c r="E14" i="13" s="1"/>
  <c r="E21" i="13"/>
  <c r="E16" i="13"/>
  <c r="E12" i="13"/>
  <c r="E34" i="22"/>
  <c r="E32" i="22"/>
  <c r="E29" i="22"/>
  <c r="E28" i="22"/>
  <c r="E26" i="22"/>
  <c r="E23" i="22"/>
  <c r="E22" i="22"/>
  <c r="E20" i="22"/>
  <c r="E17" i="22"/>
  <c r="E15" i="22"/>
  <c r="E11" i="22"/>
  <c r="E8" i="22"/>
  <c r="E7" i="22"/>
  <c r="H20" i="16"/>
  <c r="H15" i="16"/>
  <c r="H13" i="16"/>
  <c r="H11" i="16"/>
  <c r="H8" i="16"/>
  <c r="G7" i="16"/>
  <c r="G34" i="16"/>
  <c r="G32" i="16"/>
  <c r="G29" i="16"/>
  <c r="G28" i="16"/>
  <c r="G26" i="16"/>
  <c r="G23" i="16"/>
  <c r="G22" i="16"/>
  <c r="G20" i="16"/>
  <c r="G17" i="16"/>
  <c r="G15" i="16"/>
  <c r="G11" i="16"/>
  <c r="G8" i="16"/>
  <c r="E7" i="16"/>
  <c r="E34" i="16"/>
  <c r="E32" i="16"/>
  <c r="E29" i="16"/>
  <c r="E28" i="16"/>
  <c r="E26" i="16"/>
  <c r="E23" i="16"/>
  <c r="E22" i="16"/>
  <c r="E20" i="16"/>
  <c r="E17" i="16"/>
  <c r="E15" i="16"/>
  <c r="E11" i="16"/>
  <c r="E8" i="16"/>
  <c r="H33" i="7"/>
  <c r="I33" i="7"/>
  <c r="J33" i="7"/>
  <c r="K33" i="7" s="1"/>
  <c r="H31" i="7"/>
  <c r="J31" i="7"/>
  <c r="I31" i="7"/>
  <c r="J27" i="7"/>
  <c r="H27" i="7"/>
  <c r="I27" i="7"/>
  <c r="H26" i="7"/>
  <c r="J26" i="7"/>
  <c r="E29" i="7"/>
  <c r="D29" i="7"/>
  <c r="J24" i="7"/>
  <c r="I24" i="7"/>
  <c r="H20" i="7"/>
  <c r="I20" i="7"/>
  <c r="J20" i="7"/>
  <c r="K20" i="7" s="1"/>
  <c r="J19" i="7"/>
  <c r="K19" i="7" s="1"/>
  <c r="I19" i="7"/>
  <c r="H18" i="7"/>
  <c r="E22" i="7"/>
  <c r="D22" i="7"/>
  <c r="D16" i="7"/>
  <c r="J14" i="7"/>
  <c r="I14" i="7"/>
  <c r="H13" i="7"/>
  <c r="I13" i="7"/>
  <c r="J13" i="7"/>
  <c r="K13" i="7" s="1"/>
  <c r="J12" i="7"/>
  <c r="I12" i="7"/>
  <c r="H11" i="7"/>
  <c r="E16" i="7"/>
  <c r="J11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H9" i="7"/>
  <c r="J9" i="7"/>
  <c r="E35" i="7"/>
  <c r="C33" i="23" l="1"/>
  <c r="C37" i="23" s="1"/>
  <c r="L12" i="7"/>
  <c r="J16" i="7"/>
  <c r="G16" i="7" s="1"/>
  <c r="K11" i="7"/>
  <c r="K16" i="7" s="1"/>
  <c r="K12" i="7"/>
  <c r="L14" i="7"/>
  <c r="K24" i="7"/>
  <c r="L24" i="7" s="1"/>
  <c r="J29" i="7"/>
  <c r="G29" i="7" s="1"/>
  <c r="K9" i="7"/>
  <c r="K14" i="7"/>
  <c r="L20" i="7"/>
  <c r="L33" i="7"/>
  <c r="D35" i="7"/>
  <c r="L13" i="7"/>
  <c r="L19" i="7"/>
  <c r="K27" i="7"/>
  <c r="L27" i="7" s="1"/>
  <c r="K31" i="7"/>
  <c r="L31" i="7" s="1"/>
  <c r="I11" i="7"/>
  <c r="I9" i="7"/>
  <c r="H12" i="7"/>
  <c r="H14" i="7"/>
  <c r="J18" i="7"/>
  <c r="H19" i="7"/>
  <c r="H24" i="7"/>
  <c r="I26" i="7"/>
  <c r="I18" i="7"/>
  <c r="I29" i="7" l="1"/>
  <c r="K35" i="7"/>
  <c r="L9" i="7"/>
  <c r="I22" i="7"/>
  <c r="L18" i="7"/>
  <c r="K18" i="7"/>
  <c r="K22" i="7" s="1"/>
  <c r="J22" i="7"/>
  <c r="L11" i="7"/>
  <c r="I16" i="7"/>
  <c r="K26" i="7"/>
  <c r="K29" i="7" s="1"/>
  <c r="F16" i="7" l="1"/>
  <c r="H16" i="7" s="1"/>
  <c r="L16" i="7"/>
  <c r="F29" i="7"/>
  <c r="H29" i="7" s="1"/>
  <c r="L29" i="7"/>
  <c r="L22" i="7"/>
  <c r="F22" i="7"/>
  <c r="G22" i="7"/>
  <c r="H22" i="7" s="1"/>
  <c r="J35" i="7"/>
  <c r="G35" i="7" s="1"/>
  <c r="I35" i="7"/>
  <c r="L26" i="7"/>
  <c r="L35" i="7" l="1"/>
  <c r="F35" i="7"/>
  <c r="H35" i="7"/>
  <c r="G21" i="16" l="1"/>
  <c r="G16" i="16"/>
  <c r="G12" i="16"/>
  <c r="G13" i="16"/>
  <c r="G14" i="16" s="1"/>
  <c r="Q42" i="40"/>
  <c r="Q49" i="40" l="1"/>
  <c r="K8" i="4"/>
  <c r="I20" i="4"/>
  <c r="K20" i="4" s="1"/>
  <c r="I15" i="4"/>
  <c r="I13" i="4"/>
  <c r="I11" i="4"/>
  <c r="I8" i="4"/>
  <c r="H34" i="4"/>
  <c r="H32" i="4"/>
  <c r="H29" i="4"/>
  <c r="H28" i="4"/>
  <c r="H26" i="4"/>
  <c r="H23" i="4"/>
  <c r="H22" i="4"/>
  <c r="H20" i="4"/>
  <c r="H17" i="4"/>
  <c r="H15" i="4"/>
  <c r="H16" i="4" s="1"/>
  <c r="H11" i="4"/>
  <c r="H8" i="4"/>
  <c r="H7" i="4"/>
  <c r="H21" i="4"/>
  <c r="H13" i="4"/>
  <c r="H14" i="4" s="1"/>
  <c r="H12" i="4"/>
  <c r="E34" i="4"/>
  <c r="E32" i="4"/>
  <c r="E29" i="4"/>
  <c r="E28" i="4"/>
  <c r="E26" i="4"/>
  <c r="E23" i="4"/>
  <c r="E22" i="4"/>
  <c r="E20" i="4"/>
  <c r="E17" i="4"/>
  <c r="E15" i="4"/>
  <c r="E11" i="4"/>
  <c r="E8" i="4"/>
  <c r="E7" i="4"/>
  <c r="I20" i="24" l="1"/>
  <c r="H21" i="24"/>
  <c r="H16" i="24"/>
  <c r="G14" i="24"/>
  <c r="G7" i="24"/>
  <c r="O37" i="36" s="1"/>
  <c r="Q37" i="36" s="1"/>
  <c r="G8" i="24"/>
  <c r="I8" i="24" s="1"/>
  <c r="G11" i="24"/>
  <c r="I11" i="24" s="1"/>
  <c r="G12" i="24"/>
  <c r="G13" i="24"/>
  <c r="I13" i="24" s="1"/>
  <c r="G15" i="24"/>
  <c r="I15" i="24" s="1"/>
  <c r="G16" i="24"/>
  <c r="G17" i="24"/>
  <c r="G21" i="24"/>
  <c r="G22" i="24"/>
  <c r="G23" i="24"/>
  <c r="G26" i="24"/>
  <c r="G28" i="24"/>
  <c r="G29" i="24"/>
  <c r="Q67" i="40" l="1"/>
  <c r="H28" i="22"/>
  <c r="H15" i="22"/>
  <c r="I15" i="22" s="1"/>
  <c r="H7" i="22"/>
  <c r="H11" i="22"/>
  <c r="H8" i="22"/>
  <c r="H17" i="22"/>
  <c r="Q54" i="40" s="1"/>
  <c r="H20" i="22"/>
  <c r="H21" i="22" s="1"/>
  <c r="H22" i="22"/>
  <c r="H23" i="22"/>
  <c r="H26" i="22"/>
  <c r="H29" i="22"/>
  <c r="H32" i="22"/>
  <c r="H34" i="22"/>
  <c r="H13" i="22" l="1"/>
  <c r="I13" i="22" s="1"/>
  <c r="I8" i="22"/>
  <c r="H12" i="22"/>
  <c r="I11" i="22"/>
  <c r="I20" i="22"/>
  <c r="H16" i="22"/>
  <c r="H14" i="22" l="1"/>
  <c r="H7" i="13" l="1"/>
  <c r="H11" i="13"/>
  <c r="H8" i="13"/>
  <c r="I8" i="13" s="1"/>
  <c r="H15" i="13"/>
  <c r="H17" i="13"/>
  <c r="Q50" i="40" s="1"/>
  <c r="H20" i="13"/>
  <c r="I20" i="13" s="1"/>
  <c r="H22" i="13"/>
  <c r="H23" i="13"/>
  <c r="H26" i="13"/>
  <c r="H28" i="13"/>
  <c r="H29" i="13"/>
  <c r="H34" i="13"/>
  <c r="H32" i="13"/>
  <c r="I11" i="13" l="1"/>
  <c r="I15" i="13"/>
  <c r="H21" i="13"/>
  <c r="H16" i="13"/>
  <c r="H13" i="13"/>
  <c r="I13" i="13" s="1"/>
  <c r="H12" i="13"/>
  <c r="H14" i="13" l="1"/>
  <c r="O39" i="36" l="1"/>
  <c r="Q39" i="36" s="1"/>
  <c r="H38" i="2" l="1"/>
  <c r="M18" i="43" l="1"/>
  <c r="M17" i="43"/>
  <c r="M18" i="42"/>
  <c r="M17" i="42"/>
  <c r="N29" i="41"/>
  <c r="N28" i="41"/>
  <c r="N27" i="41"/>
  <c r="N26" i="41"/>
  <c r="N25" i="41"/>
  <c r="N24" i="41"/>
  <c r="N46" i="40" l="1"/>
  <c r="N45" i="40"/>
  <c r="N44" i="40"/>
  <c r="N43" i="40"/>
  <c r="N42" i="40"/>
  <c r="N40" i="40"/>
  <c r="N39" i="40"/>
  <c r="N37" i="40"/>
  <c r="N36" i="40"/>
  <c r="N35" i="40"/>
  <c r="N34" i="40"/>
  <c r="N29" i="39"/>
  <c r="N26" i="39"/>
  <c r="N27" i="39"/>
  <c r="N28" i="39"/>
  <c r="N25" i="39"/>
  <c r="N24" i="39"/>
  <c r="N39" i="38"/>
  <c r="N38" i="38"/>
  <c r="N37" i="38"/>
  <c r="N36" i="38"/>
  <c r="N35" i="38"/>
  <c r="N33" i="38"/>
  <c r="N34" i="38"/>
  <c r="N32" i="38"/>
  <c r="N31" i="38"/>
  <c r="N30" i="38"/>
  <c r="T23" i="37" l="1"/>
  <c r="T22" i="37"/>
  <c r="T21" i="37"/>
  <c r="T20" i="37"/>
  <c r="N21" i="36"/>
  <c r="N23" i="36" l="1"/>
  <c r="N22" i="36"/>
  <c r="E11" i="43" l="1"/>
  <c r="E12" i="43"/>
  <c r="E13" i="43"/>
  <c r="E15" i="43"/>
  <c r="E16" i="43"/>
  <c r="E17" i="43"/>
  <c r="E19" i="43"/>
  <c r="E20" i="43"/>
  <c r="E21" i="43"/>
  <c r="E23" i="43"/>
  <c r="E24" i="43"/>
  <c r="E25" i="43"/>
  <c r="E27" i="43"/>
  <c r="E28" i="43"/>
  <c r="E29" i="43"/>
  <c r="E31" i="43"/>
  <c r="E32" i="43"/>
  <c r="E33" i="43"/>
  <c r="E11" i="42"/>
  <c r="E12" i="42"/>
  <c r="E13" i="42"/>
  <c r="E15" i="42"/>
  <c r="E16" i="42"/>
  <c r="E17" i="42"/>
  <c r="E19" i="42"/>
  <c r="E20" i="42"/>
  <c r="E21" i="42"/>
  <c r="E23" i="42"/>
  <c r="E24" i="42"/>
  <c r="E25" i="42"/>
  <c r="E27" i="42"/>
  <c r="E28" i="42"/>
  <c r="E29" i="42"/>
  <c r="E31" i="42"/>
  <c r="E32" i="42"/>
  <c r="E33" i="42"/>
  <c r="E11" i="41"/>
  <c r="P13" i="41"/>
  <c r="B12" i="41"/>
  <c r="E12" i="41"/>
  <c r="B13" i="41"/>
  <c r="E13" i="41"/>
  <c r="P15" i="41"/>
  <c r="B15" i="41"/>
  <c r="E15" i="41"/>
  <c r="P17" i="41"/>
  <c r="B16" i="41"/>
  <c r="P18" i="41"/>
  <c r="P19" i="41"/>
  <c r="P21" i="41"/>
  <c r="P14" i="40"/>
  <c r="E12" i="40"/>
  <c r="P15" i="40"/>
  <c r="B13" i="40"/>
  <c r="E13" i="40"/>
  <c r="B14" i="40"/>
  <c r="E14" i="40"/>
  <c r="P17" i="40"/>
  <c r="P18" i="40"/>
  <c r="E16" i="40"/>
  <c r="P19" i="40"/>
  <c r="B17" i="40"/>
  <c r="E17" i="40"/>
  <c r="B18" i="40"/>
  <c r="E18" i="40"/>
  <c r="P21" i="40"/>
  <c r="P22" i="40"/>
  <c r="E20" i="40"/>
  <c r="P23" i="40"/>
  <c r="B21" i="40"/>
  <c r="E21" i="40"/>
  <c r="B22" i="40"/>
  <c r="E22" i="40"/>
  <c r="P25" i="40"/>
  <c r="P27" i="40"/>
  <c r="E25" i="40"/>
  <c r="P28" i="40"/>
  <c r="B26" i="40"/>
  <c r="B27" i="40" s="1"/>
  <c r="E26" i="40"/>
  <c r="P29" i="40"/>
  <c r="E27" i="40"/>
  <c r="P31" i="40"/>
  <c r="E29" i="40"/>
  <c r="B30" i="40"/>
  <c r="E30" i="40"/>
  <c r="B31" i="40"/>
  <c r="E31" i="40"/>
  <c r="E33" i="40"/>
  <c r="B34" i="40"/>
  <c r="E34" i="40"/>
  <c r="B35" i="40"/>
  <c r="E35" i="40"/>
  <c r="E37" i="40"/>
  <c r="B38" i="40"/>
  <c r="B39" i="40" s="1"/>
  <c r="E38" i="40"/>
  <c r="E39" i="40"/>
  <c r="E11" i="39"/>
  <c r="P13" i="39"/>
  <c r="B12" i="39"/>
  <c r="E12" i="39"/>
  <c r="B13" i="39"/>
  <c r="B15" i="39" s="1"/>
  <c r="E13" i="39"/>
  <c r="P15" i="39"/>
  <c r="P17" i="39"/>
  <c r="P18" i="39"/>
  <c r="P19" i="39"/>
  <c r="P21" i="39"/>
  <c r="E11" i="38"/>
  <c r="P13" i="38"/>
  <c r="B12" i="38"/>
  <c r="B13" i="38" s="1"/>
  <c r="E12" i="38"/>
  <c r="E13" i="38"/>
  <c r="P15" i="38"/>
  <c r="P16" i="38"/>
  <c r="E15" i="38"/>
  <c r="P17" i="38"/>
  <c r="B16" i="38"/>
  <c r="E16" i="38"/>
  <c r="B17" i="38"/>
  <c r="E17" i="38"/>
  <c r="P19" i="38"/>
  <c r="E19" i="38"/>
  <c r="P21" i="38"/>
  <c r="B20" i="38"/>
  <c r="B21" i="38" s="1"/>
  <c r="E20" i="38"/>
  <c r="E21" i="38"/>
  <c r="P23" i="38"/>
  <c r="P24" i="38"/>
  <c r="E23" i="38"/>
  <c r="P25" i="38"/>
  <c r="B24" i="38"/>
  <c r="E24" i="38"/>
  <c r="B25" i="38"/>
  <c r="E25" i="38"/>
  <c r="P27" i="38"/>
  <c r="E27" i="38"/>
  <c r="B28" i="38"/>
  <c r="B29" i="38" s="1"/>
  <c r="E28" i="38"/>
  <c r="E29" i="38"/>
  <c r="E31" i="38"/>
  <c r="B32" i="38"/>
  <c r="E32" i="38"/>
  <c r="B33" i="38"/>
  <c r="E33" i="38"/>
  <c r="E35" i="38"/>
  <c r="B36" i="38"/>
  <c r="B37" i="38" s="1"/>
  <c r="E36" i="38"/>
  <c r="E37" i="38"/>
  <c r="W13" i="37"/>
  <c r="B12" i="37"/>
  <c r="W15" i="37"/>
  <c r="W16" i="37"/>
  <c r="W17" i="37"/>
  <c r="B16" i="37"/>
  <c r="B17" i="37"/>
  <c r="B19" i="37" l="1"/>
  <c r="E15" i="39"/>
  <c r="B16" i="39"/>
  <c r="E16" i="39"/>
  <c r="E17" i="39"/>
  <c r="B13" i="37"/>
  <c r="E16" i="41"/>
  <c r="E17" i="41"/>
  <c r="B17" i="41"/>
  <c r="B19" i="41" l="1"/>
  <c r="B20" i="37"/>
  <c r="B17" i="39"/>
  <c r="B21" i="37" l="1"/>
  <c r="E21" i="41"/>
  <c r="B20" i="41"/>
  <c r="E20" i="41"/>
  <c r="E19" i="41"/>
  <c r="B19" i="39"/>
  <c r="B21" i="41" l="1"/>
  <c r="B23" i="37"/>
  <c r="E20" i="39"/>
  <c r="E21" i="39"/>
  <c r="E19" i="39"/>
  <c r="B20" i="39"/>
  <c r="B21" i="39" l="1"/>
  <c r="B24" i="37"/>
  <c r="B23" i="41"/>
  <c r="E23" i="41" l="1"/>
  <c r="E25" i="41"/>
  <c r="B24" i="41"/>
  <c r="E24" i="41"/>
  <c r="B25" i="37"/>
  <c r="B23" i="39"/>
  <c r="E24" i="39" l="1"/>
  <c r="E23" i="39"/>
  <c r="E25" i="39"/>
  <c r="B24" i="39"/>
  <c r="B27" i="37"/>
  <c r="B25" i="41"/>
  <c r="B25" i="39" l="1"/>
  <c r="B28" i="37"/>
  <c r="B27" i="41"/>
  <c r="B29" i="37" l="1"/>
  <c r="B27" i="39"/>
  <c r="E27" i="41"/>
  <c r="E29" i="41"/>
  <c r="B28" i="41"/>
  <c r="E28" i="41"/>
  <c r="E28" i="39" l="1"/>
  <c r="E29" i="39"/>
  <c r="B28" i="39"/>
  <c r="E27" i="39"/>
  <c r="B31" i="37"/>
  <c r="B29" i="41"/>
  <c r="B31" i="41" l="1"/>
  <c r="B32" i="37"/>
  <c r="B29" i="39"/>
  <c r="B31" i="39" l="1"/>
  <c r="E31" i="41"/>
  <c r="B32" i="41"/>
  <c r="E33" i="41"/>
  <c r="E32" i="41"/>
  <c r="B33" i="37"/>
  <c r="B33" i="41" l="1"/>
  <c r="E33" i="39"/>
  <c r="E31" i="39"/>
  <c r="E32" i="39"/>
  <c r="B32" i="39"/>
  <c r="B35" i="37"/>
  <c r="B36" i="37" l="1"/>
  <c r="B35" i="41"/>
  <c r="B33" i="39"/>
  <c r="B37" i="37" l="1"/>
  <c r="B35" i="39"/>
  <c r="E37" i="41"/>
  <c r="E35" i="41"/>
  <c r="E36" i="41"/>
  <c r="B36" i="41"/>
  <c r="E36" i="39" l="1"/>
  <c r="E35" i="39"/>
  <c r="B36" i="39"/>
  <c r="E37" i="39"/>
  <c r="B39" i="37"/>
  <c r="B37" i="41"/>
  <c r="B37" i="39" l="1"/>
  <c r="B40" i="37"/>
  <c r="B41" i="37" l="1"/>
  <c r="E7" i="25" l="1"/>
  <c r="E12" i="25" l="1"/>
  <c r="E16" i="25"/>
  <c r="E22" i="25"/>
  <c r="E13" i="25"/>
  <c r="E17" i="25"/>
  <c r="O69" i="40" s="1"/>
  <c r="Q69" i="40" s="1"/>
  <c r="E32" i="25"/>
  <c r="E20" i="25"/>
  <c r="E14" i="25"/>
  <c r="E11" i="25"/>
  <c r="E15" i="25"/>
  <c r="F15" i="25" s="1"/>
  <c r="E21" i="25"/>
  <c r="F17" i="25"/>
  <c r="N15" i="1" s="1"/>
  <c r="F7" i="25"/>
  <c r="N9" i="1" s="1"/>
  <c r="F22" i="25"/>
  <c r="N19" i="1" s="1"/>
  <c r="F38" i="25"/>
  <c r="N35" i="1" s="1"/>
  <c r="F34" i="25"/>
  <c r="N31" i="1" s="1"/>
  <c r="F32" i="25"/>
  <c r="N29" i="1" s="1"/>
  <c r="F29" i="25"/>
  <c r="N26" i="1" s="1"/>
  <c r="F28" i="25"/>
  <c r="N25" i="1" s="1"/>
  <c r="D30" i="25"/>
  <c r="F26" i="25"/>
  <c r="N23" i="1" s="1"/>
  <c r="F23" i="25"/>
  <c r="N20" i="1" s="1"/>
  <c r="F20" i="25"/>
  <c r="F16" i="25"/>
  <c r="N14" i="1" s="1"/>
  <c r="F13" i="25"/>
  <c r="F11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F8" i="25"/>
  <c r="A8" i="25"/>
  <c r="D6" i="25"/>
  <c r="D24" i="25" l="1"/>
  <c r="D18" i="25"/>
  <c r="D9" i="25"/>
  <c r="F9" i="25"/>
  <c r="F30" i="25"/>
  <c r="F12" i="25"/>
  <c r="N12" i="1" s="1"/>
  <c r="F21" i="25"/>
  <c r="F14" i="25"/>
  <c r="N13" i="1" s="1"/>
  <c r="A10" i="1"/>
  <c r="A11" i="1" s="1"/>
  <c r="A12" i="1" s="1"/>
  <c r="A13" i="1" s="1"/>
  <c r="A14" i="1" s="1"/>
  <c r="A15" i="1" s="1"/>
  <c r="A16" i="1" s="1"/>
  <c r="A17" i="1" s="1"/>
  <c r="A18" i="1" s="1"/>
  <c r="D36" i="25" l="1"/>
  <c r="D40" i="25" s="1"/>
  <c r="F24" i="25"/>
  <c r="N18" i="1"/>
  <c r="F18" i="25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F36" i="25" l="1"/>
  <c r="F40" i="25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D6" i="24"/>
  <c r="A3" i="24"/>
  <c r="R13" i="1"/>
  <c r="R35" i="1"/>
  <c r="R31" i="1"/>
  <c r="R29" i="1"/>
  <c r="R25" i="1"/>
  <c r="R23" i="1"/>
  <c r="R20" i="1"/>
  <c r="R19" i="1"/>
  <c r="R18" i="1"/>
  <c r="R15" i="1"/>
  <c r="R14" i="1"/>
  <c r="R12" i="1"/>
  <c r="R26" i="1" l="1"/>
  <c r="R7" i="1" l="1"/>
  <c r="S7" i="1" s="1"/>
  <c r="E12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D6" i="22"/>
  <c r="A3" i="22"/>
  <c r="E34" i="19"/>
  <c r="E32" i="19"/>
  <c r="E29" i="19"/>
  <c r="N25" i="43" s="1"/>
  <c r="P25" i="43" s="1"/>
  <c r="E28" i="19"/>
  <c r="N25" i="42" s="1"/>
  <c r="P25" i="42" s="1"/>
  <c r="E26" i="19"/>
  <c r="E23" i="19"/>
  <c r="E22" i="19"/>
  <c r="E20" i="19"/>
  <c r="F20" i="19" s="1"/>
  <c r="E17" i="19"/>
  <c r="O53" i="40" s="1"/>
  <c r="Q53" i="40" s="1"/>
  <c r="E15" i="19"/>
  <c r="F15" i="19" s="1"/>
  <c r="E11" i="19"/>
  <c r="E8" i="19"/>
  <c r="F8" i="19" s="1"/>
  <c r="E7" i="19"/>
  <c r="E21" i="19"/>
  <c r="O36" i="41" s="1"/>
  <c r="Q36" i="41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D6" i="19"/>
  <c r="A3" i="19"/>
  <c r="E34" i="17"/>
  <c r="E32" i="17"/>
  <c r="E28" i="17"/>
  <c r="N24" i="42" s="1"/>
  <c r="E26" i="17"/>
  <c r="E20" i="17"/>
  <c r="F20" i="17" s="1"/>
  <c r="E15" i="17"/>
  <c r="F15" i="17" s="1"/>
  <c r="E11" i="17"/>
  <c r="E8" i="17"/>
  <c r="E17" i="17" s="1"/>
  <c r="O52" i="40" s="1"/>
  <c r="E7" i="17"/>
  <c r="E21" i="17"/>
  <c r="O35" i="41" s="1"/>
  <c r="E12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D6" i="17"/>
  <c r="A3" i="17"/>
  <c r="P23" i="42"/>
  <c r="F20" i="16"/>
  <c r="Q51" i="40"/>
  <c r="F15" i="16"/>
  <c r="Q30" i="36"/>
  <c r="E16" i="16"/>
  <c r="E12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D6" i="16"/>
  <c r="A3" i="16"/>
  <c r="F20" i="13"/>
  <c r="K20" i="13" s="1"/>
  <c r="F8" i="13"/>
  <c r="K8" i="13" s="1"/>
  <c r="F13" i="13"/>
  <c r="K13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D6" i="13"/>
  <c r="A3" i="13"/>
  <c r="E12" i="4"/>
  <c r="F8" i="4"/>
  <c r="D6" i="4"/>
  <c r="F20" i="3"/>
  <c r="F15" i="3"/>
  <c r="F13" i="3"/>
  <c r="F8" i="3"/>
  <c r="D6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3" i="4"/>
  <c r="A3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P24" i="42" l="1"/>
  <c r="Q35" i="41"/>
  <c r="Q52" i="40"/>
  <c r="F8" i="22"/>
  <c r="F20" i="22"/>
  <c r="E21" i="22"/>
  <c r="E16" i="19"/>
  <c r="O36" i="39" s="1"/>
  <c r="Q36" i="39" s="1"/>
  <c r="E13" i="4"/>
  <c r="F13" i="4" s="1"/>
  <c r="K13" i="4" s="1"/>
  <c r="F11" i="3"/>
  <c r="E21" i="4"/>
  <c r="F20" i="4"/>
  <c r="E14" i="4"/>
  <c r="F11" i="4"/>
  <c r="K11" i="4" s="1"/>
  <c r="E16" i="4"/>
  <c r="F15" i="4"/>
  <c r="K15" i="4" s="1"/>
  <c r="O32" i="36"/>
  <c r="Q32" i="36" s="1"/>
  <c r="E12" i="19"/>
  <c r="V30" i="37"/>
  <c r="Y30" i="37" s="1"/>
  <c r="F11" i="19"/>
  <c r="O31" i="36"/>
  <c r="Q31" i="36" s="1"/>
  <c r="E13" i="17"/>
  <c r="F8" i="17"/>
  <c r="E29" i="17"/>
  <c r="N24" i="43" s="1"/>
  <c r="E16" i="17"/>
  <c r="O35" i="39" s="1"/>
  <c r="V29" i="37"/>
  <c r="Y29" i="37" s="1"/>
  <c r="F11" i="17"/>
  <c r="E22" i="17"/>
  <c r="E23" i="17" s="1"/>
  <c r="Y28" i="37"/>
  <c r="F11" i="16"/>
  <c r="E13" i="16"/>
  <c r="F8" i="16"/>
  <c r="E21" i="16"/>
  <c r="F15" i="22"/>
  <c r="F11" i="22"/>
  <c r="F15" i="13"/>
  <c r="K15" i="13" s="1"/>
  <c r="F11" i="13"/>
  <c r="K11" i="13" s="1"/>
  <c r="E13" i="22"/>
  <c r="E16" i="22"/>
  <c r="E13" i="19"/>
  <c r="P24" i="43" l="1"/>
  <c r="Q35" i="39"/>
  <c r="E14" i="19"/>
  <c r="O47" i="38" s="1"/>
  <c r="Q47" i="38" s="1"/>
  <c r="F13" i="19"/>
  <c r="E14" i="17"/>
  <c r="O46" i="38" s="1"/>
  <c r="Q46" i="38" s="1"/>
  <c r="F13" i="17"/>
  <c r="E14" i="16"/>
  <c r="Q45" i="38"/>
  <c r="F13" i="16"/>
  <c r="E14" i="22"/>
  <c r="F13" i="22"/>
  <c r="B21" i="2"/>
  <c r="B22" i="2" s="1"/>
  <c r="B18" i="2"/>
  <c r="B23" i="2" l="1"/>
  <c r="B24" i="2" l="1"/>
  <c r="B25" i="2" l="1"/>
  <c r="B28" i="2" l="1"/>
  <c r="B29" i="2" l="1"/>
  <c r="B30" i="2" l="1"/>
  <c r="B31" i="2" l="1"/>
  <c r="B33" i="2" l="1"/>
  <c r="B36" i="2" l="1"/>
  <c r="B37" i="2" s="1"/>
  <c r="B38" i="2" s="1"/>
  <c r="B40" i="2" s="1"/>
  <c r="B42" i="2" s="1"/>
  <c r="B44" i="2" s="1"/>
  <c r="B46" i="2" s="1"/>
  <c r="B48" i="2" s="1"/>
  <c r="L27" i="1" l="1"/>
  <c r="N27" i="1"/>
  <c r="N21" i="1"/>
  <c r="L16" i="1"/>
  <c r="N10" i="1"/>
  <c r="R21" i="1" l="1"/>
  <c r="R27" i="1"/>
  <c r="R16" i="1"/>
  <c r="N16" i="1"/>
  <c r="N33" i="1" s="1"/>
  <c r="N37" i="1" s="1"/>
  <c r="L21" i="1"/>
  <c r="R9" i="1" l="1"/>
  <c r="L10" i="1"/>
  <c r="L33" i="1" s="1"/>
  <c r="L37" i="1" s="1"/>
  <c r="R10" i="1" l="1"/>
  <c r="R33" i="1" s="1"/>
  <c r="R37" i="1" s="1"/>
  <c r="Q22" i="36" l="1"/>
  <c r="O15" i="36"/>
  <c r="Q35" i="38"/>
  <c r="N13" i="42"/>
  <c r="P17" i="42"/>
  <c r="O21" i="41" l="1"/>
  <c r="Q29" i="41"/>
  <c r="Q26" i="39"/>
  <c r="O17" i="39"/>
  <c r="Q23" i="36"/>
  <c r="O16" i="36"/>
  <c r="Q27" i="39"/>
  <c r="O18" i="39"/>
  <c r="Q29" i="39"/>
  <c r="O21" i="39"/>
  <c r="X22" i="37"/>
  <c r="V22" i="37"/>
  <c r="Y22" i="37" s="1"/>
  <c r="U16" i="37"/>
  <c r="V16" i="37" s="1"/>
  <c r="O31" i="40"/>
  <c r="Q46" i="40"/>
  <c r="Q36" i="40"/>
  <c r="O17" i="40"/>
  <c r="Q34" i="40"/>
  <c r="O14" i="40"/>
  <c r="X20" i="37"/>
  <c r="U13" i="37"/>
  <c r="O13" i="41"/>
  <c r="Q24" i="41"/>
  <c r="O24" i="38"/>
  <c r="Q37" i="38"/>
  <c r="P13" i="42"/>
  <c r="Q25" i="41"/>
  <c r="O15" i="41"/>
  <c r="Q35" i="40"/>
  <c r="O15" i="40"/>
  <c r="O27" i="38"/>
  <c r="Q39" i="38"/>
  <c r="Y20" i="37"/>
  <c r="V13" i="37"/>
  <c r="O27" i="40"/>
  <c r="Q43" i="40"/>
  <c r="Q24" i="39"/>
  <c r="O13" i="39"/>
  <c r="P18" i="42"/>
  <c r="N14" i="42"/>
  <c r="G20" i="42" s="1"/>
  <c r="Q21" i="36"/>
  <c r="O13" i="36"/>
  <c r="F21" i="36" s="1"/>
  <c r="Q26" i="41"/>
  <c r="O17" i="41"/>
  <c r="Q37" i="40"/>
  <c r="O18" i="40"/>
  <c r="O23" i="38"/>
  <c r="Q36" i="38"/>
  <c r="X21" i="37"/>
  <c r="V21" i="37"/>
  <c r="Y21" i="37" s="1"/>
  <c r="U15" i="37"/>
  <c r="V15" i="37" s="1"/>
  <c r="Q34" i="38"/>
  <c r="O19" i="38"/>
  <c r="Q27" i="41"/>
  <c r="O18" i="41"/>
  <c r="Q40" i="40"/>
  <c r="O22" i="40"/>
  <c r="Q25" i="39"/>
  <c r="O15" i="39"/>
  <c r="F28" i="36"/>
  <c r="P18" i="43"/>
  <c r="N14" i="43"/>
  <c r="O28" i="40"/>
  <c r="Q44" i="40"/>
  <c r="Q32" i="38"/>
  <c r="O16" i="38"/>
  <c r="Q31" i="38"/>
  <c r="O15" i="38"/>
  <c r="N13" i="43"/>
  <c r="P17" i="43"/>
  <c r="Q30" i="38"/>
  <c r="O13" i="38"/>
  <c r="Q39" i="40"/>
  <c r="O21" i="40"/>
  <c r="Q15" i="36"/>
  <c r="F22" i="36" l="1"/>
  <c r="F31" i="36"/>
  <c r="F19" i="36"/>
  <c r="F26" i="36"/>
  <c r="F17" i="36"/>
  <c r="F33" i="36"/>
  <c r="F34" i="36"/>
  <c r="F16" i="36"/>
  <c r="F32" i="36"/>
  <c r="F20" i="36"/>
  <c r="F30" i="36"/>
  <c r="F36" i="36"/>
  <c r="F38" i="36"/>
  <c r="F12" i="36"/>
  <c r="F13" i="36"/>
  <c r="F15" i="36"/>
  <c r="F11" i="36"/>
  <c r="F37" i="36"/>
  <c r="F24" i="36"/>
  <c r="F27" i="36"/>
  <c r="F25" i="36"/>
  <c r="G24" i="42"/>
  <c r="G29" i="42"/>
  <c r="G33" i="42"/>
  <c r="G13" i="42"/>
  <c r="S15" i="36"/>
  <c r="G25" i="42"/>
  <c r="G21" i="42"/>
  <c r="G31" i="42"/>
  <c r="G15" i="42"/>
  <c r="G16" i="42"/>
  <c r="G23" i="42"/>
  <c r="G11" i="42"/>
  <c r="G12" i="42"/>
  <c r="R13" i="42"/>
  <c r="G27" i="42"/>
  <c r="G33" i="43"/>
  <c r="G29" i="43"/>
  <c r="G23" i="43"/>
  <c r="G19" i="43"/>
  <c r="G15" i="43"/>
  <c r="G28" i="43"/>
  <c r="G12" i="43"/>
  <c r="G24" i="43"/>
  <c r="G32" i="43"/>
  <c r="G20" i="43"/>
  <c r="G27" i="43"/>
  <c r="G31" i="43"/>
  <c r="G11" i="43"/>
  <c r="G17" i="43"/>
  <c r="G16" i="43"/>
  <c r="G21" i="43"/>
  <c r="G13" i="43"/>
  <c r="G25" i="43"/>
  <c r="G17" i="42"/>
  <c r="G28" i="42"/>
  <c r="G19" i="42"/>
  <c r="G32" i="42"/>
  <c r="Q13" i="36" l="1"/>
  <c r="S13" i="36" l="1"/>
  <c r="H11" i="36"/>
  <c r="H19" i="36"/>
  <c r="H20" i="36"/>
  <c r="H12" i="36"/>
  <c r="H13" i="36"/>
  <c r="H17" i="36"/>
  <c r="H15" i="36"/>
  <c r="H16" i="36"/>
  <c r="H21" i="36"/>
  <c r="Q19" i="38"/>
  <c r="S19" i="38" s="1"/>
  <c r="J16" i="36" l="1"/>
  <c r="L16" i="36"/>
  <c r="L12" i="36"/>
  <c r="J12" i="36"/>
  <c r="L15" i="36"/>
  <c r="J15" i="36"/>
  <c r="J20" i="36"/>
  <c r="L20" i="36"/>
  <c r="L17" i="36"/>
  <c r="J17" i="36"/>
  <c r="J19" i="36"/>
  <c r="L19" i="36"/>
  <c r="J21" i="36"/>
  <c r="L21" i="36"/>
  <c r="J13" i="36"/>
  <c r="L13" i="36"/>
  <c r="J11" i="36"/>
  <c r="L11" i="36"/>
  <c r="C29" i="1" l="1"/>
  <c r="D32" i="4" l="1"/>
  <c r="D32" i="22"/>
  <c r="D32" i="17"/>
  <c r="F32" i="17" s="1"/>
  <c r="I29" i="1" s="1"/>
  <c r="D32" i="16"/>
  <c r="D32" i="24"/>
  <c r="I32" i="24" s="1"/>
  <c r="M29" i="1" s="1"/>
  <c r="D32" i="19"/>
  <c r="F32" i="19" s="1"/>
  <c r="J29" i="1" s="1"/>
  <c r="D32" i="3"/>
  <c r="F32" i="3" s="1"/>
  <c r="E29" i="1" s="1"/>
  <c r="D32" i="13"/>
  <c r="F32" i="13" l="1"/>
  <c r="I32" i="13"/>
  <c r="H32" i="16"/>
  <c r="H29" i="1" s="1"/>
  <c r="F32" i="16"/>
  <c r="F32" i="22"/>
  <c r="I32" i="22"/>
  <c r="K29" i="1" s="1"/>
  <c r="I32" i="4"/>
  <c r="F32" i="4"/>
  <c r="G29" i="1" l="1"/>
  <c r="K32" i="13"/>
  <c r="K32" i="4"/>
  <c r="F29" i="1"/>
  <c r="O29" i="1" l="1"/>
  <c r="C19" i="1" l="1"/>
  <c r="Q38" i="40" l="1"/>
  <c r="O19" i="40"/>
  <c r="D22" i="13"/>
  <c r="D22" i="4"/>
  <c r="D22" i="24"/>
  <c r="I22" i="24" s="1"/>
  <c r="M19" i="1" s="1"/>
  <c r="D22" i="16"/>
  <c r="D22" i="22"/>
  <c r="D22" i="17"/>
  <c r="F22" i="17" s="1"/>
  <c r="I19" i="1" s="1"/>
  <c r="D22" i="3"/>
  <c r="F22" i="3" s="1"/>
  <c r="E19" i="1" s="1"/>
  <c r="D22" i="19"/>
  <c r="F22" i="19" s="1"/>
  <c r="J19" i="1" s="1"/>
  <c r="C26" i="1"/>
  <c r="E24" i="24"/>
  <c r="F22" i="16" l="1"/>
  <c r="H22" i="16"/>
  <c r="H19" i="1" s="1"/>
  <c r="G17" i="40"/>
  <c r="G13" i="40"/>
  <c r="G14" i="40"/>
  <c r="G16" i="40"/>
  <c r="G12" i="40"/>
  <c r="O29" i="40"/>
  <c r="G20" i="40" s="1"/>
  <c r="Q45" i="40"/>
  <c r="F22" i="4"/>
  <c r="I22" i="4"/>
  <c r="D29" i="3"/>
  <c r="F29" i="3" s="1"/>
  <c r="E26" i="1" s="1"/>
  <c r="D29" i="24"/>
  <c r="I29" i="24" s="1"/>
  <c r="M26" i="1" s="1"/>
  <c r="D29" i="4"/>
  <c r="D29" i="17"/>
  <c r="F29" i="17" s="1"/>
  <c r="I26" i="1" s="1"/>
  <c r="D29" i="19"/>
  <c r="F29" i="19" s="1"/>
  <c r="J26" i="1" s="1"/>
  <c r="D29" i="16"/>
  <c r="D29" i="22"/>
  <c r="D29" i="13"/>
  <c r="F22" i="22"/>
  <c r="I22" i="22"/>
  <c r="K19" i="1" s="1"/>
  <c r="F22" i="13"/>
  <c r="I22" i="13"/>
  <c r="O23" i="40"/>
  <c r="G18" i="40" s="1"/>
  <c r="Q41" i="40"/>
  <c r="H31" i="2"/>
  <c r="E18" i="24"/>
  <c r="E36" i="24" s="1"/>
  <c r="H18" i="2"/>
  <c r="K22" i="13" l="1"/>
  <c r="G19" i="1"/>
  <c r="I29" i="13"/>
  <c r="F29" i="13"/>
  <c r="G37" i="40"/>
  <c r="G29" i="40"/>
  <c r="C25" i="1"/>
  <c r="J38" i="2"/>
  <c r="I29" i="22"/>
  <c r="K26" i="1" s="1"/>
  <c r="F29" i="22"/>
  <c r="K22" i="4"/>
  <c r="F19" i="1"/>
  <c r="H25" i="2"/>
  <c r="H44" i="2" s="1"/>
  <c r="H48" i="2" s="1"/>
  <c r="Q38" i="38"/>
  <c r="O25" i="38"/>
  <c r="H29" i="16"/>
  <c r="H26" i="1" s="1"/>
  <c r="F29" i="16"/>
  <c r="G34" i="40"/>
  <c r="G30" i="40"/>
  <c r="G31" i="40"/>
  <c r="G33" i="40"/>
  <c r="G26" i="40"/>
  <c r="G27" i="40"/>
  <c r="G21" i="40"/>
  <c r="O19" i="41"/>
  <c r="Q28" i="41"/>
  <c r="G38" i="40"/>
  <c r="C31" i="1"/>
  <c r="F29" i="4"/>
  <c r="I29" i="4"/>
  <c r="G22" i="40"/>
  <c r="G35" i="40"/>
  <c r="G39" i="40"/>
  <c r="G25" i="40"/>
  <c r="Q16" i="36"/>
  <c r="D34" i="4" l="1"/>
  <c r="D34" i="19"/>
  <c r="F34" i="19" s="1"/>
  <c r="J31" i="1" s="1"/>
  <c r="D34" i="16"/>
  <c r="D34" i="3"/>
  <c r="F34" i="3" s="1"/>
  <c r="E31" i="1" s="1"/>
  <c r="D34" i="24"/>
  <c r="I34" i="24" s="1"/>
  <c r="M31" i="1" s="1"/>
  <c r="D34" i="22"/>
  <c r="D34" i="13"/>
  <c r="D34" i="17"/>
  <c r="F34" i="17" s="1"/>
  <c r="I31" i="1" s="1"/>
  <c r="H31" i="36"/>
  <c r="H22" i="36"/>
  <c r="H34" i="36"/>
  <c r="H38" i="36"/>
  <c r="H36" i="36"/>
  <c r="H30" i="36"/>
  <c r="H26" i="36"/>
  <c r="H28" i="36"/>
  <c r="H27" i="36"/>
  <c r="H37" i="36"/>
  <c r="H25" i="36"/>
  <c r="H33" i="36"/>
  <c r="S16" i="36"/>
  <c r="H24" i="36"/>
  <c r="H32" i="36"/>
  <c r="Q28" i="39"/>
  <c r="O19" i="39"/>
  <c r="K29" i="4"/>
  <c r="F26" i="1"/>
  <c r="O19" i="1"/>
  <c r="D28" i="4"/>
  <c r="C27" i="1"/>
  <c r="D28" i="16"/>
  <c r="D28" i="13"/>
  <c r="D28" i="3"/>
  <c r="D28" i="24"/>
  <c r="D28" i="17"/>
  <c r="D28" i="19"/>
  <c r="D28" i="22"/>
  <c r="K29" i="13"/>
  <c r="G26" i="1"/>
  <c r="Q33" i="38"/>
  <c r="O17" i="38"/>
  <c r="G12" i="41"/>
  <c r="G27" i="41"/>
  <c r="G13" i="41"/>
  <c r="G25" i="41"/>
  <c r="G35" i="41"/>
  <c r="G21" i="41"/>
  <c r="G37" i="41"/>
  <c r="G28" i="41"/>
  <c r="G36" i="41"/>
  <c r="G31" i="41"/>
  <c r="G23" i="41"/>
  <c r="G32" i="41"/>
  <c r="G15" i="41"/>
  <c r="G24" i="41"/>
  <c r="G19" i="41"/>
  <c r="G17" i="41"/>
  <c r="G20" i="41"/>
  <c r="G16" i="41"/>
  <c r="G29" i="41"/>
  <c r="G11" i="41"/>
  <c r="G33" i="41"/>
  <c r="F28" i="19" l="1"/>
  <c r="D30" i="19"/>
  <c r="I28" i="13"/>
  <c r="D30" i="13"/>
  <c r="F28" i="13"/>
  <c r="F30" i="13" s="1"/>
  <c r="L33" i="36"/>
  <c r="J33" i="36"/>
  <c r="J28" i="36"/>
  <c r="L28" i="36"/>
  <c r="L38" i="36"/>
  <c r="J38" i="36"/>
  <c r="D30" i="17"/>
  <c r="F28" i="17"/>
  <c r="H28" i="16"/>
  <c r="F28" i="16"/>
  <c r="F30" i="16" s="1"/>
  <c r="D30" i="16"/>
  <c r="O26" i="1"/>
  <c r="L32" i="36"/>
  <c r="J32" i="36"/>
  <c r="L25" i="36"/>
  <c r="J25" i="36"/>
  <c r="L26" i="36"/>
  <c r="J26" i="36"/>
  <c r="L34" i="36"/>
  <c r="J34" i="36"/>
  <c r="I34" i="13"/>
  <c r="F34" i="13"/>
  <c r="F34" i="16"/>
  <c r="H34" i="16"/>
  <c r="H31" i="1" s="1"/>
  <c r="D30" i="24"/>
  <c r="I28" i="24"/>
  <c r="J24" i="36"/>
  <c r="L24" i="36"/>
  <c r="L37" i="36"/>
  <c r="J37" i="36"/>
  <c r="L30" i="36"/>
  <c r="J30" i="36"/>
  <c r="J22" i="36"/>
  <c r="L22" i="36"/>
  <c r="I34" i="22"/>
  <c r="K31" i="1" s="1"/>
  <c r="F34" i="22"/>
  <c r="G36" i="38"/>
  <c r="G15" i="38"/>
  <c r="G16" i="38"/>
  <c r="G28" i="38"/>
  <c r="G21" i="38"/>
  <c r="G17" i="38"/>
  <c r="G13" i="38"/>
  <c r="G24" i="38"/>
  <c r="G32" i="38"/>
  <c r="G25" i="38"/>
  <c r="G11" i="38"/>
  <c r="G27" i="38"/>
  <c r="G33" i="38"/>
  <c r="G37" i="38"/>
  <c r="G19" i="38"/>
  <c r="G20" i="38"/>
  <c r="G35" i="38"/>
  <c r="G12" i="38"/>
  <c r="G23" i="38"/>
  <c r="G31" i="38"/>
  <c r="G29" i="38"/>
  <c r="D30" i="22"/>
  <c r="I28" i="22"/>
  <c r="F28" i="22"/>
  <c r="F30" i="22" s="1"/>
  <c r="F28" i="3"/>
  <c r="D30" i="3"/>
  <c r="I28" i="4"/>
  <c r="F28" i="4"/>
  <c r="F30" i="4" s="1"/>
  <c r="D30" i="4"/>
  <c r="G21" i="39"/>
  <c r="G16" i="39"/>
  <c r="G12" i="39"/>
  <c r="G33" i="39"/>
  <c r="G23" i="39"/>
  <c r="G31" i="39"/>
  <c r="G19" i="39"/>
  <c r="G13" i="39"/>
  <c r="G36" i="39"/>
  <c r="G37" i="39"/>
  <c r="G11" i="39"/>
  <c r="G24" i="39"/>
  <c r="G29" i="39"/>
  <c r="G15" i="39"/>
  <c r="G20" i="39"/>
  <c r="G32" i="39"/>
  <c r="G17" i="39"/>
  <c r="G25" i="39"/>
  <c r="G35" i="39"/>
  <c r="G28" i="39"/>
  <c r="G27" i="39"/>
  <c r="J27" i="36"/>
  <c r="L27" i="36"/>
  <c r="J36" i="36"/>
  <c r="L36" i="36"/>
  <c r="J31" i="36"/>
  <c r="L31" i="36"/>
  <c r="F34" i="4"/>
  <c r="I34" i="4"/>
  <c r="E25" i="1" l="1"/>
  <c r="F30" i="3"/>
  <c r="K28" i="4"/>
  <c r="K30" i="4" s="1"/>
  <c r="I30" i="4"/>
  <c r="F25" i="1"/>
  <c r="F27" i="1" s="1"/>
  <c r="K25" i="1"/>
  <c r="K27" i="1" s="1"/>
  <c r="I30" i="22"/>
  <c r="F31" i="1"/>
  <c r="K34" i="4"/>
  <c r="M25" i="1"/>
  <c r="M27" i="1" s="1"/>
  <c r="I30" i="24"/>
  <c r="I30" i="13"/>
  <c r="K28" i="13"/>
  <c r="K30" i="13" s="1"/>
  <c r="G25" i="1"/>
  <c r="G27" i="1" s="1"/>
  <c r="K34" i="13"/>
  <c r="G31" i="1"/>
  <c r="H30" i="16"/>
  <c r="H25" i="1"/>
  <c r="H27" i="1" s="1"/>
  <c r="F30" i="17"/>
  <c r="I25" i="1"/>
  <c r="I27" i="1" s="1"/>
  <c r="J25" i="1"/>
  <c r="J27" i="1" s="1"/>
  <c r="F30" i="19"/>
  <c r="O31" i="1" l="1"/>
  <c r="O25" i="1"/>
  <c r="E27" i="1"/>
  <c r="O27" i="1" l="1"/>
  <c r="C15" i="1" l="1"/>
  <c r="D17" i="16" l="1"/>
  <c r="D17" i="22"/>
  <c r="D17" i="19"/>
  <c r="F17" i="19" s="1"/>
  <c r="J15" i="1" s="1"/>
  <c r="D17" i="3"/>
  <c r="F17" i="3" s="1"/>
  <c r="E15" i="1" s="1"/>
  <c r="D17" i="24"/>
  <c r="I17" i="24" s="1"/>
  <c r="M15" i="1" s="1"/>
  <c r="D17" i="17"/>
  <c r="F17" i="17" s="1"/>
  <c r="I15" i="1" s="1"/>
  <c r="D17" i="13"/>
  <c r="D17" i="4"/>
  <c r="C12" i="1" l="1"/>
  <c r="I17" i="13"/>
  <c r="F17" i="13"/>
  <c r="F17" i="4"/>
  <c r="I17" i="4"/>
  <c r="I17" i="22"/>
  <c r="K15" i="1" s="1"/>
  <c r="F17" i="22"/>
  <c r="H17" i="16"/>
  <c r="H15" i="1" s="1"/>
  <c r="F17" i="16"/>
  <c r="G15" i="1" l="1"/>
  <c r="K17" i="13"/>
  <c r="K17" i="4"/>
  <c r="F15" i="1"/>
  <c r="D12" i="16"/>
  <c r="D12" i="24"/>
  <c r="D12" i="17"/>
  <c r="D12" i="22"/>
  <c r="D12" i="13"/>
  <c r="D12" i="4"/>
  <c r="D12" i="3"/>
  <c r="D12" i="19"/>
  <c r="O15" i="1" l="1"/>
  <c r="F12" i="17"/>
  <c r="F12" i="3"/>
  <c r="F12" i="4"/>
  <c r="I12" i="4"/>
  <c r="I12" i="24"/>
  <c r="F12" i="19"/>
  <c r="F12" i="22"/>
  <c r="I12" i="22"/>
  <c r="I12" i="13"/>
  <c r="F12" i="13"/>
  <c r="H12" i="16"/>
  <c r="F12" i="16"/>
  <c r="M12" i="1" l="1"/>
  <c r="G12" i="1"/>
  <c r="K12" i="13"/>
  <c r="E12" i="1"/>
  <c r="H12" i="1"/>
  <c r="J12" i="1"/>
  <c r="K12" i="4"/>
  <c r="F12" i="1"/>
  <c r="K12" i="1"/>
  <c r="I12" i="1"/>
  <c r="O12" i="1" l="1"/>
  <c r="D26" i="1" l="1"/>
  <c r="P26" i="1" s="1"/>
  <c r="D31" i="1"/>
  <c r="P31" i="1" s="1"/>
  <c r="D25" i="1" l="1"/>
  <c r="L38" i="2"/>
  <c r="P25" i="1" l="1"/>
  <c r="D27" i="1"/>
  <c r="P27" i="1" l="1"/>
  <c r="D15" i="1" l="1"/>
  <c r="P15" i="1" s="1"/>
  <c r="D19" i="1" l="1"/>
  <c r="P19" i="1" s="1"/>
  <c r="C20" i="1" l="1"/>
  <c r="D35" i="1"/>
  <c r="C14" i="1"/>
  <c r="D20" i="1"/>
  <c r="D23" i="1"/>
  <c r="C23" i="1"/>
  <c r="C35" i="1"/>
  <c r="D13" i="1"/>
  <c r="D14" i="1"/>
  <c r="D38" i="22" l="1"/>
  <c r="D38" i="19"/>
  <c r="F38" i="19" s="1"/>
  <c r="J35" i="1" s="1"/>
  <c r="D38" i="3"/>
  <c r="F38" i="3" s="1"/>
  <c r="E35" i="1" s="1"/>
  <c r="D38" i="24"/>
  <c r="I38" i="24" s="1"/>
  <c r="M35" i="1" s="1"/>
  <c r="D38" i="17"/>
  <c r="F38" i="17" s="1"/>
  <c r="I35" i="1" s="1"/>
  <c r="D38" i="13"/>
  <c r="D38" i="4"/>
  <c r="D38" i="16"/>
  <c r="C9" i="1"/>
  <c r="J18" i="2"/>
  <c r="C13" i="1"/>
  <c r="J25" i="2"/>
  <c r="D26" i="19"/>
  <c r="F26" i="19" s="1"/>
  <c r="J23" i="1" s="1"/>
  <c r="D26" i="4"/>
  <c r="D26" i="17"/>
  <c r="F26" i="17" s="1"/>
  <c r="I23" i="1" s="1"/>
  <c r="D26" i="22"/>
  <c r="D26" i="24"/>
  <c r="I26" i="24" s="1"/>
  <c r="M23" i="1" s="1"/>
  <c r="D26" i="13"/>
  <c r="D26" i="3"/>
  <c r="F26" i="3" s="1"/>
  <c r="E23" i="1" s="1"/>
  <c r="D26" i="16"/>
  <c r="D16" i="17"/>
  <c r="F16" i="17" s="1"/>
  <c r="I14" i="1" s="1"/>
  <c r="D16" i="4"/>
  <c r="D16" i="16"/>
  <c r="D16" i="13"/>
  <c r="D16" i="24"/>
  <c r="I16" i="24" s="1"/>
  <c r="M14" i="1" s="1"/>
  <c r="D16" i="19"/>
  <c r="F16" i="19" s="1"/>
  <c r="J14" i="1" s="1"/>
  <c r="D16" i="22"/>
  <c r="D16" i="3"/>
  <c r="F16" i="3" s="1"/>
  <c r="E14" i="1" s="1"/>
  <c r="D23" i="13"/>
  <c r="D23" i="17"/>
  <c r="F23" i="17" s="1"/>
  <c r="I20" i="1" s="1"/>
  <c r="D23" i="19"/>
  <c r="F23" i="19" s="1"/>
  <c r="J20" i="1" s="1"/>
  <c r="D23" i="16"/>
  <c r="D23" i="4"/>
  <c r="D23" i="22"/>
  <c r="D23" i="24"/>
  <c r="I23" i="24" s="1"/>
  <c r="M20" i="1" s="1"/>
  <c r="D23" i="3"/>
  <c r="F23" i="3" s="1"/>
  <c r="E20" i="1" s="1"/>
  <c r="C18" i="1"/>
  <c r="J31" i="2"/>
  <c r="J44" i="2" l="1"/>
  <c r="J48" i="2" s="1"/>
  <c r="I16" i="22"/>
  <c r="K14" i="1" s="1"/>
  <c r="F16" i="22"/>
  <c r="F16" i="16"/>
  <c r="H16" i="16"/>
  <c r="H14" i="1" s="1"/>
  <c r="C10" i="1"/>
  <c r="D7" i="17"/>
  <c r="D7" i="22"/>
  <c r="D7" i="13"/>
  <c r="D7" i="24"/>
  <c r="D7" i="19"/>
  <c r="D7" i="4"/>
  <c r="D7" i="3"/>
  <c r="D7" i="16"/>
  <c r="I23" i="22"/>
  <c r="K20" i="1" s="1"/>
  <c r="F23" i="22"/>
  <c r="I16" i="4"/>
  <c r="F16" i="4"/>
  <c r="I26" i="13"/>
  <c r="F26" i="13"/>
  <c r="I26" i="4"/>
  <c r="F26" i="4"/>
  <c r="H38" i="16"/>
  <c r="H35" i="1" s="1"/>
  <c r="F38" i="16"/>
  <c r="I23" i="4"/>
  <c r="F23" i="4"/>
  <c r="F23" i="13"/>
  <c r="I23" i="13"/>
  <c r="D14" i="16"/>
  <c r="D14" i="22"/>
  <c r="D14" i="19"/>
  <c r="D14" i="24"/>
  <c r="D14" i="4"/>
  <c r="D14" i="13"/>
  <c r="D14" i="3"/>
  <c r="D14" i="17"/>
  <c r="C16" i="1"/>
  <c r="I38" i="4"/>
  <c r="F38" i="4"/>
  <c r="F38" i="22"/>
  <c r="I38" i="22"/>
  <c r="K35" i="1" s="1"/>
  <c r="D21" i="4"/>
  <c r="D21" i="22"/>
  <c r="C21" i="1"/>
  <c r="D21" i="17"/>
  <c r="D21" i="13"/>
  <c r="D21" i="16"/>
  <c r="D21" i="3"/>
  <c r="D21" i="19"/>
  <c r="D21" i="24"/>
  <c r="F23" i="16"/>
  <c r="H23" i="16"/>
  <c r="H20" i="1" s="1"/>
  <c r="F16" i="13"/>
  <c r="I16" i="13"/>
  <c r="H26" i="16"/>
  <c r="H23" i="1" s="1"/>
  <c r="F26" i="16"/>
  <c r="F26" i="22"/>
  <c r="I26" i="22"/>
  <c r="K23" i="1" s="1"/>
  <c r="F38" i="13"/>
  <c r="I38" i="13"/>
  <c r="D24" i="24" l="1"/>
  <c r="I21" i="24"/>
  <c r="F35" i="1"/>
  <c r="K38" i="4"/>
  <c r="I14" i="22"/>
  <c r="F14" i="22"/>
  <c r="F18" i="22" s="1"/>
  <c r="D18" i="22"/>
  <c r="F7" i="19"/>
  <c r="D9" i="19"/>
  <c r="D9" i="17"/>
  <c r="F7" i="17"/>
  <c r="D24" i="3"/>
  <c r="F21" i="3"/>
  <c r="F14" i="17"/>
  <c r="D18" i="17"/>
  <c r="I14" i="24"/>
  <c r="D18" i="24"/>
  <c r="G20" i="1"/>
  <c r="K23" i="13"/>
  <c r="K26" i="4"/>
  <c r="F23" i="1"/>
  <c r="K16" i="4"/>
  <c r="F14" i="1"/>
  <c r="F7" i="3"/>
  <c r="D9" i="3"/>
  <c r="D9" i="13"/>
  <c r="F7" i="13"/>
  <c r="F9" i="13" s="1"/>
  <c r="I7" i="13"/>
  <c r="G14" i="1"/>
  <c r="K16" i="13"/>
  <c r="H21" i="16"/>
  <c r="D24" i="16"/>
  <c r="F21" i="16"/>
  <c r="F24" i="16" s="1"/>
  <c r="D24" i="22"/>
  <c r="I21" i="22"/>
  <c r="F21" i="22"/>
  <c r="F24" i="22" s="1"/>
  <c r="F14" i="3"/>
  <c r="D18" i="3"/>
  <c r="F14" i="19"/>
  <c r="D18" i="19"/>
  <c r="D9" i="4"/>
  <c r="F7" i="4"/>
  <c r="F9" i="4" s="1"/>
  <c r="I7" i="4"/>
  <c r="D9" i="22"/>
  <c r="I7" i="22"/>
  <c r="F7" i="22"/>
  <c r="F9" i="22" s="1"/>
  <c r="I21" i="13"/>
  <c r="F21" i="13"/>
  <c r="F24" i="13" s="1"/>
  <c r="D24" i="13"/>
  <c r="D24" i="4"/>
  <c r="F21" i="4"/>
  <c r="F24" i="4" s="1"/>
  <c r="I21" i="4"/>
  <c r="I14" i="13"/>
  <c r="F14" i="13"/>
  <c r="F18" i="13" s="1"/>
  <c r="D18" i="13"/>
  <c r="G23" i="1"/>
  <c r="K26" i="13"/>
  <c r="G35" i="1"/>
  <c r="K38" i="13"/>
  <c r="F21" i="19"/>
  <c r="D24" i="19"/>
  <c r="D24" i="17"/>
  <c r="F21" i="17"/>
  <c r="F14" i="4"/>
  <c r="F18" i="4" s="1"/>
  <c r="I14" i="4"/>
  <c r="D18" i="4"/>
  <c r="H14" i="16"/>
  <c r="F14" i="16"/>
  <c r="F18" i="16" s="1"/>
  <c r="D18" i="16"/>
  <c r="K23" i="4"/>
  <c r="F20" i="1"/>
  <c r="O20" i="1" s="1"/>
  <c r="P20" i="1" s="1"/>
  <c r="F7" i="16"/>
  <c r="F9" i="16" s="1"/>
  <c r="D9" i="16"/>
  <c r="H7" i="16"/>
  <c r="I7" i="24"/>
  <c r="D9" i="24"/>
  <c r="C33" i="1"/>
  <c r="C37" i="1" s="1"/>
  <c r="O35" i="1" l="1"/>
  <c r="P35" i="1" s="1"/>
  <c r="D36" i="16"/>
  <c r="D40" i="16" s="1"/>
  <c r="F36" i="16"/>
  <c r="F40" i="16" s="1"/>
  <c r="D36" i="24"/>
  <c r="D40" i="24" s="1"/>
  <c r="F36" i="13"/>
  <c r="F40" i="13" s="1"/>
  <c r="O14" i="1"/>
  <c r="P14" i="1" s="1"/>
  <c r="F36" i="22"/>
  <c r="F40" i="22" s="1"/>
  <c r="M9" i="1"/>
  <c r="M10" i="1" s="1"/>
  <c r="I9" i="24"/>
  <c r="I18" i="1"/>
  <c r="I21" i="1" s="1"/>
  <c r="F24" i="17"/>
  <c r="I24" i="13"/>
  <c r="G18" i="1"/>
  <c r="G21" i="1" s="1"/>
  <c r="K21" i="13"/>
  <c r="K24" i="13" s="1"/>
  <c r="J13" i="1"/>
  <c r="J16" i="1" s="1"/>
  <c r="F18" i="19"/>
  <c r="H18" i="1"/>
  <c r="H21" i="1" s="1"/>
  <c r="H24" i="16"/>
  <c r="F9" i="17"/>
  <c r="I9" i="1"/>
  <c r="I10" i="1" s="1"/>
  <c r="J18" i="1"/>
  <c r="J21" i="1" s="1"/>
  <c r="F24" i="19"/>
  <c r="I24" i="4"/>
  <c r="K21" i="4"/>
  <c r="K24" i="4" s="1"/>
  <c r="F18" i="1"/>
  <c r="F21" i="1" s="1"/>
  <c r="D36" i="22"/>
  <c r="D40" i="22" s="1"/>
  <c r="K7" i="13"/>
  <c r="K9" i="13" s="1"/>
  <c r="I9" i="13"/>
  <c r="G9" i="1"/>
  <c r="G10" i="1" s="1"/>
  <c r="F9" i="3"/>
  <c r="E9" i="1"/>
  <c r="M13" i="1"/>
  <c r="M16" i="1" s="1"/>
  <c r="I18" i="24"/>
  <c r="J9" i="1"/>
  <c r="J10" i="1" s="1"/>
  <c r="F9" i="19"/>
  <c r="H13" i="1"/>
  <c r="H16" i="1" s="1"/>
  <c r="H18" i="16"/>
  <c r="H9" i="16"/>
  <c r="H9" i="1"/>
  <c r="H10" i="1" s="1"/>
  <c r="F36" i="4"/>
  <c r="F40" i="4" s="1"/>
  <c r="D36" i="13"/>
  <c r="D40" i="13" s="1"/>
  <c r="E40" i="13" s="1"/>
  <c r="I13" i="1"/>
  <c r="I16" i="1" s="1"/>
  <c r="F18" i="17"/>
  <c r="D36" i="17"/>
  <c r="D40" i="17" s="1"/>
  <c r="M18" i="1"/>
  <c r="M21" i="1" s="1"/>
  <c r="I24" i="24"/>
  <c r="I9" i="4"/>
  <c r="K7" i="4"/>
  <c r="K9" i="4" s="1"/>
  <c r="F9" i="1"/>
  <c r="F10" i="1" s="1"/>
  <c r="I24" i="22"/>
  <c r="K18" i="1"/>
  <c r="K21" i="1" s="1"/>
  <c r="F13" i="1"/>
  <c r="F16" i="1" s="1"/>
  <c r="K14" i="4"/>
  <c r="K18" i="4" s="1"/>
  <c r="I18" i="4"/>
  <c r="K14" i="13"/>
  <c r="K18" i="13" s="1"/>
  <c r="G13" i="1"/>
  <c r="G16" i="1" s="1"/>
  <c r="I18" i="13"/>
  <c r="K9" i="1"/>
  <c r="K10" i="1" s="1"/>
  <c r="I9" i="22"/>
  <c r="D36" i="4"/>
  <c r="D40" i="4" s="1"/>
  <c r="E13" i="1"/>
  <c r="F18" i="3"/>
  <c r="D36" i="3"/>
  <c r="D40" i="3" s="1"/>
  <c r="O23" i="1"/>
  <c r="P23" i="1" s="1"/>
  <c r="F24" i="3"/>
  <c r="E18" i="1"/>
  <c r="D36" i="19"/>
  <c r="D40" i="19" s="1"/>
  <c r="K13" i="1"/>
  <c r="K16" i="1" s="1"/>
  <c r="I18" i="22"/>
  <c r="F36" i="19" l="1"/>
  <c r="F40" i="19" s="1"/>
  <c r="K36" i="4"/>
  <c r="K40" i="4" s="1"/>
  <c r="I36" i="24"/>
  <c r="I40" i="24" s="1"/>
  <c r="O18" i="1"/>
  <c r="O21" i="1" s="1"/>
  <c r="E21" i="1"/>
  <c r="K33" i="1"/>
  <c r="K37" i="1" s="1"/>
  <c r="H36" i="16"/>
  <c r="H40" i="16" s="1"/>
  <c r="O9" i="1"/>
  <c r="O10" i="1" s="1"/>
  <c r="E10" i="1"/>
  <c r="K36" i="13"/>
  <c r="K40" i="13" s="1"/>
  <c r="F36" i="17"/>
  <c r="F40" i="17" s="1"/>
  <c r="O13" i="1"/>
  <c r="E16" i="1"/>
  <c r="F33" i="1"/>
  <c r="F37" i="1" s="1"/>
  <c r="J33" i="1"/>
  <c r="J37" i="1" s="1"/>
  <c r="F36" i="3"/>
  <c r="F40" i="3" s="1"/>
  <c r="G33" i="1"/>
  <c r="G37" i="1" s="1"/>
  <c r="I36" i="22"/>
  <c r="I40" i="22" s="1"/>
  <c r="H40" i="22" s="1"/>
  <c r="I36" i="4"/>
  <c r="I40" i="4" s="1"/>
  <c r="H33" i="1"/>
  <c r="H37" i="1" s="1"/>
  <c r="I36" i="13"/>
  <c r="I40" i="13" s="1"/>
  <c r="H40" i="13" s="1"/>
  <c r="I33" i="1"/>
  <c r="I37" i="1" s="1"/>
  <c r="M33" i="1"/>
  <c r="M37" i="1" s="1"/>
  <c r="E33" i="1" l="1"/>
  <c r="E37" i="1" s="1"/>
  <c r="O16" i="1"/>
  <c r="O33" i="1" s="1"/>
  <c r="O37" i="1" s="1"/>
  <c r="P13" i="1"/>
  <c r="V23" i="37" l="1"/>
  <c r="Y23" i="37" s="1"/>
  <c r="X23" i="37"/>
  <c r="U17" i="37"/>
  <c r="D31" i="37" l="1"/>
  <c r="D36" i="37"/>
  <c r="D37" i="37"/>
  <c r="D27" i="37"/>
  <c r="D41" i="37"/>
  <c r="D15" i="37"/>
  <c r="D24" i="37"/>
  <c r="D32" i="37"/>
  <c r="D35" i="37"/>
  <c r="D28" i="37"/>
  <c r="D13" i="37"/>
  <c r="D25" i="37"/>
  <c r="D29" i="37"/>
  <c r="D23" i="37"/>
  <c r="D40" i="37"/>
  <c r="D39" i="37"/>
  <c r="D20" i="37"/>
  <c r="D17" i="37"/>
  <c r="D16" i="37"/>
  <c r="V17" i="37"/>
  <c r="D19" i="37"/>
  <c r="D33" i="37"/>
  <c r="D11" i="37"/>
  <c r="D12" i="37"/>
  <c r="D21" i="37"/>
  <c r="L25" i="2"/>
  <c r="D12" i="1"/>
  <c r="F33" i="37" l="1"/>
  <c r="F28" i="37"/>
  <c r="F36" i="37"/>
  <c r="F21" i="37"/>
  <c r="F23" i="37"/>
  <c r="F32" i="37"/>
  <c r="F37" i="37"/>
  <c r="F17" i="37"/>
  <c r="F24" i="37"/>
  <c r="F20" i="37"/>
  <c r="F25" i="37"/>
  <c r="F15" i="37"/>
  <c r="F29" i="37"/>
  <c r="F12" i="37"/>
  <c r="F27" i="37"/>
  <c r="F41" i="37"/>
  <c r="F11" i="37"/>
  <c r="F16" i="37"/>
  <c r="F35" i="37"/>
  <c r="F13" i="37"/>
  <c r="F31" i="37"/>
  <c r="F19" i="37"/>
  <c r="F40" i="37"/>
  <c r="F39" i="37"/>
  <c r="P12" i="1"/>
  <c r="D16" i="1"/>
  <c r="P16" i="1" l="1"/>
  <c r="D29" i="1" l="1"/>
  <c r="P29" i="1" s="1"/>
  <c r="D9" i="1" l="1"/>
  <c r="L18" i="2"/>
  <c r="D10" i="1" l="1"/>
  <c r="P9" i="1"/>
  <c r="P10" i="1" l="1"/>
  <c r="L31" i="2" l="1"/>
  <c r="L44" i="2" s="1"/>
  <c r="L48" i="2" s="1"/>
  <c r="D18" i="1"/>
  <c r="D21" i="1" l="1"/>
  <c r="D33" i="1" s="1"/>
  <c r="D37" i="1" s="1"/>
  <c r="P18" i="1"/>
  <c r="P21" i="1" l="1"/>
  <c r="P33" i="1" s="1"/>
  <c r="P37" i="1" s="1"/>
  <c r="S46" i="2" l="1"/>
  <c r="P46" i="2"/>
  <c r="Q46" i="2" l="1"/>
  <c r="D35" i="23"/>
  <c r="S35" i="1" s="1"/>
  <c r="T35" i="1" s="1"/>
  <c r="V46" i="2"/>
  <c r="V35" i="1" l="1"/>
  <c r="U35" i="1"/>
  <c r="X35" i="1"/>
  <c r="S40" i="2"/>
  <c r="P40" i="2"/>
  <c r="D31" i="23" l="1"/>
  <c r="S31" i="1" s="1"/>
  <c r="T31" i="1" s="1"/>
  <c r="Q40" i="2"/>
  <c r="V40" i="2"/>
  <c r="X31" i="1" l="1"/>
  <c r="V31" i="1"/>
  <c r="U31" i="1"/>
  <c r="U44" i="2" l="1"/>
  <c r="P13" i="43"/>
  <c r="Y13" i="37" l="1"/>
  <c r="N18" i="2"/>
  <c r="S18" i="2" s="1"/>
  <c r="S17" i="2"/>
  <c r="P17" i="2"/>
  <c r="X13" i="37"/>
  <c r="R13" i="43"/>
  <c r="U48" i="2"/>
  <c r="Q13" i="38"/>
  <c r="Q13" i="39"/>
  <c r="P14" i="43"/>
  <c r="X16" i="37"/>
  <c r="I24" i="43" l="1"/>
  <c r="K24" i="43" s="1"/>
  <c r="I11" i="43"/>
  <c r="K11" i="43" s="1"/>
  <c r="I15" i="43"/>
  <c r="K15" i="43" s="1"/>
  <c r="I19" i="43"/>
  <c r="K19" i="43" s="1"/>
  <c r="I21" i="43"/>
  <c r="K21" i="43" s="1"/>
  <c r="I12" i="43"/>
  <c r="K12" i="43" s="1"/>
  <c r="I17" i="43"/>
  <c r="K17" i="43" s="1"/>
  <c r="I13" i="43"/>
  <c r="K13" i="43" s="1"/>
  <c r="I20" i="43"/>
  <c r="K20" i="43" s="1"/>
  <c r="R14" i="43"/>
  <c r="I16" i="43"/>
  <c r="K16" i="43" s="1"/>
  <c r="I33" i="43"/>
  <c r="K33" i="43" s="1"/>
  <c r="I25" i="43"/>
  <c r="K25" i="43" s="1"/>
  <c r="Q18" i="41"/>
  <c r="S18" i="41" s="1"/>
  <c r="Q15" i="40"/>
  <c r="Q17" i="40"/>
  <c r="S17" i="40" s="1"/>
  <c r="I28" i="43"/>
  <c r="K28" i="43" s="1"/>
  <c r="I27" i="43"/>
  <c r="K27" i="43" s="1"/>
  <c r="Q13" i="41"/>
  <c r="Q28" i="40"/>
  <c r="S28" i="40" s="1"/>
  <c r="Q27" i="40"/>
  <c r="S27" i="40" s="1"/>
  <c r="D7" i="23"/>
  <c r="P18" i="2"/>
  <c r="Q17" i="2"/>
  <c r="P14" i="42"/>
  <c r="S13" i="39"/>
  <c r="I32" i="43"/>
  <c r="K32" i="43" s="1"/>
  <c r="I31" i="43"/>
  <c r="K31" i="43" s="1"/>
  <c r="Q22" i="40"/>
  <c r="S22" i="40" s="1"/>
  <c r="S13" i="38"/>
  <c r="AA13" i="37"/>
  <c r="Q15" i="41"/>
  <c r="S15" i="41" s="1"/>
  <c r="Q17" i="41"/>
  <c r="S17" i="41" s="1"/>
  <c r="Q18" i="40"/>
  <c r="S18" i="40" s="1"/>
  <c r="AB13" i="37"/>
  <c r="AA16" i="37"/>
  <c r="Y16" i="37"/>
  <c r="AB16" i="37" s="1"/>
  <c r="Q21" i="39"/>
  <c r="S21" i="39" s="1"/>
  <c r="I29" i="43"/>
  <c r="K29" i="43" s="1"/>
  <c r="I23" i="43"/>
  <c r="K23" i="43" s="1"/>
  <c r="Q21" i="41"/>
  <c r="S21" i="41" s="1"/>
  <c r="Q21" i="40"/>
  <c r="S21" i="40" s="1"/>
  <c r="Q14" i="40"/>
  <c r="X15" i="37"/>
  <c r="X17" i="37"/>
  <c r="Q23" i="40" l="1"/>
  <c r="S23" i="40" s="1"/>
  <c r="AA17" i="37"/>
  <c r="Y17" i="37"/>
  <c r="H24" i="37"/>
  <c r="H16" i="37"/>
  <c r="D9" i="23"/>
  <c r="S9" i="1"/>
  <c r="AA15" i="37"/>
  <c r="Y15" i="37"/>
  <c r="AB15" i="37" s="1"/>
  <c r="H28" i="37"/>
  <c r="H17" i="37"/>
  <c r="H41" i="37"/>
  <c r="I15" i="42"/>
  <c r="K15" i="42" s="1"/>
  <c r="I31" i="42"/>
  <c r="K31" i="42" s="1"/>
  <c r="I11" i="42"/>
  <c r="K11" i="42" s="1"/>
  <c r="I33" i="42"/>
  <c r="K33" i="42" s="1"/>
  <c r="I23" i="42"/>
  <c r="K23" i="42" s="1"/>
  <c r="I27" i="42"/>
  <c r="K27" i="42" s="1"/>
  <c r="I12" i="42"/>
  <c r="K12" i="42" s="1"/>
  <c r="I24" i="42"/>
  <c r="K24" i="42" s="1"/>
  <c r="I25" i="42"/>
  <c r="K25" i="42" s="1"/>
  <c r="I29" i="42"/>
  <c r="K29" i="42" s="1"/>
  <c r="I16" i="42"/>
  <c r="K16" i="42" s="1"/>
  <c r="I21" i="42"/>
  <c r="K21" i="42" s="1"/>
  <c r="I19" i="42"/>
  <c r="K19" i="42" s="1"/>
  <c r="R14" i="42"/>
  <c r="I32" i="42"/>
  <c r="K32" i="42" s="1"/>
  <c r="I20" i="42"/>
  <c r="K20" i="42" s="1"/>
  <c r="I13" i="42"/>
  <c r="K13" i="42" s="1"/>
  <c r="I17" i="42"/>
  <c r="K17" i="42" s="1"/>
  <c r="I28" i="42"/>
  <c r="K28" i="42" s="1"/>
  <c r="Q17" i="39"/>
  <c r="S17" i="39" s="1"/>
  <c r="H13" i="37"/>
  <c r="H40" i="37"/>
  <c r="H12" i="37"/>
  <c r="H32" i="37"/>
  <c r="H15" i="37"/>
  <c r="H11" i="37"/>
  <c r="H37" i="37"/>
  <c r="S13" i="41"/>
  <c r="Q29" i="40"/>
  <c r="S29" i="40" s="1"/>
  <c r="Q31" i="40"/>
  <c r="S31" i="40" s="1"/>
  <c r="H19" i="37"/>
  <c r="H33" i="37"/>
  <c r="H27" i="37"/>
  <c r="S15" i="40"/>
  <c r="Q19" i="41"/>
  <c r="S19" i="41" s="1"/>
  <c r="P42" i="2"/>
  <c r="S42" i="2"/>
  <c r="H20" i="37"/>
  <c r="H36" i="37"/>
  <c r="H31" i="37"/>
  <c r="S14" i="40"/>
  <c r="H23" i="37"/>
  <c r="H29" i="37"/>
  <c r="H35" i="37"/>
  <c r="H25" i="37"/>
  <c r="H39" i="37"/>
  <c r="H21" i="37"/>
  <c r="Q18" i="2"/>
  <c r="V18" i="2"/>
  <c r="Q19" i="40"/>
  <c r="S19" i="40" s="1"/>
  <c r="Q18" i="39"/>
  <c r="S18" i="39" s="1"/>
  <c r="I35" i="41" l="1"/>
  <c r="K35" i="41" s="1"/>
  <c r="I12" i="41"/>
  <c r="K12" i="41" s="1"/>
  <c r="I33" i="41"/>
  <c r="K33" i="41" s="1"/>
  <c r="I30" i="40"/>
  <c r="K30" i="40" s="1"/>
  <c r="I12" i="40"/>
  <c r="K12" i="40" s="1"/>
  <c r="I16" i="40"/>
  <c r="K16" i="40" s="1"/>
  <c r="I18" i="40"/>
  <c r="K18" i="40" s="1"/>
  <c r="I24" i="41"/>
  <c r="K24" i="41" s="1"/>
  <c r="I22" i="40"/>
  <c r="K22" i="40" s="1"/>
  <c r="I17" i="40"/>
  <c r="K17" i="40" s="1"/>
  <c r="I38" i="40"/>
  <c r="K38" i="40" s="1"/>
  <c r="I35" i="40"/>
  <c r="K35" i="40" s="1"/>
  <c r="I16" i="41"/>
  <c r="K16" i="41" s="1"/>
  <c r="L21" i="37"/>
  <c r="P21" i="37"/>
  <c r="L27" i="37"/>
  <c r="P27" i="37"/>
  <c r="P37" i="37"/>
  <c r="L37" i="37"/>
  <c r="Q15" i="39"/>
  <c r="S15" i="39" s="1"/>
  <c r="L41" i="37"/>
  <c r="P41" i="37"/>
  <c r="P16" i="37"/>
  <c r="L16" i="37"/>
  <c r="P39" i="37"/>
  <c r="L39" i="37"/>
  <c r="I29" i="40"/>
  <c r="K29" i="40" s="1"/>
  <c r="P33" i="37"/>
  <c r="L33" i="37"/>
  <c r="I15" i="41"/>
  <c r="K15" i="41" s="1"/>
  <c r="I19" i="41"/>
  <c r="K19" i="41" s="1"/>
  <c r="I29" i="41"/>
  <c r="K29" i="41" s="1"/>
  <c r="L11" i="37"/>
  <c r="P11" i="37"/>
  <c r="P40" i="37"/>
  <c r="L40" i="37"/>
  <c r="L17" i="37"/>
  <c r="P17" i="37"/>
  <c r="P24" i="37"/>
  <c r="L24" i="37"/>
  <c r="L25" i="37"/>
  <c r="P25" i="37"/>
  <c r="S37" i="2"/>
  <c r="P37" i="2"/>
  <c r="I14" i="40"/>
  <c r="K14" i="40" s="1"/>
  <c r="I21" i="40"/>
  <c r="K21" i="40" s="1"/>
  <c r="I37" i="40"/>
  <c r="K37" i="40" s="1"/>
  <c r="I26" i="40"/>
  <c r="K26" i="40" s="1"/>
  <c r="I34" i="40"/>
  <c r="K34" i="40" s="1"/>
  <c r="L19" i="37"/>
  <c r="P19" i="37"/>
  <c r="I23" i="41"/>
  <c r="K23" i="41" s="1"/>
  <c r="I13" i="41"/>
  <c r="K13" i="41" s="1"/>
  <c r="I25" i="41"/>
  <c r="K25" i="41" s="1"/>
  <c r="I27" i="41"/>
  <c r="K27" i="41" s="1"/>
  <c r="I37" i="41"/>
  <c r="K37" i="41" s="1"/>
  <c r="I31" i="41"/>
  <c r="K31" i="41" s="1"/>
  <c r="L15" i="37"/>
  <c r="P15" i="37"/>
  <c r="L13" i="37"/>
  <c r="P13" i="37"/>
  <c r="L28" i="37"/>
  <c r="P28" i="37"/>
  <c r="T9" i="1"/>
  <c r="S10" i="1"/>
  <c r="AB17" i="37"/>
  <c r="J23" i="37"/>
  <c r="J16" i="37"/>
  <c r="J35" i="37"/>
  <c r="J13" i="37"/>
  <c r="J40" i="37"/>
  <c r="J39" i="37"/>
  <c r="J25" i="37"/>
  <c r="J29" i="37"/>
  <c r="J32" i="37"/>
  <c r="J20" i="37"/>
  <c r="J21" i="37"/>
  <c r="J36" i="37"/>
  <c r="J28" i="37"/>
  <c r="J17" i="37"/>
  <c r="J27" i="37"/>
  <c r="J31" i="37"/>
  <c r="J41" i="37"/>
  <c r="J33" i="37"/>
  <c r="J24" i="37"/>
  <c r="J37" i="37"/>
  <c r="J12" i="37"/>
  <c r="J11" i="37"/>
  <c r="J19" i="37"/>
  <c r="J15" i="37"/>
  <c r="P29" i="37"/>
  <c r="L29" i="37"/>
  <c r="L36" i="37"/>
  <c r="P36" i="37"/>
  <c r="Q42" i="2"/>
  <c r="D29" i="23"/>
  <c r="S29" i="1" s="1"/>
  <c r="T29" i="1" s="1"/>
  <c r="V42" i="2"/>
  <c r="L12" i="37"/>
  <c r="P12" i="37"/>
  <c r="P23" i="37"/>
  <c r="L23" i="37"/>
  <c r="L20" i="37"/>
  <c r="P20" i="37"/>
  <c r="I33" i="40"/>
  <c r="K33" i="40" s="1"/>
  <c r="I39" i="40"/>
  <c r="K39" i="40" s="1"/>
  <c r="I32" i="41"/>
  <c r="K32" i="41" s="1"/>
  <c r="I17" i="41"/>
  <c r="K17" i="41" s="1"/>
  <c r="P35" i="37"/>
  <c r="L35" i="37"/>
  <c r="I13" i="40"/>
  <c r="K13" i="40" s="1"/>
  <c r="I20" i="40"/>
  <c r="K20" i="40" s="1"/>
  <c r="P31" i="37"/>
  <c r="L31" i="37"/>
  <c r="I27" i="40"/>
  <c r="K27" i="40" s="1"/>
  <c r="I25" i="40"/>
  <c r="K25" i="40" s="1"/>
  <c r="I31" i="40"/>
  <c r="K31" i="40" s="1"/>
  <c r="I21" i="41"/>
  <c r="K21" i="41" s="1"/>
  <c r="I36" i="41"/>
  <c r="K36" i="41" s="1"/>
  <c r="I20" i="41"/>
  <c r="K20" i="41" s="1"/>
  <c r="I11" i="41"/>
  <c r="K11" i="41" s="1"/>
  <c r="I28" i="41"/>
  <c r="K28" i="41" s="1"/>
  <c r="L32" i="37"/>
  <c r="P32" i="37"/>
  <c r="S21" i="2" l="1"/>
  <c r="Q19" i="39"/>
  <c r="I16" i="39" s="1"/>
  <c r="K16" i="39" s="1"/>
  <c r="N11" i="37"/>
  <c r="R11" i="37"/>
  <c r="R17" i="37"/>
  <c r="N17" i="37"/>
  <c r="R39" i="37"/>
  <c r="N39" i="37"/>
  <c r="T10" i="1"/>
  <c r="V9" i="1"/>
  <c r="O41" i="36" s="1"/>
  <c r="X9" i="1"/>
  <c r="X10" i="1" s="1"/>
  <c r="U9" i="1"/>
  <c r="U10" i="1" s="1"/>
  <c r="R12" i="37"/>
  <c r="N12" i="37"/>
  <c r="N28" i="37"/>
  <c r="R28" i="37"/>
  <c r="R40" i="37"/>
  <c r="N40" i="37"/>
  <c r="N38" i="2"/>
  <c r="P36" i="2"/>
  <c r="S36" i="2"/>
  <c r="R15" i="37"/>
  <c r="N15" i="37"/>
  <c r="N37" i="37"/>
  <c r="R37" i="37"/>
  <c r="N31" i="37"/>
  <c r="R31" i="37"/>
  <c r="R36" i="37"/>
  <c r="N36" i="37"/>
  <c r="R29" i="37"/>
  <c r="N29" i="37"/>
  <c r="N13" i="37"/>
  <c r="R13" i="37"/>
  <c r="Q37" i="2"/>
  <c r="D26" i="23"/>
  <c r="S26" i="1" s="1"/>
  <c r="T26" i="1" s="1"/>
  <c r="X29" i="1"/>
  <c r="V29" i="1"/>
  <c r="U29" i="1"/>
  <c r="R33" i="37"/>
  <c r="N33" i="37"/>
  <c r="R20" i="37"/>
  <c r="N20" i="37"/>
  <c r="R16" i="37"/>
  <c r="N16" i="37"/>
  <c r="N41" i="37"/>
  <c r="R41" i="37"/>
  <c r="N32" i="37"/>
  <c r="R32" i="37"/>
  <c r="N23" i="37"/>
  <c r="R23" i="37"/>
  <c r="R19" i="37"/>
  <c r="N19" i="37"/>
  <c r="N24" i="37"/>
  <c r="R24" i="37"/>
  <c r="R27" i="37"/>
  <c r="N27" i="37"/>
  <c r="N21" i="37"/>
  <c r="R21" i="37"/>
  <c r="N25" i="37"/>
  <c r="R25" i="37"/>
  <c r="R35" i="37"/>
  <c r="N35" i="37"/>
  <c r="I36" i="39" l="1"/>
  <c r="K36" i="39" s="1"/>
  <c r="I32" i="39"/>
  <c r="K32" i="39" s="1"/>
  <c r="I27" i="39"/>
  <c r="K27" i="39" s="1"/>
  <c r="S19" i="39"/>
  <c r="I37" i="39"/>
  <c r="K37" i="39" s="1"/>
  <c r="I23" i="39"/>
  <c r="K23" i="39" s="1"/>
  <c r="Q24" i="38"/>
  <c r="S24" i="38" s="1"/>
  <c r="Q27" i="38"/>
  <c r="S27" i="38" s="1"/>
  <c r="I11" i="39"/>
  <c r="K11" i="39" s="1"/>
  <c r="I28" i="39"/>
  <c r="K28" i="39" s="1"/>
  <c r="I29" i="39"/>
  <c r="K29" i="39" s="1"/>
  <c r="I31" i="39"/>
  <c r="K31" i="39" s="1"/>
  <c r="I21" i="39"/>
  <c r="K21" i="39" s="1"/>
  <c r="P21" i="2"/>
  <c r="Q21" i="2" s="1"/>
  <c r="I15" i="39"/>
  <c r="K15" i="39" s="1"/>
  <c r="I25" i="39"/>
  <c r="K25" i="39" s="1"/>
  <c r="I19" i="39"/>
  <c r="K19" i="39" s="1"/>
  <c r="I13" i="39"/>
  <c r="K13" i="39" s="1"/>
  <c r="I12" i="39"/>
  <c r="K12" i="39" s="1"/>
  <c r="I33" i="39"/>
  <c r="K33" i="39" s="1"/>
  <c r="I20" i="39"/>
  <c r="K20" i="39" s="1"/>
  <c r="I24" i="39"/>
  <c r="K24" i="39" s="1"/>
  <c r="I17" i="39"/>
  <c r="K17" i="39" s="1"/>
  <c r="I35" i="39"/>
  <c r="K35" i="39" s="1"/>
  <c r="P24" i="2"/>
  <c r="S24" i="2"/>
  <c r="X26" i="1"/>
  <c r="U26" i="1"/>
  <c r="V26" i="1"/>
  <c r="N31" i="43" s="1"/>
  <c r="D25" i="23"/>
  <c r="P38" i="2"/>
  <c r="Q36" i="2"/>
  <c r="S38" i="2"/>
  <c r="P28" i="2"/>
  <c r="S28" i="2"/>
  <c r="Q16" i="38"/>
  <c r="S16" i="38" s="1"/>
  <c r="V10" i="1"/>
  <c r="Q15" i="38" l="1"/>
  <c r="S15" i="38" s="1"/>
  <c r="Q23" i="38"/>
  <c r="S23" i="38" s="1"/>
  <c r="D11" i="23"/>
  <c r="S12" i="1" s="1"/>
  <c r="S23" i="2"/>
  <c r="P30" i="2"/>
  <c r="P33" i="2"/>
  <c r="S33" i="2"/>
  <c r="Q17" i="38"/>
  <c r="Q38" i="2"/>
  <c r="V38" i="2"/>
  <c r="Q24" i="2"/>
  <c r="D15" i="23"/>
  <c r="S15" i="1" s="1"/>
  <c r="T15" i="1" s="1"/>
  <c r="S25" i="1"/>
  <c r="D27" i="23"/>
  <c r="Q28" i="2"/>
  <c r="D18" i="23"/>
  <c r="P23" i="2" l="1"/>
  <c r="Q23" i="2" s="1"/>
  <c r="Q25" i="38"/>
  <c r="S25" i="38" s="1"/>
  <c r="S30" i="2"/>
  <c r="S18" i="1"/>
  <c r="U15" i="1"/>
  <c r="X15" i="1"/>
  <c r="V15" i="1"/>
  <c r="O70" i="40" s="1"/>
  <c r="Q33" i="2"/>
  <c r="V33" i="2"/>
  <c r="D23" i="23"/>
  <c r="S23" i="1" s="1"/>
  <c r="T23" i="1" s="1"/>
  <c r="T12" i="1"/>
  <c r="S17" i="38"/>
  <c r="I12" i="38"/>
  <c r="K12" i="38" s="1"/>
  <c r="I11" i="38"/>
  <c r="K11" i="38" s="1"/>
  <c r="I13" i="38"/>
  <c r="K13" i="38" s="1"/>
  <c r="T25" i="1"/>
  <c r="S27" i="1"/>
  <c r="D20" i="23"/>
  <c r="S20" i="1" s="1"/>
  <c r="T20" i="1" s="1"/>
  <c r="Q30" i="2"/>
  <c r="D13" i="23" l="1"/>
  <c r="S14" i="1" s="1"/>
  <c r="T14" i="1" s="1"/>
  <c r="X14" i="1" s="1"/>
  <c r="I28" i="38"/>
  <c r="K28" i="38" s="1"/>
  <c r="I27" i="38"/>
  <c r="K27" i="38" s="1"/>
  <c r="I25" i="38"/>
  <c r="K25" i="38" s="1"/>
  <c r="I35" i="38"/>
  <c r="K35" i="38" s="1"/>
  <c r="I16" i="38"/>
  <c r="K16" i="38" s="1"/>
  <c r="I15" i="38"/>
  <c r="K15" i="38" s="1"/>
  <c r="I20" i="38"/>
  <c r="K20" i="38" s="1"/>
  <c r="I37" i="38"/>
  <c r="K37" i="38" s="1"/>
  <c r="I21" i="38"/>
  <c r="K21" i="38" s="1"/>
  <c r="I32" i="38"/>
  <c r="K32" i="38" s="1"/>
  <c r="I17" i="38"/>
  <c r="K17" i="38" s="1"/>
  <c r="I19" i="38"/>
  <c r="K19" i="38" s="1"/>
  <c r="I29" i="38"/>
  <c r="K29" i="38" s="1"/>
  <c r="I24" i="38"/>
  <c r="K24" i="38" s="1"/>
  <c r="I31" i="38"/>
  <c r="K31" i="38" s="1"/>
  <c r="I33" i="38"/>
  <c r="K33" i="38" s="1"/>
  <c r="I23" i="38"/>
  <c r="K23" i="38" s="1"/>
  <c r="I36" i="38"/>
  <c r="K36" i="38" s="1"/>
  <c r="V12" i="1"/>
  <c r="U39" i="37" s="1"/>
  <c r="U12" i="1"/>
  <c r="X12" i="1"/>
  <c r="X20" i="1"/>
  <c r="U20" i="1"/>
  <c r="V20" i="1"/>
  <c r="U14" i="1"/>
  <c r="T27" i="1"/>
  <c r="V27" i="1" s="1"/>
  <c r="U25" i="1"/>
  <c r="U27" i="1" s="1"/>
  <c r="X25" i="1"/>
  <c r="X27" i="1" s="1"/>
  <c r="V25" i="1"/>
  <c r="N36" i="42" s="1"/>
  <c r="T18" i="1"/>
  <c r="X23" i="1"/>
  <c r="U23" i="1"/>
  <c r="V23" i="1"/>
  <c r="V14" i="1" l="1"/>
  <c r="O47" i="39" s="1"/>
  <c r="X18" i="1"/>
  <c r="V18" i="1"/>
  <c r="O47" i="41" s="1"/>
  <c r="U18" i="1"/>
  <c r="P22" i="2"/>
  <c r="S22" i="2"/>
  <c r="N25" i="2"/>
  <c r="S25" i="2" s="1"/>
  <c r="S29" i="2" l="1"/>
  <c r="P29" i="2"/>
  <c r="N31" i="2"/>
  <c r="D12" i="23"/>
  <c r="Q22" i="2"/>
  <c r="P25" i="2"/>
  <c r="Q25" i="2" l="1"/>
  <c r="V25" i="2"/>
  <c r="D19" i="23"/>
  <c r="Q29" i="2"/>
  <c r="P31" i="2"/>
  <c r="S13" i="1"/>
  <c r="D16" i="23"/>
  <c r="S31" i="2"/>
  <c r="N44" i="2"/>
  <c r="Q31" i="2" l="1"/>
  <c r="V31" i="2"/>
  <c r="P44" i="2"/>
  <c r="S44" i="2"/>
  <c r="N48" i="2"/>
  <c r="S48" i="2" s="1"/>
  <c r="S19" i="1"/>
  <c r="D21" i="23"/>
  <c r="D33" i="23" s="1"/>
  <c r="D37" i="23" s="1"/>
  <c r="T13" i="1"/>
  <c r="S16" i="1"/>
  <c r="V13" i="1" l="1"/>
  <c r="O59" i="38" s="1"/>
  <c r="X13" i="1"/>
  <c r="X16" i="1" s="1"/>
  <c r="U13" i="1"/>
  <c r="U16" i="1" s="1"/>
  <c r="T16" i="1"/>
  <c r="Q44" i="2"/>
  <c r="P48" i="2"/>
  <c r="Q48" i="2" s="1"/>
  <c r="V44" i="2"/>
  <c r="V48" i="2" s="1"/>
  <c r="T19" i="1"/>
  <c r="S21" i="1"/>
  <c r="S33" i="1" s="1"/>
  <c r="S37" i="1" s="1"/>
  <c r="X19" i="1" l="1"/>
  <c r="X21" i="1" s="1"/>
  <c r="X33" i="1" s="1"/>
  <c r="X37" i="1" s="1"/>
  <c r="V19" i="1"/>
  <c r="U19" i="1"/>
  <c r="U21" i="1" s="1"/>
  <c r="U33" i="1" s="1"/>
  <c r="U37" i="1" s="1"/>
  <c r="T21" i="1"/>
  <c r="V21" i="1" s="1"/>
  <c r="V16" i="1"/>
  <c r="T33" i="1" l="1"/>
  <c r="V33" i="1" l="1"/>
  <c r="T37" i="1"/>
  <c r="V37" i="1" s="1"/>
</calcChain>
</file>

<file path=xl/sharedStrings.xml><?xml version="1.0" encoding="utf-8"?>
<sst xmlns="http://schemas.openxmlformats.org/spreadsheetml/2006/main" count="1165" uniqueCount="513">
  <si>
    <t>Puget Sound Energy</t>
  </si>
  <si>
    <t>Remove:</t>
  </si>
  <si>
    <t>Add:</t>
  </si>
  <si>
    <t>Line No.</t>
  </si>
  <si>
    <t>Tariff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</si>
  <si>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</si>
  <si>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</si>
  <si>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</si>
  <si>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</si>
  <si>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</si>
  <si>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</si>
  <si>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</si>
  <si>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141
ERF</t>
  </si>
  <si>
    <t>Schedule 194
BPA Res &amp; Farm Credit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</si>
  <si>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</si>
  <si>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</si>
  <si>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</si>
  <si>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</si>
  <si>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</si>
  <si>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</si>
  <si>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</si>
  <si>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</si>
  <si>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</si>
  <si>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All Sales</t>
  </si>
  <si>
    <t xml:space="preserve"> </t>
  </si>
  <si>
    <t>TABLE A. PRESENT AND PROPOSED RATES</t>
  </si>
  <si>
    <t>PUGET SOUND ENERGY</t>
  </si>
  <si>
    <t>ON REVENUES FROM ELECTRIC SALES</t>
  </si>
  <si>
    <t>Present</t>
  </si>
  <si>
    <t>Proposed</t>
  </si>
  <si>
    <t>Current</t>
  </si>
  <si>
    <t>Base</t>
  </si>
  <si>
    <t>Rate Spread Increase</t>
  </si>
  <si>
    <t>Difference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</si>
  <si>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</si>
  <si>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</si>
  <si>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</si>
  <si>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</si>
  <si>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</si>
  <si>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</si>
  <si>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</si>
  <si>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</si>
  <si>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</si>
  <si>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</si>
  <si>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</si>
  <si>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</si>
  <si>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</si>
  <si>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</si>
  <si>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</si>
  <si>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</si>
  <si>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</si>
  <si>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</si>
  <si>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</si>
  <si>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</si>
  <si>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</si>
  <si>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</si>
  <si>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</si>
  <si>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(7)/(5)</t>
  </si>
  <si>
    <t>(6/4)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</si>
  <si>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</si>
  <si>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</si>
  <si>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</si>
  <si>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</si>
  <si>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</si>
  <si>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</si>
  <si>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</si>
  <si>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</si>
  <si>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</si>
  <si>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</si>
  <si>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</si>
  <si>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</si>
  <si>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</si>
  <si>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</si>
  <si>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</si>
  <si>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</si>
  <si>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</si>
  <si>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</si>
  <si>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</si>
  <si>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</si>
  <si>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High Voltage General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</si>
  <si>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</si>
  <si>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</si>
  <si>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</si>
  <si>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</si>
  <si>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</si>
  <si>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</si>
  <si>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Test Year ended September 2016</t>
  </si>
  <si>
    <t>24 (8)</t>
  </si>
  <si>
    <t>26 (12,26P)</t>
  </si>
  <si>
    <t>31 (10)</t>
  </si>
  <si>
    <t>Schedule 95 - PCORC Impacts</t>
  </si>
  <si>
    <t>Total Retail Sales</t>
  </si>
  <si>
    <t>Firm Resale</t>
  </si>
  <si>
    <t>Total Sales</t>
  </si>
  <si>
    <t>Schedule 95a - Federal Incentive Impacts</t>
  </si>
  <si>
    <t>CUSTOMER CLASS</t>
  </si>
  <si>
    <t>INCREASE (DECREASE) $</t>
  </si>
  <si>
    <t>INCREASE (DECREASE) %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</si>
  <si>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</si>
  <si>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</si>
  <si>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</si>
  <si>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</si>
  <si>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</si>
  <si>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</si>
  <si>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</si>
  <si>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</si>
  <si>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</si>
  <si>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</si>
  <si>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</si>
  <si>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</si>
  <si>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</si>
  <si>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</si>
  <si>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</si>
  <si>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</si>
  <si>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</si>
  <si>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</si>
  <si>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</si>
  <si>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</si>
  <si>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</si>
  <si>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Campus Rate Total</t>
  </si>
  <si>
    <t>HV Interruptible Svc</t>
  </si>
  <si>
    <t>HV Gen Svc</t>
  </si>
  <si>
    <t>High Voltage Service Total</t>
  </si>
  <si>
    <t>Lights</t>
  </si>
  <si>
    <t>Subtotal</t>
  </si>
  <si>
    <t>Transportation</t>
  </si>
  <si>
    <t>449 / 459</t>
  </si>
  <si>
    <t>`</t>
  </si>
  <si>
    <t>Current vs. Proposed Schedule 120</t>
  </si>
  <si>
    <t>SCHEDULE</t>
  </si>
  <si>
    <t>Settlement Methodology</t>
  </si>
  <si>
    <t>Customer Rate Impacts</t>
  </si>
  <si>
    <t>Customer Class</t>
  </si>
  <si>
    <t>Schedule</t>
  </si>
  <si>
    <t>Change In Rates</t>
  </si>
  <si>
    <t>$ Increase (Decrease) Due To Rate Change</t>
  </si>
  <si>
    <t>% Increase (Decrease) Due To Rate Change</t>
  </si>
  <si>
    <t>A</t>
  </si>
  <si>
    <t>B</t>
  </si>
  <si>
    <t>C</t>
  </si>
  <si>
    <t>D</t>
  </si>
  <si>
    <t>E = D - C</t>
  </si>
  <si>
    <t>F=
B+(A*C)</t>
  </si>
  <si>
    <t>G=
B+(A*D)</t>
  </si>
  <si>
    <t>H=
G - F</t>
  </si>
  <si>
    <t>I=
H / F</t>
  </si>
  <si>
    <t>8 / 24</t>
  </si>
  <si>
    <t>11 / 25 / 7A</t>
  </si>
  <si>
    <t>12 / 26 / 26P</t>
  </si>
  <si>
    <t>10 / 31</t>
  </si>
  <si>
    <t>Campus Service</t>
  </si>
  <si>
    <t>3, 50 - 59</t>
  </si>
  <si>
    <t>Retail Wheeling</t>
  </si>
  <si>
    <t>Electric Schedule 140 Property Tax Rider</t>
  </si>
  <si>
    <t>Voltage Level</t>
  </si>
  <si>
    <t>Schedule 140 Property Tax Revenue Change</t>
  </si>
  <si>
    <t>Schedule 140 Property Tax % Change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</si>
  <si>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</si>
  <si>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</si>
  <si>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</si>
  <si>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</si>
  <si>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</si>
  <si>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</si>
  <si>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</si>
  <si>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</si>
  <si>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</si>
  <si>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</si>
  <si>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</si>
  <si>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</si>
  <si>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</si>
  <si>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</si>
  <si>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</si>
  <si>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</si>
  <si>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</si>
  <si>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</si>
  <si>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</si>
  <si>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</si>
  <si>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</si>
  <si>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</si>
  <si>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</si>
  <si>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12 &amp; 26</t>
  </si>
  <si>
    <t>Proposed Schedule 194</t>
  </si>
  <si>
    <t>BPA Residential and Farm Energy Exchange Benefits</t>
  </si>
  <si>
    <t>Calculation</t>
  </si>
  <si>
    <t>= 3 + 5</t>
  </si>
  <si>
    <t>Total amount to be credited before revenue related expense conversion</t>
  </si>
  <si>
    <t>Revenue Related Expense Conversion Factor</t>
  </si>
  <si>
    <t>= 6 / 8</t>
  </si>
  <si>
    <t>Grossed up Total to be Credited</t>
  </si>
  <si>
    <t>= 9 / 1</t>
  </si>
  <si>
    <t>Bill Impacts:</t>
  </si>
  <si>
    <t>(including Schedules 95, 95a, 120, 129, 132, 133, 137, 140, 141, 142 and 194)</t>
  </si>
  <si>
    <t>= 17 - 16</t>
  </si>
  <si>
    <t>Increase (Decrease) to average monthly bill</t>
  </si>
  <si>
    <t>= 18 / 16</t>
  </si>
  <si>
    <t>Percentage Increase (Decrease) to average bill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</si>
  <si>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</si>
  <si>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</si>
  <si>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</si>
  <si>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</si>
  <si>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</si>
  <si>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</si>
  <si>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</si>
  <si>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</si>
  <si>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</si>
  <si>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 xml:space="preserve">DSM
Schedule 120 Rider Rev </t>
  </si>
  <si>
    <t>Fed Inc Tracker
Schedule 95a
Revenue</t>
  </si>
  <si>
    <t xml:space="preserve">PCORC
Schedule 95
Revenue </t>
  </si>
  <si>
    <t>Low Income
Sch 129
Rider Revenue</t>
  </si>
  <si>
    <t>Schedule 129 - Low Income</t>
  </si>
  <si>
    <t>Schedule 132 - Merger Credit</t>
  </si>
  <si>
    <t>Merger Credit
Sch 132
Rider Revenue</t>
  </si>
  <si>
    <t>Electric Merger Credit Tariff Impacts</t>
  </si>
  <si>
    <t>Docket No. UE-072375</t>
  </si>
  <si>
    <t>Schedule 132</t>
  </si>
  <si>
    <t>Rate Schedule</t>
  </si>
  <si>
    <t>Revenue Including Current Sch 132 Credit</t>
  </si>
  <si>
    <t>Revenue Including Proposed Sch 132 Credit</t>
  </si>
  <si>
    <t>$ Change in Schedule 132</t>
  </si>
  <si>
    <t>% Revenue Change</t>
  </si>
  <si>
    <t>e</t>
  </si>
  <si>
    <t>f</t>
  </si>
  <si>
    <t>g</t>
  </si>
  <si>
    <t>h = d * f + e</t>
  </si>
  <si>
    <t>i = d * g + e</t>
  </si>
  <si>
    <t>j = i - h</t>
  </si>
  <si>
    <t>k = j / h</t>
  </si>
  <si>
    <t>Secondary Voltage General Service &lt; 50 kW</t>
  </si>
  <si>
    <t>Secondary Voltage General Service &gt; 50 kW and &lt; 350 kW &amp; Irrigation</t>
  </si>
  <si>
    <t>7A, 11, 25 &amp; 29</t>
  </si>
  <si>
    <t>Secondary Voltage General Service &gt; 350 kW</t>
  </si>
  <si>
    <t>10, 31, 35 &amp; 43</t>
  </si>
  <si>
    <t>Campus</t>
  </si>
  <si>
    <t>46 &amp; 49</t>
  </si>
  <si>
    <t>Schedule 137 - REC's</t>
  </si>
  <si>
    <t>REC's
Sch 137
Rider Revenue</t>
  </si>
  <si>
    <t>Statement of Proforma and Proposed Revenues for Renewable Energy Credit</t>
  </si>
  <si>
    <t>Estimated Revenue
Including
Proposed
Sch 137</t>
  </si>
  <si>
    <t>e = 
b + (a * c / 100)</t>
  </si>
  <si>
    <t>f = 
b + (a * d / 100)</t>
  </si>
  <si>
    <t>12 / 26</t>
  </si>
  <si>
    <t>Schedule 140 - Property Tax</t>
  </si>
  <si>
    <t>Property Tax
Sch 140
Rider Revenue</t>
  </si>
  <si>
    <t>7A</t>
  </si>
  <si>
    <t>25 (11, 7A)</t>
  </si>
  <si>
    <t>Line No</t>
  </si>
  <si>
    <t>11 / 25</t>
  </si>
  <si>
    <t>26P</t>
  </si>
  <si>
    <t>Total Retail Delivered Sales</t>
  </si>
  <si>
    <t>Total Delivered Sales</t>
  </si>
  <si>
    <t>Schedule 142 - Decoupling</t>
  </si>
  <si>
    <t>Annual kW Demand YE 9-2016</t>
  </si>
  <si>
    <t>h</t>
  </si>
  <si>
    <t>i</t>
  </si>
  <si>
    <t>j</t>
  </si>
  <si>
    <t>k</t>
  </si>
  <si>
    <t>Total Secondary</t>
  </si>
  <si>
    <t>Total Primary</t>
  </si>
  <si>
    <t>Total 
Proposed
Rates</t>
  </si>
  <si>
    <t>Subtotal
Rider
Rates</t>
  </si>
  <si>
    <t>$ x 1000</t>
  </si>
  <si>
    <t>% Change (Net)</t>
  </si>
  <si>
    <t>Schedule 194 - BPA Residential Credit</t>
  </si>
  <si>
    <t>Schedule 194
BPA
Residential &amp;
Farm Credit</t>
  </si>
  <si>
    <t>Schedule 142
 Rate Plan, Deferral &amp; 
K-Factor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</si>
  <si>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</si>
  <si>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</si>
  <si>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</si>
  <si>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</si>
  <si>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</si>
  <si>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</si>
  <si>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</si>
  <si>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</si>
  <si>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</si>
  <si>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</si>
  <si>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</si>
  <si>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</si>
  <si>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</si>
  <si>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</si>
  <si>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</si>
  <si>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</si>
  <si>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</si>
  <si>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</si>
  <si>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</si>
  <si>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</si>
  <si>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</si>
  <si>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</si>
  <si>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</si>
  <si>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</si>
  <si>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</si>
  <si>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</si>
  <si>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</si>
  <si>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</si>
  <si>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</si>
  <si>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</si>
  <si>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</si>
  <si>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</si>
  <si>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</si>
  <si>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</si>
  <si>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</si>
  <si>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</si>
  <si>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</si>
  <si>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</si>
  <si>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</si>
  <si>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</si>
  <si>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</si>
  <si>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</si>
  <si>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</si>
  <si>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</si>
  <si>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</si>
  <si>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</si>
  <si>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</si>
  <si>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</si>
  <si>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</si>
  <si>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</si>
  <si>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</si>
  <si>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</si>
  <si>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</si>
  <si>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</si>
  <si>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</si>
  <si>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</si>
  <si>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</si>
  <si>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</si>
  <si>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</si>
  <si>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</si>
  <si>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</si>
  <si>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</si>
  <si>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</si>
  <si>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</si>
  <si>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</si>
  <si>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</si>
  <si>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</si>
  <si>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</si>
  <si>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</si>
  <si>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</si>
  <si>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</si>
  <si>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</si>
  <si>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</si>
  <si>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</si>
  <si>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</si>
  <si>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</si>
  <si>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</si>
  <si>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</si>
  <si>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</si>
  <si>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</si>
  <si>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</si>
  <si>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</si>
  <si>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</si>
  <si>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</si>
  <si>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</si>
  <si>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</si>
  <si>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</si>
  <si>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</si>
  <si>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</si>
  <si>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</si>
  <si>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</si>
  <si>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</si>
  <si>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</si>
  <si>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</si>
  <si>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</si>
  <si>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</si>
  <si>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</si>
  <si>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</si>
  <si>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</si>
  <si>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Proposed Rates
Eff. 5-1-17</t>
  </si>
  <si>
    <t>REVENUE
(Including 5-1-17
Sch 120 revenue)</t>
  </si>
  <si>
    <t>8/24</t>
  </si>
  <si>
    <t>7A/11/25</t>
  </si>
  <si>
    <t>12/26</t>
  </si>
  <si>
    <t>10/31</t>
  </si>
  <si>
    <t xml:space="preserve">Transportation </t>
  </si>
  <si>
    <t>Average kWh - First 20,000</t>
  </si>
  <si>
    <t>Proposed Rates
Eff. 9-1-17</t>
  </si>
  <si>
    <t>Forecast Exchange Delivered Sales (MWh 12 Months October 2017 to September 2018)</t>
  </si>
  <si>
    <t>Forecast Net REP Benefits to be paid by BPA  (October 2017 to September 2018)</t>
  </si>
  <si>
    <t>Residential Exchange Balance 7-31-17 to recover over 2 years</t>
  </si>
  <si>
    <t>Proposed Residential and Farm Exchange Benefit Rate Effective 10-1-17 ($ / kWh)</t>
  </si>
  <si>
    <t>Average monthly bill for residential customer consuming 900 kWh per month</t>
  </si>
  <si>
    <t>Before proposed change in credit (Based on rates effective 9-30-17)</t>
  </si>
  <si>
    <t>After proposed change in credit (Based on rates effective 10-1-17)</t>
  </si>
  <si>
    <t>BPA FY 2018</t>
  </si>
  <si>
    <t>October 1, 2017 through September 30, 2018</t>
  </si>
  <si>
    <t>Proposed Rates
Eff. 10-1-17</t>
  </si>
  <si>
    <t>Residential Net Impact: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</si>
  <si>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132, 137, 140, 141, 142, 149 &amp; 194</t>
    </r>
  </si>
  <si>
    <t>Net Impact</t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</si>
  <si>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95A, 95, 120, 129, 132, 137, 140, 141, 142 &amp; 149</t>
    </r>
  </si>
  <si>
    <t>Schedule 142 - Decoupling ($-kW)</t>
  </si>
  <si>
    <t>Average kWh - block 1</t>
  </si>
  <si>
    <t>Average kWh - block 2</t>
  </si>
  <si>
    <t>Proposed Rates
Eff. 1-1-18</t>
  </si>
  <si>
    <t>Sch 132
Current
Rate
Effective
01-01-2017</t>
  </si>
  <si>
    <t>Sch 132
Proposed
Rate
Effective
01-01-2018</t>
  </si>
  <si>
    <t>Annual kWh Delivered Sales (Normalized)
YE Dec 2018</t>
  </si>
  <si>
    <t>Estimated Net Annual Proforma Base Revenue (Excluding Sch 132)
YE Dec 2018</t>
  </si>
  <si>
    <t>kWh
Source: F2017
January 1, 2018 to December 31, 2018</t>
  </si>
  <si>
    <t>Estimated Revenue Based on Rates Effective October 1, 2017</t>
  </si>
  <si>
    <t>Sch 137
Effective
1-1-17
$ per kWh</t>
  </si>
  <si>
    <t>Proposed Sch 137
Effective
1-1-18
$ per kWh</t>
  </si>
  <si>
    <t>Estimated Revenue Including Sch 137 Effective January 1, 2017</t>
  </si>
  <si>
    <t>kWh
Source: F2017 January 2018 to December 2018</t>
  </si>
  <si>
    <t>Estimated Net Revenue @
Rates Effective
10-1-2017
(*Note 1)</t>
  </si>
  <si>
    <t>Supplemental Filing</t>
  </si>
  <si>
    <t>Difference due to Sch 40 Settlement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</si>
  <si>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</si>
  <si>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</si>
  <si>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</si>
  <si>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</si>
  <si>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</si>
  <si>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</si>
  <si>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</si>
  <si>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</si>
  <si>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</si>
  <si>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</si>
  <si>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</si>
  <si>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</si>
  <si>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</si>
  <si>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</si>
  <si>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</si>
  <si>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</si>
  <si>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</si>
  <si>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</si>
  <si>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</si>
  <si>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Proposed Rates
Eff. 5-1-18</t>
  </si>
  <si>
    <t>Change in Sch 120 Revenue</t>
  </si>
  <si>
    <t>Decoupling
Sch 142
Rider Revenue</t>
  </si>
  <si>
    <t>Proposed kW Rates
Eff. 5-1-18</t>
  </si>
  <si>
    <t>Proposed kWh Rates
Eff. 5-1-18</t>
  </si>
  <si>
    <t>Schedule 142 - Decoupling ($-kWh)</t>
  </si>
  <si>
    <t>RATE EFFECTS</t>
  </si>
  <si>
    <t>F2017
Delivered kWh
05/18 to 04/19</t>
  </si>
  <si>
    <t>Projected
Revenue
05/18 to 04/19
(Note 1)</t>
  </si>
  <si>
    <t>Schedule 120
Effective
5-1-17</t>
  </si>
  <si>
    <t>Proposed
Schedule 120
Effective
5-1-18</t>
  </si>
  <si>
    <t>REVENUE
(Including 5-1-18
Sch 120 revenue)</t>
  </si>
  <si>
    <t>Note 1 - Projected Revenue Includes Base Revenue plus Rider Schedules 95, 95A, 129, 132, 137, 140, 141, 142 &amp; 194</t>
  </si>
  <si>
    <t>2018 Electric Decoupling Filing</t>
  </si>
  <si>
    <t>Schedule 142 Revenue Change</t>
  </si>
  <si>
    <t>Proposed Effective May 1, 2018</t>
  </si>
  <si>
    <t>F2017 YE April 2019</t>
  </si>
  <si>
    <t>Annual kWh Delivered Sales (Normalized)</t>
  </si>
  <si>
    <t>Annual Demand (kW or kVa)</t>
  </si>
  <si>
    <t>8</t>
  </si>
  <si>
    <t>26</t>
  </si>
  <si>
    <t>Current Rates
Eff. 5-1-17</t>
  </si>
  <si>
    <t>Decoupling
Schedule 142
Revenue 
@ 5-1-17</t>
  </si>
  <si>
    <t>Decoupling
Schedule 142
Revenue 
@ 5-1-18</t>
  </si>
  <si>
    <t>(f) = (a) x (d)
or
(f) = (b) x (d)</t>
  </si>
  <si>
    <t>(f) = (a) x (e)
or
(f) = (b) x (e)</t>
  </si>
  <si>
    <t>Impacts of Rate Change Effective May 1, 2018</t>
  </si>
  <si>
    <t>F2017 kWh 
May 2018
to April 2019</t>
  </si>
  <si>
    <t>Projected
Revenue 
(Based on Rates
Effective
1-1-2018)</t>
  </si>
  <si>
    <t>Current
Schedule 140 Property Tax Effective 5-1-17</t>
  </si>
  <si>
    <t>Proposed Schedule 140 Property Tax Effective 5-1-18</t>
  </si>
  <si>
    <t>Sch 95a
Effective
January 1, 2018
$ per kWh</t>
  </si>
  <si>
    <t>Proposed 
Sch 95a
Effective
May 1, 2018
$ per kWh</t>
  </si>
  <si>
    <t>Revenue Including
Sch 95a
Eff 1-1-18</t>
  </si>
  <si>
    <t>Revenue
Including
Proposed
Sch 95a
Effective 5-1-18</t>
  </si>
  <si>
    <t>ERF Rate Impacts</t>
  </si>
  <si>
    <t>Test Year ended June 2018</t>
  </si>
  <si>
    <t>Annual mWh Delivered Sales YE 6-2018</t>
  </si>
  <si>
    <t xml:space="preserve">ESTIMATED EFFECT OF PROPOSED EXPEDITED RATE FILING (ERF) INCREASE </t>
  </si>
  <si>
    <t>12 MONTHS ENDED JUNE 2018</t>
  </si>
  <si>
    <t>Proposed Rates
Eff. 12-19-18</t>
  </si>
  <si>
    <t>2018 Low Income Customer Charge</t>
  </si>
  <si>
    <t>For the Twelve Months ended September 2019</t>
  </si>
  <si>
    <t>Forecast Delivered kWh
Oct 2018 Through
Sept 2019</t>
  </si>
  <si>
    <t>Forecast Delivered Revenue
Oct 2018 Through
Sept 2019
(Note 1)</t>
  </si>
  <si>
    <t>2017
Low Income
Rider Effective
10-1-17</t>
  </si>
  <si>
    <t xml:space="preserve">Proposed
2018
Low Income
Rider </t>
  </si>
  <si>
    <t>$ Including 2017 Low Income Effective
10-1-17</t>
  </si>
  <si>
    <t>$ Including Proposed 2018 Low Income</t>
  </si>
  <si>
    <t>Schedule 141 - ERF</t>
  </si>
  <si>
    <t>Schedule 141
ERF Rider
Effective
12-19-2017</t>
  </si>
  <si>
    <t>Proposed Schedule 141
ERF Rider
Effective
Feb 2019</t>
  </si>
  <si>
    <t>Adjustment for ERF</t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</si>
  <si>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</si>
  <si>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</si>
  <si>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t>Schedule 141 - ERF - Winter kW Demand</t>
  </si>
  <si>
    <t>Schedule 141 - ERF - Summer kW Demand</t>
  </si>
  <si>
    <t>Schedule 141 - ERF - Average Seasonal Demand</t>
  </si>
  <si>
    <t>Schedule 141 - ERF - Average Seasonal kWh First 20,000</t>
  </si>
  <si>
    <t>Schedule 141 - ERF - Demand Average</t>
  </si>
  <si>
    <t>Schedule 141 - ERF - Winter kW</t>
  </si>
  <si>
    <t>Schedule 141 - ERF - Summer kW</t>
  </si>
  <si>
    <t>Schedule 141 - ERF - Average kW</t>
  </si>
  <si>
    <t>Schedule 141 - ERF - Average kWh Over 20,000</t>
  </si>
  <si>
    <t>Schedule 141 - ERF - Average kWh First 20,000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</si>
  <si>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</si>
  <si>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t>Proposed Rates
Eff. 10-4-2018</t>
  </si>
  <si>
    <t>Schedule 137
REC's</t>
  </si>
  <si>
    <t>l</t>
  </si>
  <si>
    <t>m = 
∑ (c…l)</t>
  </si>
  <si>
    <t>n = 
b + m</t>
  </si>
  <si>
    <t>o = - j</t>
  </si>
  <si>
    <t>p</t>
  </si>
  <si>
    <t>q =
o + p</t>
  </si>
  <si>
    <t>r =
n + q</t>
  </si>
  <si>
    <t>s = q / n</t>
  </si>
  <si>
    <t>Annual Estimated Revenue @ Rates Effective Oct 4, 2018</t>
  </si>
  <si>
    <t>Schedule 141 - ERF - Demand</t>
  </si>
  <si>
    <t>e = d - c</t>
  </si>
  <si>
    <t>f = e / c</t>
  </si>
  <si>
    <t>f = d - b</t>
  </si>
  <si>
    <t>g = e - c</t>
  </si>
  <si>
    <t>h = f / b</t>
  </si>
  <si>
    <t>i = g / c</t>
  </si>
  <si>
    <t>m</t>
  </si>
  <si>
    <t>f = (e - d) / d</t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</si>
  <si>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ERF Schedule 141 Rider Rates Effective 3/2019</t>
    </r>
  </si>
  <si>
    <r>
      <t xml:space="preserve">       </t>
    </r>
    <r>
      <rPr>
        <vertAlign val="superscript"/>
        <sz val="9"/>
        <rFont val="Times New Roman"/>
        <family val="1"/>
      </rPr>
      <t>4</t>
    </r>
    <r>
      <rPr>
        <sz val="10"/>
        <rFont val="Times New Roman"/>
        <family val="1"/>
      </rPr>
      <t xml:space="preserve"> ERF Schedule 141 Rider Rates Effective 3/2019</t>
    </r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</si>
  <si>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ERF Schedule 141 Rider Rates Effective 3/2019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</si>
  <si>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ERF Schedule 141 Rider Rates Effective 3/2019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</si>
</sst>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_)"/>
    <numFmt numFmtId="168" formatCode="_(* #,##0.000_);_(* \(#,##0.000\);_(* &quot;-&quot;??_);_(@_)"/>
    <numFmt numFmtId="169" formatCode="0.00_)"/>
    <numFmt numFmtId="170" formatCode="0.000%"/>
    <numFmt numFmtId="171" formatCode="&quot;$&quot;#,##0"/>
    <numFmt numFmtId="172" formatCode="#,##0.000_);\(#,##0.000\)"/>
    <numFmt numFmtId="173" formatCode="0.00000000000000%"/>
    <numFmt numFmtId="174" formatCode="_(&quot;$&quot;* #,##0.000000_);_(&quot;$&quot;* \(#,##0.000000\);_(&quot;$&quot;* &quot;-&quot;??_);_(@_)"/>
    <numFmt numFmtId="175" formatCode="0.0000\ \¢"/>
    <numFmt numFmtId="176" formatCode="0.00000\ \¢"/>
    <numFmt numFmtId="177" formatCode="_(* #,##0.0000000_);_(* \(#,##0.0000000\);_(* &quot;-&quot;??_);_(@_)"/>
    <numFmt numFmtId="178" formatCode="_(&quot;$&quot;* #,##0.00000_);_(&quot;$&quot;* \(#,##0.00000\);_(&quot;$&quot;* &quot;-&quot;??_);_(@_)"/>
    <numFmt numFmtId="179" formatCode="0.000"/>
    <numFmt numFmtId="180" formatCode="_(* #,##0.0000_);_(* \(#,##0.0000\);_(* &quot;-&quot;??_);_(@_)"/>
    <numFmt numFmtId="181" formatCode="_(&quot;$&quot;* #,##0.0_);_(&quot;$&quot;* \(#,##0.0\);_(&quot;$&quot;* &quot;-&quot;??_);_(@_)"/>
  </numFmts>
  <fonts count="43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10"/>
      <color rgb="FF00808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vertAlign val="superscript"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u/>
      <vertAlign val="superscript"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8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</cellStyleXfs>
  <cellXfs count="557">
    <xf numFmtId="0" fontId="0" fillId="0" borderId="0" xfId="0"/>
    <xf numFmtId="0" fontId="0" fillId="0" borderId="0" xfId="0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/>
    <xf numFmtId="166" fontId="0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/>
    <xf numFmtId="0" fontId="9" fillId="0" borderId="0" xfId="0" quotePrefix="1" applyFont="1" applyFill="1" applyAlignment="1"/>
    <xf numFmtId="0" fontId="9" fillId="0" borderId="0" xfId="0" applyFont="1" applyFill="1" applyAlignment="1"/>
    <xf numFmtId="0" fontId="9" fillId="0" borderId="0" xfId="0" quotePrefix="1" applyFont="1" applyFill="1" applyAlignment="1">
      <alignment horizontal="center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6" fontId="2" fillId="0" borderId="7" xfId="0" quotePrefix="1" applyNumberFormat="1" applyFont="1" applyFill="1" applyBorder="1" applyAlignment="1">
      <alignment horizontal="center"/>
    </xf>
    <xf numFmtId="6" fontId="2" fillId="0" borderId="0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/>
    <xf numFmtId="0" fontId="11" fillId="0" borderId="0" xfId="0" quotePrefix="1" applyFont="1" applyFill="1" applyAlignment="1">
      <alignment horizontal="left"/>
    </xf>
    <xf numFmtId="37" fontId="2" fillId="0" borderId="0" xfId="0" applyNumberFormat="1" applyFont="1" applyFill="1" applyProtection="1"/>
    <xf numFmtId="171" fontId="8" fillId="0" borderId="0" xfId="0" applyNumberFormat="1" applyFont="1" applyFill="1" applyProtection="1">
      <protection locked="0"/>
    </xf>
    <xf numFmtId="171" fontId="8" fillId="0" borderId="0" xfId="0" applyNumberFormat="1" applyFont="1" applyFill="1" applyProtection="1">
      <protection locked="0"/>
    </xf>
    <xf numFmtId="10" fontId="8" fillId="0" borderId="0" xfId="0" applyNumberFormat="1" applyFont="1" applyFill="1" applyProtection="1">
      <protection locked="0"/>
    </xf>
    <xf numFmtId="172" fontId="2" fillId="0" borderId="0" xfId="0" applyNumberFormat="1" applyFont="1" applyFill="1" applyProtection="1"/>
    <xf numFmtId="10" fontId="8" fillId="0" borderId="0" xfId="0" applyNumberFormat="1" applyFont="1" applyFill="1" applyBorder="1" applyProtection="1">
      <protection locked="0"/>
    </xf>
    <xf numFmtId="0" fontId="12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left" indent="1"/>
    </xf>
    <xf numFmtId="37" fontId="2" fillId="0" borderId="2" xfId="0" applyNumberFormat="1" applyFont="1" applyFill="1" applyBorder="1" applyProtection="1"/>
    <xf numFmtId="171" fontId="8" fillId="0" borderId="2" xfId="0" applyNumberFormat="1" applyFont="1" applyFill="1" applyBorder="1" applyProtection="1">
      <protection locked="0"/>
    </xf>
    <xf numFmtId="172" fontId="2" fillId="0" borderId="2" xfId="0" applyNumberFormat="1" applyFont="1" applyFill="1" applyBorder="1" applyProtection="1"/>
    <xf numFmtId="171" fontId="2" fillId="0" borderId="0" xfId="0" applyNumberFormat="1" applyFont="1" applyFill="1"/>
    <xf numFmtId="10" fontId="2" fillId="0" borderId="0" xfId="0" applyNumberFormat="1" applyFont="1" applyFill="1"/>
    <xf numFmtId="0" fontId="13" fillId="0" borderId="0" xfId="0" applyFont="1" applyFill="1"/>
    <xf numFmtId="37" fontId="2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0" fontId="12" fillId="0" borderId="0" xfId="0" applyFont="1" applyFill="1"/>
    <xf numFmtId="0" fontId="14" fillId="0" borderId="0" xfId="0" quotePrefix="1" applyFont="1" applyFill="1" applyAlignment="1">
      <alignment horizontal="left"/>
    </xf>
    <xf numFmtId="37" fontId="2" fillId="0" borderId="12" xfId="0" applyNumberFormat="1" applyFont="1" applyFill="1" applyBorder="1"/>
    <xf numFmtId="171" fontId="2" fillId="0" borderId="12" xfId="0" applyNumberFormat="1" applyFont="1" applyFill="1" applyBorder="1"/>
    <xf numFmtId="171" fontId="8" fillId="0" borderId="0" xfId="0" applyNumberFormat="1" applyFont="1" applyFill="1" applyBorder="1" applyProtection="1">
      <protection locked="0"/>
    </xf>
    <xf numFmtId="171" fontId="2" fillId="0" borderId="0" xfId="0" applyNumberFormat="1" applyFont="1" applyFill="1" applyBorder="1"/>
    <xf numFmtId="37" fontId="2" fillId="0" borderId="0" xfId="0" applyNumberFormat="1" applyFont="1" applyFill="1" applyBorder="1"/>
    <xf numFmtId="5" fontId="2" fillId="0" borderId="0" xfId="0" applyNumberFormat="1" applyFont="1" applyFill="1" applyBorder="1"/>
    <xf numFmtId="5" fontId="2" fillId="0" borderId="0" xfId="0" applyNumberFormat="1" applyFont="1" applyFill="1" applyBorder="1"/>
    <xf numFmtId="166" fontId="8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Font="1" applyFill="1" applyBorder="1"/>
    <xf numFmtId="165" fontId="16" fillId="0" borderId="0" xfId="0" applyNumberFormat="1" applyFont="1" applyFill="1"/>
    <xf numFmtId="166" fontId="16" fillId="0" borderId="0" xfId="0" applyNumberFormat="1" applyFont="1" applyFill="1" applyBorder="1" applyProtection="1">
      <protection locked="0"/>
    </xf>
    <xf numFmtId="1" fontId="2" fillId="0" borderId="0" xfId="0" applyNumberFormat="1" applyFont="1" applyFill="1"/>
    <xf numFmtId="166" fontId="2" fillId="0" borderId="0" xfId="0" applyNumberFormat="1" applyFont="1" applyFill="1" applyBorder="1"/>
    <xf numFmtId="1" fontId="16" fillId="0" borderId="0" xfId="0" applyNumberFormat="1" applyFont="1" applyFill="1"/>
    <xf numFmtId="166" fontId="16" fillId="0" borderId="0" xfId="0" applyNumberFormat="1" applyFont="1" applyFill="1"/>
    <xf numFmtId="173" fontId="2" fillId="0" borderId="0" xfId="0" applyNumberFormat="1" applyFont="1" applyFill="1"/>
    <xf numFmtId="166" fontId="2" fillId="0" borderId="0" xfId="0" applyNumberFormat="1" applyFont="1" applyFill="1"/>
    <xf numFmtId="166" fontId="17" fillId="0" borderId="0" xfId="0" applyNumberFormat="1" applyFont="1" applyFill="1"/>
    <xf numFmtId="165" fontId="0" fillId="0" borderId="0" xfId="0" applyNumberFormat="1" applyFont="1" applyFill="1" applyBorder="1"/>
    <xf numFmtId="0" fontId="1" fillId="0" borderId="0" xfId="0" applyFont="1" applyBorder="1"/>
    <xf numFmtId="164" fontId="1" fillId="0" borderId="4" xfId="0" quotePrefix="1" applyNumberFormat="1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74" fontId="1" fillId="0" borderId="0" xfId="0" applyNumberFormat="1" applyFont="1" applyFill="1" applyBorder="1"/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applyFont="1" applyFill="1" applyAlignment="1">
      <alignment horizontal="left" indent="1"/>
    </xf>
    <xf numFmtId="164" fontId="4" fillId="0" borderId="0" xfId="0" quotePrefix="1" applyNumberFormat="1" applyFont="1" applyFill="1" applyAlignment="1">
      <alignment horizontal="left"/>
    </xf>
    <xf numFmtId="165" fontId="4" fillId="0" borderId="0" xfId="0" quotePrefix="1" applyNumberFormat="1" applyFont="1" applyFill="1" applyAlignment="1">
      <alignment horizontal="left"/>
    </xf>
    <xf numFmtId="174" fontId="4" fillId="0" borderId="0" xfId="0" quotePrefix="1" applyNumberFormat="1" applyFont="1" applyFill="1" applyAlignment="1">
      <alignment horizontal="left"/>
    </xf>
    <xf numFmtId="10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174" fontId="4" fillId="0" borderId="2" xfId="0" applyNumberFormat="1" applyFont="1" applyFill="1" applyBorder="1"/>
    <xf numFmtId="10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74" fontId="4" fillId="0" borderId="0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Alignment="1">
      <alignment horizontal="left" indent="1"/>
    </xf>
    <xf numFmtId="0" fontId="4" fillId="0" borderId="0" xfId="0" quotePrefix="1" applyFont="1" applyFill="1" applyAlignment="1">
      <alignment horizontal="left"/>
    </xf>
    <xf numFmtId="164" fontId="4" fillId="0" borderId="3" xfId="0" applyNumberFormat="1" applyFont="1" applyFill="1" applyBorder="1"/>
    <xf numFmtId="165" fontId="4" fillId="0" borderId="3" xfId="0" applyNumberFormat="1" applyFont="1" applyFill="1" applyBorder="1"/>
    <xf numFmtId="174" fontId="4" fillId="0" borderId="3" xfId="0" applyNumberFormat="1" applyFont="1" applyFill="1" applyBorder="1"/>
    <xf numFmtId="10" fontId="4" fillId="0" borderId="3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64" fontId="5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1" fillId="0" borderId="0" xfId="0" applyNumberFormat="1" applyFont="1" applyFill="1" applyBorder="1"/>
    <xf numFmtId="165" fontId="5" fillId="0" borderId="2" xfId="0" applyNumberFormat="1" applyFont="1" applyFill="1" applyBorder="1"/>
    <xf numFmtId="165" fontId="1" fillId="0" borderId="0" xfId="0" applyNumberFormat="1" applyFont="1" applyFill="1" applyBorder="1"/>
    <xf numFmtId="0" fontId="0" fillId="0" borderId="0" xfId="0" quotePrefix="1" applyFill="1" applyBorder="1" applyAlignment="1">
      <alignment horizontal="left" indent="1"/>
    </xf>
    <xf numFmtId="165" fontId="1" fillId="0" borderId="0" xfId="0" applyNumberFormat="1" applyFont="1" applyFill="1" applyBorder="1"/>
    <xf numFmtId="0" fontId="0" fillId="0" borderId="0" xfId="0" applyFill="1" applyBorder="1" applyAlignment="1">
      <alignment horizontal="left" indent="2"/>
    </xf>
    <xf numFmtId="165" fontId="1" fillId="0" borderId="2" xfId="0" applyNumberFormat="1" applyFont="1" applyFill="1" applyBorder="1"/>
    <xf numFmtId="0" fontId="0" fillId="0" borderId="0" xfId="0" quotePrefix="1" applyFill="1" applyBorder="1" applyAlignment="1">
      <alignment horizontal="left" indent="3"/>
    </xf>
    <xf numFmtId="177" fontId="1" fillId="0" borderId="0" xfId="0" applyNumberFormat="1" applyFont="1" applyFill="1" applyBorder="1"/>
    <xf numFmtId="0" fontId="5" fillId="0" borderId="0" xfId="0" quotePrefix="1" applyFont="1" applyFill="1" applyBorder="1" applyAlignment="1">
      <alignment horizontal="left" indent="4"/>
    </xf>
    <xf numFmtId="165" fontId="5" fillId="0" borderId="3" xfId="0" applyNumberFormat="1" applyFont="1" applyFill="1" applyBorder="1"/>
    <xf numFmtId="0" fontId="1" fillId="0" borderId="0" xfId="0" applyFont="1" applyFill="1" applyBorder="1"/>
    <xf numFmtId="174" fontId="5" fillId="0" borderId="3" xfId="0" applyNumberFormat="1" applyFont="1" applyFill="1" applyBorder="1"/>
    <xf numFmtId="0" fontId="19" fillId="0" borderId="0" xfId="0" applyFont="1" applyFill="1" applyBorder="1"/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0" fontId="5" fillId="0" borderId="0" xfId="0" quotePrefix="1" applyFont="1" applyFill="1" applyBorder="1" applyAlignment="1">
      <alignment horizontal="left" indent="1"/>
    </xf>
    <xf numFmtId="0" fontId="3" fillId="0" borderId="0" xfId="0" applyFont="1"/>
    <xf numFmtId="0" fontId="0" fillId="0" borderId="0" xfId="0" quotePrefix="1" applyAlignment="1">
      <alignment horizontal="left"/>
    </xf>
    <xf numFmtId="165" fontId="0" fillId="0" borderId="0" xfId="0" applyNumberFormat="1"/>
    <xf numFmtId="0" fontId="1" fillId="0" borderId="13" xfId="0" applyFont="1" applyFill="1" applyBorder="1" applyAlignment="1">
      <alignment horizontal="centerContinuous"/>
    </xf>
    <xf numFmtId="0" fontId="1" fillId="0" borderId="14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7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16" xfId="0" applyFont="1" applyFill="1" applyBorder="1" applyAlignment="1">
      <alignment horizontal="center" wrapText="1"/>
    </xf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17" xfId="0" quotePrefix="1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quotePrefix="1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7" xfId="0" quotePrefix="1" applyFont="1" applyFill="1" applyBorder="1" applyAlignment="1">
      <alignment horizontal="center" vertical="top" wrapText="1"/>
    </xf>
    <xf numFmtId="10" fontId="1" fillId="0" borderId="17" xfId="0" applyNumberFormat="1" applyFont="1" applyFill="1" applyBorder="1"/>
    <xf numFmtId="175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/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0" fontId="1" fillId="0" borderId="19" xfId="0" applyFont="1" applyFill="1" applyBorder="1"/>
    <xf numFmtId="174" fontId="1" fillId="0" borderId="0" xfId="0" applyNumberFormat="1" applyFont="1" applyFill="1"/>
    <xf numFmtId="165" fontId="0" fillId="0" borderId="0" xfId="0" applyNumberFormat="1" applyFont="1" applyFill="1"/>
    <xf numFmtId="174" fontId="1" fillId="0" borderId="2" xfId="0" applyNumberFormat="1" applyFont="1" applyFill="1" applyBorder="1"/>
    <xf numFmtId="165" fontId="0" fillId="0" borderId="2" xfId="0" applyNumberFormat="1" applyFont="1" applyFill="1" applyBorder="1"/>
    <xf numFmtId="174" fontId="0" fillId="0" borderId="0" xfId="0" applyNumberFormat="1" applyFill="1"/>
    <xf numFmtId="174" fontId="1" fillId="0" borderId="3" xfId="0" applyNumberFormat="1" applyFont="1" applyFill="1" applyBorder="1"/>
    <xf numFmtId="165" fontId="0" fillId="0" borderId="3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174" fontId="1" fillId="0" borderId="0" xfId="0" applyNumberFormat="1" applyFont="1" applyFill="1" applyBorder="1"/>
    <xf numFmtId="5" fontId="2" fillId="0" borderId="0" xfId="0" applyNumberFormat="1" applyFont="1" applyFill="1" applyBorder="1" applyAlignment="1">
      <alignment horizontal="center"/>
    </xf>
    <xf numFmtId="5" fontId="2" fillId="0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74" fontId="0" fillId="0" borderId="0" xfId="0" applyNumberFormat="1" applyFont="1" applyAlignment="1">
      <alignment horizontal="center"/>
    </xf>
    <xf numFmtId="174" fontId="0" fillId="0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42" fontId="0" fillId="0" borderId="0" xfId="0" applyNumberFormat="1" applyAlignment="1">
      <alignment horizontal="center"/>
    </xf>
    <xf numFmtId="42" fontId="0" fillId="0" borderId="0" xfId="0" applyNumberFormat="1" applyFill="1" applyAlignment="1">
      <alignment horizontal="center"/>
    </xf>
    <xf numFmtId="165" fontId="1" fillId="0" borderId="0" xfId="0" applyNumberFormat="1" applyFont="1" applyFill="1" applyBorder="1"/>
    <xf numFmtId="10" fontId="1" fillId="0" borderId="17" xfId="0" applyNumberFormat="1" applyFont="1" applyFill="1" applyBorder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Fill="1" applyAlignment="1">
      <alignment horizontal="center"/>
    </xf>
    <xf numFmtId="42" fontId="3" fillId="0" borderId="0" xfId="0" applyNumberFormat="1" applyFont="1"/>
    <xf numFmtId="165" fontId="3" fillId="0" borderId="0" xfId="0" applyNumberFormat="1" applyFont="1"/>
    <xf numFmtId="17" fontId="1" fillId="0" borderId="0" xfId="0" quotePrefix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ont="1"/>
    <xf numFmtId="174" fontId="0" fillId="0" borderId="0" xfId="0" applyNumberFormat="1" applyFont="1" applyFill="1"/>
    <xf numFmtId="0" fontId="15" fillId="0" borderId="0" xfId="0" applyFont="1"/>
    <xf numFmtId="0" fontId="12" fillId="0" borderId="0" xfId="0" applyFont="1" applyFill="1"/>
    <xf numFmtId="5" fontId="12" fillId="0" borderId="0" xfId="0" applyNumberFormat="1" applyFont="1" applyFill="1"/>
    <xf numFmtId="0" fontId="4" fillId="0" borderId="0" xfId="0" applyFont="1" applyFill="1"/>
    <xf numFmtId="169" fontId="12" fillId="0" borderId="1" xfId="0" applyNumberFormat="1" applyFont="1" applyFill="1" applyBorder="1" applyProtection="1"/>
    <xf numFmtId="0" fontId="12" fillId="0" borderId="1" xfId="0" applyFont="1" applyFill="1" applyBorder="1"/>
    <xf numFmtId="7" fontId="12" fillId="0" borderId="1" xfId="0" applyNumberFormat="1" applyFont="1" applyFill="1" applyBorder="1" applyProtection="1"/>
    <xf numFmtId="37" fontId="12" fillId="0" borderId="1" xfId="0" applyNumberFormat="1" applyFont="1" applyFill="1" applyBorder="1" applyProtection="1"/>
    <xf numFmtId="10" fontId="12" fillId="0" borderId="0" xfId="0" applyNumberFormat="1" applyFont="1" applyFill="1" applyProtection="1"/>
    <xf numFmtId="7" fontId="12" fillId="0" borderId="0" xfId="0" applyNumberFormat="1" applyFont="1" applyFill="1"/>
    <xf numFmtId="7" fontId="12" fillId="0" borderId="0" xfId="0" applyNumberFormat="1" applyFont="1" applyFill="1"/>
    <xf numFmtId="10" fontId="12" fillId="0" borderId="0" xfId="0" applyNumberFormat="1" applyFont="1" applyFill="1"/>
    <xf numFmtId="37" fontId="12" fillId="0" borderId="0" xfId="0" applyNumberFormat="1" applyFont="1" applyFill="1" applyProtection="1"/>
    <xf numFmtId="10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7" fontId="12" fillId="0" borderId="0" xfId="0" applyNumberFormat="1" applyFont="1" applyFill="1" applyProtection="1"/>
    <xf numFmtId="174" fontId="12" fillId="0" borderId="0" xfId="0" applyNumberFormat="1" applyFont="1" applyFill="1"/>
    <xf numFmtId="0" fontId="22" fillId="0" borderId="0" xfId="0" quotePrefix="1" applyFont="1" applyFill="1" applyAlignment="1">
      <alignment horizontal="left"/>
    </xf>
    <xf numFmtId="174" fontId="22" fillId="0" borderId="0" xfId="0" applyNumberFormat="1" applyFont="1" applyFill="1"/>
    <xf numFmtId="169" fontId="12" fillId="0" borderId="0" xfId="0" applyNumberFormat="1" applyFont="1" applyFill="1" applyProtection="1"/>
    <xf numFmtId="0" fontId="22" fillId="0" borderId="0" xfId="0" applyFont="1" applyFill="1"/>
    <xf numFmtId="179" fontId="22" fillId="0" borderId="0" xfId="0" applyNumberFormat="1" applyFont="1" applyFill="1"/>
    <xf numFmtId="44" fontId="23" fillId="0" borderId="19" xfId="0" applyNumberFormat="1" applyFont="1" applyFill="1" applyBorder="1"/>
    <xf numFmtId="0" fontId="22" fillId="0" borderId="4" xfId="0" applyFont="1" applyFill="1" applyBorder="1"/>
    <xf numFmtId="44" fontId="23" fillId="0" borderId="4" xfId="0" applyNumberFormat="1" applyFont="1" applyFill="1" applyBorder="1"/>
    <xf numFmtId="0" fontId="22" fillId="0" borderId="18" xfId="0" quotePrefix="1" applyFont="1" applyFill="1" applyBorder="1" applyAlignment="1">
      <alignment horizontal="left"/>
    </xf>
    <xf numFmtId="166" fontId="12" fillId="0" borderId="0" xfId="0" applyNumberFormat="1" applyFont="1" applyFill="1"/>
    <xf numFmtId="0" fontId="12" fillId="0" borderId="0" xfId="0" applyFont="1" applyFill="1" applyBorder="1"/>
    <xf numFmtId="174" fontId="23" fillId="0" borderId="17" xfId="0" applyNumberFormat="1" applyFont="1" applyFill="1" applyBorder="1"/>
    <xf numFmtId="0" fontId="22" fillId="0" borderId="0" xfId="0" applyFont="1" applyFill="1" applyBorder="1"/>
    <xf numFmtId="174" fontId="23" fillId="0" borderId="0" xfId="0" applyNumberFormat="1" applyFont="1" applyFill="1" applyBorder="1"/>
    <xf numFmtId="0" fontId="22" fillId="0" borderId="16" xfId="0" quotePrefix="1" applyFont="1" applyFill="1" applyBorder="1" applyAlignment="1">
      <alignment horizontal="left"/>
    </xf>
    <xf numFmtId="43" fontId="12" fillId="0" borderId="0" xfId="0" applyNumberFormat="1" applyFont="1" applyFill="1"/>
    <xf numFmtId="44" fontId="23" fillId="0" borderId="17" xfId="0" applyNumberFormat="1" applyFont="1" applyFill="1" applyBorder="1"/>
    <xf numFmtId="44" fontId="23" fillId="0" borderId="0" xfId="0" applyNumberFormat="1" applyFont="1" applyFill="1" applyBorder="1"/>
    <xf numFmtId="0" fontId="24" fillId="0" borderId="15" xfId="0" applyFont="1" applyFill="1" applyBorder="1" applyAlignment="1">
      <alignment horizontal="right"/>
    </xf>
    <xf numFmtId="0" fontId="24" fillId="0" borderId="14" xfId="0" quotePrefix="1" applyFont="1" applyFill="1" applyBorder="1" applyAlignment="1">
      <alignment horizontal="left"/>
    </xf>
    <xf numFmtId="0" fontId="24" fillId="0" borderId="14" xfId="0" applyFont="1" applyFill="1" applyBorder="1" applyAlignment="1">
      <alignment horizontal="right"/>
    </xf>
    <xf numFmtId="0" fontId="22" fillId="0" borderId="13" xfId="0" quotePrefix="1" applyFont="1" applyFill="1" applyBorder="1" applyAlignment="1">
      <alignment horizontal="left"/>
    </xf>
    <xf numFmtId="0" fontId="12" fillId="0" borderId="7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5" fillId="0" borderId="0" xfId="0" applyFont="1" applyFill="1"/>
    <xf numFmtId="0" fontId="12" fillId="0" borderId="7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Continuous"/>
    </xf>
    <xf numFmtId="44" fontId="12" fillId="0" borderId="0" xfId="0" applyNumberFormat="1" applyFont="1" applyFill="1"/>
    <xf numFmtId="0" fontId="12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80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12" fillId="0" borderId="0" xfId="0" applyNumberFormat="1" applyFont="1" applyFill="1"/>
    <xf numFmtId="0" fontId="22" fillId="0" borderId="19" xfId="0" applyFont="1" applyFill="1" applyBorder="1"/>
    <xf numFmtId="0" fontId="22" fillId="0" borderId="18" xfId="0" applyFont="1" applyFill="1" applyBorder="1"/>
    <xf numFmtId="0" fontId="12" fillId="0" borderId="16" xfId="0" applyFont="1" applyFill="1" applyBorder="1"/>
    <xf numFmtId="0" fontId="12" fillId="0" borderId="16" xfId="0" quotePrefix="1" applyFont="1" applyFill="1" applyBorder="1" applyAlignment="1">
      <alignment horizontal="left"/>
    </xf>
    <xf numFmtId="7" fontId="23" fillId="0" borderId="17" xfId="0" applyNumberFormat="1" applyFont="1" applyFill="1" applyBorder="1"/>
    <xf numFmtId="7" fontId="23" fillId="0" borderId="0" xfId="0" applyNumberFormat="1" applyFont="1" applyFill="1" applyBorder="1"/>
    <xf numFmtId="0" fontId="23" fillId="0" borderId="0" xfId="0" applyFont="1" applyFill="1" applyBorder="1"/>
    <xf numFmtId="0" fontId="12" fillId="0" borderId="17" xfId="0" quotePrefix="1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28" fillId="0" borderId="0" xfId="0" applyFont="1" applyFill="1" applyProtection="1"/>
    <xf numFmtId="0" fontId="2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7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Continuous"/>
    </xf>
    <xf numFmtId="0" fontId="30" fillId="0" borderId="0" xfId="0" applyFont="1" applyFill="1" applyAlignment="1">
      <alignment horizontal="centerContinuous"/>
    </xf>
    <xf numFmtId="0" fontId="30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178" fontId="23" fillId="0" borderId="17" xfId="0" applyNumberFormat="1" applyFont="1" applyFill="1" applyBorder="1"/>
    <xf numFmtId="44" fontId="23" fillId="0" borderId="17" xfId="0" applyNumberFormat="1" applyFont="1" applyFill="1" applyBorder="1"/>
    <xf numFmtId="0" fontId="2" fillId="0" borderId="1" xfId="0" quotePrefix="1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/>
    <xf numFmtId="0" fontId="6" fillId="0" borderId="0" xfId="0" applyFont="1" applyFill="1" applyAlignment="1" applyProtection="1">
      <alignment horizontal="centerContinuous"/>
    </xf>
    <xf numFmtId="178" fontId="12" fillId="0" borderId="0" xfId="0" applyNumberFormat="1" applyFont="1" applyFill="1"/>
    <xf numFmtId="5" fontId="12" fillId="0" borderId="0" xfId="0" applyNumberFormat="1" applyFont="1" applyFill="1" applyProtection="1"/>
    <xf numFmtId="0" fontId="33" fillId="0" borderId="0" xfId="0" applyFont="1" applyFill="1"/>
    <xf numFmtId="0" fontId="33" fillId="0" borderId="0" xfId="0" applyFont="1" applyFill="1" applyBorder="1"/>
    <xf numFmtId="0" fontId="33" fillId="0" borderId="0" xfId="0" applyFont="1" applyFill="1" applyAlignment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horizontal="centerContinuous"/>
    </xf>
    <xf numFmtId="10" fontId="12" fillId="0" borderId="0" xfId="0" applyNumberFormat="1" applyFont="1" applyFill="1"/>
    <xf numFmtId="0" fontId="12" fillId="0" borderId="0" xfId="0" quotePrefix="1" applyFont="1" applyFill="1" applyAlignment="1">
      <alignment horizontal="right"/>
    </xf>
    <xf numFmtId="168" fontId="22" fillId="0" borderId="19" xfId="0" applyNumberFormat="1" applyFont="1" applyFill="1" applyBorder="1"/>
    <xf numFmtId="168" fontId="22" fillId="0" borderId="4" xfId="0" applyNumberFormat="1" applyFont="1" applyFill="1" applyBorder="1"/>
    <xf numFmtId="0" fontId="12" fillId="0" borderId="18" xfId="0" applyFont="1" applyFill="1" applyBorder="1"/>
    <xf numFmtId="0" fontId="12" fillId="0" borderId="17" xfId="0" applyFont="1" applyFill="1" applyBorder="1"/>
    <xf numFmtId="0" fontId="12" fillId="0" borderId="14" xfId="0" applyFont="1" applyFill="1" applyBorder="1"/>
    <xf numFmtId="0" fontId="12" fillId="0" borderId="14" xfId="0" applyFont="1" applyFill="1" applyBorder="1" applyAlignment="1"/>
    <xf numFmtId="0" fontId="12" fillId="0" borderId="13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Continuous"/>
    </xf>
    <xf numFmtId="0" fontId="12" fillId="0" borderId="0" xfId="0" quotePrefix="1" applyFont="1" applyFill="1" applyAlignment="1">
      <alignment horizontal="center"/>
    </xf>
    <xf numFmtId="0" fontId="12" fillId="0" borderId="0" xfId="0" quotePrefix="1" applyFont="1" applyFill="1" applyAlignment="1" applyProtection="1">
      <alignment horizontal="center"/>
    </xf>
    <xf numFmtId="0" fontId="34" fillId="0" borderId="0" xfId="0" applyFont="1" applyFill="1" applyAlignment="1">
      <alignment horizontal="centerContinuous"/>
    </xf>
    <xf numFmtId="0" fontId="1" fillId="0" borderId="13" xfId="0" applyFont="1" applyBorder="1"/>
    <xf numFmtId="0" fontId="1" fillId="0" borderId="14" xfId="0" applyFont="1" applyBorder="1" applyAlignment="1">
      <alignment horizontal="centerContinuous"/>
    </xf>
    <xf numFmtId="164" fontId="1" fillId="0" borderId="14" xfId="0" applyNumberFormat="1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16" xfId="0" applyFont="1" applyBorder="1"/>
    <xf numFmtId="0" fontId="1" fillId="0" borderId="0" xfId="0" applyFont="1" applyBorder="1" applyAlignment="1">
      <alignment horizontal="centerContinuous"/>
    </xf>
    <xf numFmtId="164" fontId="1" fillId="0" borderId="0" xfId="0" applyNumberFormat="1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17" xfId="0" applyFont="1" applyBorder="1"/>
    <xf numFmtId="0" fontId="1" fillId="0" borderId="2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quotePrefix="1" applyNumberFormat="1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wrapText="1"/>
    </xf>
    <xf numFmtId="0" fontId="1" fillId="0" borderId="22" xfId="0" quotePrefix="1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1" fillId="0" borderId="0" xfId="0" quotePrefix="1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/>
    <xf numFmtId="174" fontId="1" fillId="0" borderId="0" xfId="0" applyNumberFormat="1" applyFont="1" applyBorder="1"/>
    <xf numFmtId="0" fontId="1" fillId="0" borderId="0" xfId="0" quotePrefix="1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0" xfId="0" quotePrefix="1" applyFont="1" applyBorder="1" applyAlignment="1">
      <alignment horizontal="left"/>
    </xf>
    <xf numFmtId="0" fontId="1" fillId="0" borderId="1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176" fontId="1" fillId="0" borderId="4" xfId="0" applyNumberFormat="1" applyFont="1" applyBorder="1"/>
    <xf numFmtId="0" fontId="1" fillId="0" borderId="19" xfId="0" applyFont="1" applyBorder="1"/>
    <xf numFmtId="0" fontId="22" fillId="2" borderId="0" xfId="0" quotePrefix="1" applyFont="1" applyFill="1" applyAlignment="1">
      <alignment horizontal="left"/>
    </xf>
    <xf numFmtId="174" fontId="22" fillId="2" borderId="0" xfId="0" applyNumberFormat="1" applyFont="1" applyFill="1"/>
    <xf numFmtId="0" fontId="12" fillId="2" borderId="0" xfId="0" applyFont="1" applyFill="1"/>
    <xf numFmtId="0" fontId="22" fillId="2" borderId="0" xfId="0" applyFont="1" applyFill="1"/>
    <xf numFmtId="174" fontId="12" fillId="0" borderId="0" xfId="0" applyNumberFormat="1" applyFont="1" applyFill="1"/>
    <xf numFmtId="174" fontId="12" fillId="2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/>
    <xf numFmtId="44" fontId="12" fillId="2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6" fontId="8" fillId="0" borderId="0" xfId="0" applyNumberFormat="1" applyFont="1" applyFill="1" applyProtection="1">
      <protection locked="0"/>
    </xf>
    <xf numFmtId="166" fontId="8" fillId="0" borderId="2" xfId="0" applyNumberFormat="1" applyFont="1" applyFill="1" applyBorder="1" applyProtection="1">
      <protection locked="0"/>
    </xf>
    <xf numFmtId="165" fontId="8" fillId="0" borderId="2" xfId="0" applyNumberFormat="1" applyFont="1" applyFill="1" applyBorder="1" applyProtection="1">
      <protection locked="0"/>
    </xf>
    <xf numFmtId="166" fontId="8" fillId="0" borderId="12" xfId="0" applyNumberFormat="1" applyFont="1" applyFill="1" applyBorder="1" applyProtection="1">
      <protection locked="0"/>
    </xf>
    <xf numFmtId="167" fontId="0" fillId="0" borderId="12" xfId="0" applyNumberFormat="1" applyFill="1" applyBorder="1" applyProtection="1"/>
    <xf numFmtId="10" fontId="5" fillId="0" borderId="3" xfId="0" applyNumberFormat="1" applyFont="1" applyFill="1" applyBorder="1"/>
    <xf numFmtId="0" fontId="0" fillId="0" borderId="13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12" fillId="0" borderId="0" xfId="0" quotePrefix="1" applyFont="1" applyFill="1" applyAlignment="1">
      <alignment horizontal="left"/>
    </xf>
    <xf numFmtId="170" fontId="1" fillId="0" borderId="0" xfId="0" applyNumberFormat="1" applyFont="1"/>
    <xf numFmtId="170" fontId="0" fillId="0" borderId="0" xfId="0" applyNumberFormat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ont="1" applyFill="1"/>
    <xf numFmtId="0" fontId="0" fillId="0" borderId="0" xfId="0" quotePrefix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0" fontId="1" fillId="0" borderId="17" xfId="0" applyNumberFormat="1" applyFont="1" applyBorder="1" applyAlignment="1">
      <alignment horizontal="right"/>
    </xf>
    <xf numFmtId="165" fontId="0" fillId="0" borderId="0" xfId="0" applyNumberFormat="1" applyFill="1"/>
    <xf numFmtId="0" fontId="1" fillId="0" borderId="0" xfId="1" quotePrefix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 wrapText="1"/>
    </xf>
    <xf numFmtId="0" fontId="1" fillId="0" borderId="0" xfId="1" quotePrefix="1" applyFont="1" applyFill="1" applyAlignment="1">
      <alignment horizontal="center" wrapText="1"/>
    </xf>
    <xf numFmtId="0" fontId="1" fillId="0" borderId="1" xfId="1" quotePrefix="1" applyFont="1" applyFill="1" applyBorder="1" applyAlignment="1">
      <alignment horizontal="center" wrapText="1"/>
    </xf>
    <xf numFmtId="17" fontId="1" fillId="0" borderId="1" xfId="1" quotePrefix="1" applyNumberFormat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0" xfId="1" quotePrefix="1" applyFont="1" applyFill="1" applyBorder="1" applyAlignment="1">
      <alignment horizontal="center" wrapText="1"/>
    </xf>
    <xf numFmtId="17" fontId="1" fillId="0" borderId="0" xfId="1" quotePrefix="1" applyNumberFormat="1" applyFont="1" applyFill="1" applyBorder="1" applyAlignment="1">
      <alignment horizontal="center" wrapText="1"/>
    </xf>
    <xf numFmtId="164" fontId="39" fillId="0" borderId="0" xfId="1" applyNumberFormat="1" applyFont="1" applyFill="1"/>
    <xf numFmtId="164" fontId="38" fillId="0" borderId="0" xfId="1" applyNumberFormat="1" applyFont="1" applyFill="1"/>
    <xf numFmtId="165" fontId="39" fillId="0" borderId="0" xfId="1" applyNumberFormat="1" applyFont="1" applyFill="1"/>
    <xf numFmtId="174" fontId="39" fillId="0" borderId="0" xfId="1" applyNumberFormat="1" applyFont="1" applyFill="1" applyBorder="1"/>
    <xf numFmtId="174" fontId="18" fillId="0" borderId="0" xfId="1" applyNumberFormat="1" applyFont="1" applyFill="1" applyBorder="1"/>
    <xf numFmtId="165" fontId="38" fillId="0" borderId="0" xfId="1" applyNumberFormat="1" applyFont="1" applyFill="1"/>
    <xf numFmtId="164" fontId="38" fillId="0" borderId="2" xfId="1" applyNumberFormat="1" applyFont="1" applyFill="1" applyBorder="1"/>
    <xf numFmtId="165" fontId="38" fillId="0" borderId="2" xfId="1" applyNumberFormat="1" applyFont="1" applyFill="1" applyBorder="1"/>
    <xf numFmtId="174" fontId="1" fillId="0" borderId="0" xfId="1" applyNumberFormat="1" applyFont="1" applyFill="1" applyBorder="1"/>
    <xf numFmtId="0" fontId="1" fillId="0" borderId="0" xfId="1" applyFont="1" applyFill="1" applyBorder="1"/>
    <xf numFmtId="44" fontId="39" fillId="0" borderId="0" xfId="1" applyNumberFormat="1" applyFont="1" applyFill="1" applyBorder="1"/>
    <xf numFmtId="44" fontId="18" fillId="0" borderId="0" xfId="1" applyNumberFormat="1" applyFont="1" applyFill="1" applyBorder="1"/>
    <xf numFmtId="0" fontId="1" fillId="0" borderId="0" xfId="1" quotePrefix="1" applyFont="1" applyFill="1" applyAlignment="1">
      <alignment horizontal="left"/>
    </xf>
    <xf numFmtId="0" fontId="39" fillId="0" borderId="0" xfId="1" applyFont="1" applyFill="1"/>
    <xf numFmtId="164" fontId="39" fillId="0" borderId="2" xfId="1" applyNumberFormat="1" applyFont="1" applyFill="1" applyBorder="1"/>
    <xf numFmtId="174" fontId="1" fillId="0" borderId="0" xfId="1" applyNumberFormat="1" applyFont="1" applyFill="1"/>
    <xf numFmtId="164" fontId="38" fillId="0" borderId="3" xfId="1" applyNumberFormat="1" applyFont="1" applyFill="1" applyBorder="1"/>
    <xf numFmtId="165" fontId="38" fillId="0" borderId="3" xfId="1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1" fillId="0" borderId="4" xfId="0" quotePrefix="1" applyNumberFormat="1" applyFont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19" xfId="0" quotePrefix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7" xfId="0" applyBorder="1"/>
    <xf numFmtId="0" fontId="0" fillId="0" borderId="0" xfId="0" applyBorder="1" applyAlignment="1">
      <alignment horizontal="left"/>
    </xf>
    <xf numFmtId="174" fontId="0" fillId="0" borderId="0" xfId="0" applyNumberFormat="1" applyFont="1" applyBorder="1"/>
    <xf numFmtId="10" fontId="0" fillId="0" borderId="17" xfId="0" applyNumberFormat="1" applyBorder="1"/>
    <xf numFmtId="175" fontId="0" fillId="0" borderId="0" xfId="0" applyNumberFormat="1" applyBorder="1"/>
    <xf numFmtId="0" fontId="0" fillId="0" borderId="0" xfId="0" quotePrefix="1" applyBorder="1" applyAlignment="1">
      <alignment horizontal="left" indent="1"/>
    </xf>
    <xf numFmtId="16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165" fontId="1" fillId="0" borderId="4" xfId="0" applyNumberFormat="1" applyFont="1" applyBorder="1"/>
    <xf numFmtId="170" fontId="0" fillId="0" borderId="19" xfId="0" applyNumberFormat="1" applyBorder="1"/>
    <xf numFmtId="0" fontId="19" fillId="0" borderId="0" xfId="0" quotePrefix="1" applyFont="1" applyAlignment="1">
      <alignment horizontal="center" wrapText="1"/>
    </xf>
    <xf numFmtId="0" fontId="4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164" fontId="0" fillId="0" borderId="0" xfId="2" applyNumberFormat="1" applyFont="1" applyFill="1"/>
    <xf numFmtId="164" fontId="0" fillId="0" borderId="2" xfId="2" applyNumberFormat="1" applyFont="1" applyFill="1" applyBorder="1"/>
    <xf numFmtId="164" fontId="0" fillId="0" borderId="3" xfId="2" applyNumberFormat="1" applyFont="1" applyFill="1" applyBorder="1"/>
    <xf numFmtId="166" fontId="0" fillId="0" borderId="0" xfId="3" applyNumberFormat="1" applyFont="1" applyFill="1"/>
    <xf numFmtId="166" fontId="0" fillId="0" borderId="2" xfId="3" applyNumberFormat="1" applyFont="1" applyFill="1" applyBorder="1"/>
    <xf numFmtId="166" fontId="0" fillId="0" borderId="3" xfId="3" applyNumberFormat="1" applyFont="1" applyFill="1" applyBorder="1"/>
    <xf numFmtId="166" fontId="0" fillId="0" borderId="0" xfId="3" applyNumberFormat="1" applyFont="1" applyFill="1" applyBorder="1"/>
    <xf numFmtId="0" fontId="4" fillId="0" borderId="0" xfId="0" quotePrefix="1" applyFont="1" applyFill="1" applyBorder="1" applyAlignment="1"/>
    <xf numFmtId="0" fontId="22" fillId="3" borderId="0" xfId="0" quotePrefix="1" applyFont="1" applyFill="1" applyAlignment="1">
      <alignment horizontal="left"/>
    </xf>
    <xf numFmtId="44" fontId="12" fillId="3" borderId="0" xfId="0" applyNumberFormat="1" applyFont="1" applyFill="1"/>
    <xf numFmtId="0" fontId="12" fillId="3" borderId="0" xfId="0" applyFont="1" applyFill="1"/>
    <xf numFmtId="174" fontId="12" fillId="3" borderId="0" xfId="0" applyNumberFormat="1" applyFont="1" applyFill="1"/>
    <xf numFmtId="178" fontId="12" fillId="3" borderId="0" xfId="0" applyNumberFormat="1" applyFont="1" applyFill="1"/>
    <xf numFmtId="174" fontId="12" fillId="0" borderId="0" xfId="4" applyNumberFormat="1" applyFont="1" applyFill="1"/>
    <xf numFmtId="174" fontId="22" fillId="0" borderId="0" xfId="4" applyNumberFormat="1" applyFont="1" applyFill="1"/>
    <xf numFmtId="0" fontId="1" fillId="0" borderId="2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7" fontId="1" fillId="0" borderId="10" xfId="0" quotePrefix="1" applyNumberFormat="1" applyFont="1" applyFill="1" applyBorder="1" applyAlignment="1">
      <alignment horizontal="center" wrapText="1"/>
    </xf>
    <xf numFmtId="17" fontId="1" fillId="0" borderId="6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1" xfId="0" quotePrefix="1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quotePrefix="1" applyFont="1" applyFill="1" applyAlignment="1">
      <alignment horizontal="center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quotePrefix="1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center"/>
    </xf>
    <xf numFmtId="0" fontId="33" fillId="0" borderId="0" xfId="0" quotePrefix="1" applyFont="1" applyFill="1" applyBorder="1" applyAlignment="1">
      <alignment horizontal="center"/>
    </xf>
    <xf numFmtId="181" fontId="0" fillId="0" borderId="0" xfId="0" applyNumberFormat="1" applyFont="1" applyFill="1"/>
    <xf numFmtId="181" fontId="0" fillId="0" borderId="2" xfId="0" applyNumberFormat="1" applyFont="1" applyFill="1" applyBorder="1"/>
    <xf numFmtId="181" fontId="0" fillId="0" borderId="3" xfId="0" applyNumberFormat="1" applyFont="1" applyFill="1" applyBorder="1"/>
    <xf numFmtId="181" fontId="0" fillId="0" borderId="0" xfId="0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quotePrefix="1" applyFont="1" applyFill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12" fillId="0" borderId="13" xfId="0" quotePrefix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2" fillId="0" borderId="7" xfId="0" quotePrefix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quotePrefix="1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quotePrefix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</cellXfs>
  <cellStyles count="5">
    <cellStyle name="Comma" xfId="2" builtinId="3"/>
    <cellStyle name="Currency" xfId="4" builtinId="4"/>
    <cellStyle name="Normal" xfId="0" builtinId="0"/>
    <cellStyle name="Normal 11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Rate-Spread-Design-TYJun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Annualized-Monthly-Revenue-TYJun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(JAP4)-Tariff Summary"/>
      <sheetName val="(JAP4)-Light Tariff Summary"/>
      <sheetName val="Rate Spread-Design====&gt;"/>
      <sheetName val="(JAP4) Rate Spread"/>
      <sheetName val="(JAP4) Rate Des Summary"/>
      <sheetName val="(JAP4) Proposed ERF Rev"/>
      <sheetName val="(JAP4) Res RD"/>
      <sheetName val="(JAP4) SecVolt RD"/>
      <sheetName val="(JAP4) PriVolt RD"/>
      <sheetName val="(JAP4) CAMP RD"/>
      <sheetName val="(JAP4) HighVolt RD"/>
      <sheetName val="(JAP4) TRANSP RD"/>
      <sheetName val="(JAP4) LIGHT Sum"/>
      <sheetName val="(JAP4) LIGHT RD"/>
    </sheetNames>
    <sheetDataSet>
      <sheetData sheetId="0"/>
      <sheetData sheetId="1">
        <row r="8">
          <cell r="D8">
            <v>7.49</v>
          </cell>
          <cell r="F8">
            <v>0</v>
          </cell>
        </row>
        <row r="11">
          <cell r="D11">
            <v>8.7335999999999997E-2</v>
          </cell>
          <cell r="F11">
            <v>1.0360000000000091E-3</v>
          </cell>
        </row>
        <row r="12">
          <cell r="D12">
            <v>0.106297</v>
          </cell>
          <cell r="F12">
            <v>1.2609999999999982E-3</v>
          </cell>
        </row>
        <row r="15">
          <cell r="D15">
            <v>9.8000000000000007</v>
          </cell>
          <cell r="F15">
            <v>8.0000000000000071E-2</v>
          </cell>
        </row>
        <row r="16">
          <cell r="D16">
            <v>24.9</v>
          </cell>
          <cell r="F16">
            <v>0.20000000000000284</v>
          </cell>
        </row>
        <row r="18">
          <cell r="D18">
            <v>9.071499999999999E-2</v>
          </cell>
          <cell r="F18">
            <v>7.3000000000000842E-4</v>
          </cell>
        </row>
        <row r="19">
          <cell r="D19">
            <v>8.7578000000000003E-2</v>
          </cell>
          <cell r="F19">
            <v>7.1499999999999342E-4</v>
          </cell>
        </row>
        <row r="22">
          <cell r="D22">
            <v>52.3</v>
          </cell>
          <cell r="F22">
            <v>0.37000000000000455</v>
          </cell>
        </row>
        <row r="24">
          <cell r="D24">
            <v>9.0753E-2</v>
          </cell>
          <cell r="F24">
            <v>6.8100000000000105E-4</v>
          </cell>
        </row>
        <row r="25">
          <cell r="D25">
            <v>8.2225999999999994E-2</v>
          </cell>
          <cell r="F25">
            <v>4.6400000000000607E-4</v>
          </cell>
        </row>
        <row r="26">
          <cell r="D26">
            <v>6.4072000000000004E-2</v>
          </cell>
          <cell r="F26">
            <v>0</v>
          </cell>
        </row>
        <row r="28">
          <cell r="D28">
            <v>0</v>
          </cell>
        </row>
        <row r="29">
          <cell r="D29">
            <v>9.42</v>
          </cell>
          <cell r="F29">
            <v>0.24000000000000021</v>
          </cell>
        </row>
        <row r="30">
          <cell r="D30">
            <v>6.29</v>
          </cell>
          <cell r="F30">
            <v>0.16000000000000014</v>
          </cell>
        </row>
        <row r="32">
          <cell r="D32">
            <v>2.96E-3</v>
          </cell>
          <cell r="F32">
            <v>8.000000000000021E-5</v>
          </cell>
        </row>
        <row r="35">
          <cell r="D35">
            <v>105.74</v>
          </cell>
          <cell r="F35">
            <v>0.75</v>
          </cell>
        </row>
        <row r="37">
          <cell r="D37">
            <v>5.7180999999999996E-2</v>
          </cell>
          <cell r="F37">
            <v>3.7700000000000927E-4</v>
          </cell>
        </row>
        <row r="39">
          <cell r="D39">
            <v>11.91</v>
          </cell>
          <cell r="F39">
            <v>8.0000000000000071E-2</v>
          </cell>
        </row>
        <row r="40">
          <cell r="D40">
            <v>7.94</v>
          </cell>
          <cell r="F40">
            <v>4.9999999999999822E-2</v>
          </cell>
        </row>
        <row r="42">
          <cell r="D42">
            <v>1.2600000000000001E-3</v>
          </cell>
          <cell r="F42">
            <v>1.0000000000000026E-5</v>
          </cell>
        </row>
        <row r="55">
          <cell r="D55">
            <v>9.68</v>
          </cell>
          <cell r="F55">
            <v>7.0000000000000284E-2</v>
          </cell>
        </row>
        <row r="56">
          <cell r="D56">
            <v>24.58</v>
          </cell>
          <cell r="F56">
            <v>0.17000000000000171</v>
          </cell>
        </row>
        <row r="58">
          <cell r="D58">
            <v>9.0677999999999995E-2</v>
          </cell>
          <cell r="F58">
            <v>6.4100000000000268E-4</v>
          </cell>
        </row>
        <row r="59">
          <cell r="D59">
            <v>6.8867999999999999E-2</v>
          </cell>
          <cell r="F59">
            <v>4.8700000000000132E-4</v>
          </cell>
        </row>
        <row r="60">
          <cell r="D60">
            <v>6.2835000000000002E-2</v>
          </cell>
          <cell r="F60">
            <v>4.4399999999999995E-4</v>
          </cell>
        </row>
        <row r="61">
          <cell r="D61">
            <v>5.3838999999999998E-2</v>
          </cell>
          <cell r="F61">
            <v>3.8099999999999939E-4</v>
          </cell>
        </row>
        <row r="63">
          <cell r="E63">
            <v>0</v>
          </cell>
        </row>
        <row r="64">
          <cell r="D64">
            <v>8.94</v>
          </cell>
          <cell r="F64">
            <v>6.0000000000000497E-2</v>
          </cell>
        </row>
        <row r="65">
          <cell r="D65">
            <v>4.4000000000000004</v>
          </cell>
          <cell r="F65">
            <v>2.9999999999999361E-2</v>
          </cell>
        </row>
        <row r="67">
          <cell r="D67">
            <v>2.8400000000000001E-3</v>
          </cell>
          <cell r="F67">
            <v>2.0000000000000052E-5</v>
          </cell>
        </row>
        <row r="70">
          <cell r="D70">
            <v>343.66</v>
          </cell>
          <cell r="F70">
            <v>2.42999999999995</v>
          </cell>
        </row>
        <row r="72">
          <cell r="D72">
            <v>5.5014E-2</v>
          </cell>
          <cell r="F72">
            <v>3.9399999999999852E-4</v>
          </cell>
        </row>
        <row r="74">
          <cell r="D74">
            <v>11.46</v>
          </cell>
          <cell r="F74">
            <v>7.9999999999998295E-2</v>
          </cell>
        </row>
        <row r="75">
          <cell r="D75">
            <v>7.64</v>
          </cell>
          <cell r="F75">
            <v>5.0000000000000711E-2</v>
          </cell>
        </row>
        <row r="77">
          <cell r="D77">
            <v>1.07E-3</v>
          </cell>
          <cell r="F77">
            <v>1.0000000000000026E-5</v>
          </cell>
        </row>
        <row r="153">
          <cell r="D153">
            <v>5.0738999999999999E-2</v>
          </cell>
          <cell r="F153">
            <v>3.5600000000000215E-4</v>
          </cell>
        </row>
        <row r="155">
          <cell r="D155">
            <v>2.95</v>
          </cell>
          <cell r="F155">
            <v>2.0000000000000018E-2</v>
          </cell>
        </row>
        <row r="161">
          <cell r="D161">
            <v>5.0738999999999999E-2</v>
          </cell>
          <cell r="F161">
            <v>3.5600000000000215E-4</v>
          </cell>
        </row>
        <row r="163">
          <cell r="D163">
            <v>5.48</v>
          </cell>
          <cell r="F163">
            <v>3.9999999999999147E-2</v>
          </cell>
        </row>
      </sheetData>
      <sheetData sheetId="2"/>
      <sheetData sheetId="3"/>
      <sheetData sheetId="4">
        <row r="8">
          <cell r="J8">
            <v>12064.376539311266</v>
          </cell>
        </row>
        <row r="14">
          <cell r="J14">
            <v>5196.2097314443436</v>
          </cell>
        </row>
        <row r="20">
          <cell r="J20">
            <v>878.77221748529428</v>
          </cell>
        </row>
        <row r="22">
          <cell r="J22">
            <v>232.32699999999318</v>
          </cell>
        </row>
        <row r="24">
          <cell r="J24">
            <v>293.11932273054629</v>
          </cell>
        </row>
        <row r="26">
          <cell r="J26">
            <v>5.2880000000000003</v>
          </cell>
        </row>
        <row r="28">
          <cell r="J28">
            <v>180.45918210502231</v>
          </cell>
        </row>
        <row r="32">
          <cell r="J32">
            <v>3.069006923526719</v>
          </cell>
        </row>
      </sheetData>
      <sheetData sheetId="5"/>
      <sheetData sheetId="6">
        <row r="9">
          <cell r="N9" t="str">
            <v>Effective March 2019</v>
          </cell>
        </row>
        <row r="17">
          <cell r="H17">
            <v>1023208</v>
          </cell>
          <cell r="J17">
            <v>10657340</v>
          </cell>
          <cell r="L17">
            <v>1109032.567</v>
          </cell>
          <cell r="N17">
            <v>1121093</v>
          </cell>
        </row>
        <row r="21">
          <cell r="H21">
            <v>129785.16666666667</v>
          </cell>
          <cell r="J21">
            <v>2769974</v>
          </cell>
          <cell r="L21">
            <v>269558.01400000002</v>
          </cell>
          <cell r="N21">
            <v>271757</v>
          </cell>
        </row>
        <row r="22">
          <cell r="H22">
            <v>7557.75</v>
          </cell>
          <cell r="J22">
            <v>2962665</v>
          </cell>
          <cell r="L22">
            <v>267247.141</v>
          </cell>
          <cell r="N22">
            <v>269138</v>
          </cell>
        </row>
        <row r="23">
          <cell r="H23">
            <v>9920</v>
          </cell>
          <cell r="J23">
            <v>1872505.8629326143</v>
          </cell>
          <cell r="L23">
            <v>155148.611</v>
          </cell>
          <cell r="N23">
            <v>156245.54399999999</v>
          </cell>
        </row>
        <row r="24">
          <cell r="H24">
            <v>649.66666666666663</v>
          </cell>
          <cell r="J24">
            <v>18243</v>
          </cell>
          <cell r="L24">
            <v>1449.5150000000001</v>
          </cell>
          <cell r="N24">
            <v>1459.731</v>
          </cell>
        </row>
        <row r="28">
          <cell r="H28">
            <v>489.66666666666669</v>
          </cell>
          <cell r="J28">
            <v>1321181.4175556169</v>
          </cell>
          <cell r="L28">
            <v>107151.91499999999</v>
          </cell>
          <cell r="N28">
            <v>107909.338</v>
          </cell>
        </row>
        <row r="29">
          <cell r="H29">
            <v>2.75</v>
          </cell>
          <cell r="J29">
            <v>3789.48</v>
          </cell>
          <cell r="L29">
            <v>226.02600000000001</v>
          </cell>
          <cell r="N29">
            <v>229.71600000000001</v>
          </cell>
        </row>
        <row r="30">
          <cell r="H30">
            <v>157.41666666666666</v>
          </cell>
          <cell r="J30">
            <v>123046.16422024449</v>
          </cell>
          <cell r="L30">
            <v>10794.427</v>
          </cell>
          <cell r="N30">
            <v>10911.865</v>
          </cell>
        </row>
        <row r="33">
          <cell r="H33">
            <v>135.25</v>
          </cell>
          <cell r="J33">
            <v>534767.4366040678</v>
          </cell>
          <cell r="L33">
            <v>39012.15</v>
          </cell>
          <cell r="N33">
            <v>39244.476999999999</v>
          </cell>
        </row>
        <row r="36">
          <cell r="H36">
            <v>5</v>
          </cell>
          <cell r="J36">
            <v>81153.842000000004</v>
          </cell>
          <cell r="L36">
            <v>5401.9690000000001</v>
          </cell>
          <cell r="N36">
            <v>5439.616</v>
          </cell>
        </row>
        <row r="37">
          <cell r="H37">
            <v>20</v>
          </cell>
          <cell r="J37">
            <v>553489.29599999997</v>
          </cell>
          <cell r="L37">
            <v>36052.419000000002</v>
          </cell>
          <cell r="N37">
            <v>36307.620999999999</v>
          </cell>
        </row>
        <row r="40">
          <cell r="H40">
            <v>20</v>
          </cell>
          <cell r="J40">
            <v>1993600.694324</v>
          </cell>
          <cell r="L40">
            <v>8376.0509999999995</v>
          </cell>
          <cell r="N40">
            <v>8381.3389999999999</v>
          </cell>
        </row>
        <row r="42">
          <cell r="H42">
            <v>7697.083333333333</v>
          </cell>
          <cell r="J42">
            <v>70906.886296500015</v>
          </cell>
          <cell r="L42">
            <v>16588.931</v>
          </cell>
          <cell r="N42">
            <v>16772.664000000001</v>
          </cell>
        </row>
        <row r="46">
          <cell r="H46">
            <v>8</v>
          </cell>
          <cell r="J46">
            <v>7237.6555782419</v>
          </cell>
          <cell r="L46">
            <v>329.85399999999998</v>
          </cell>
          <cell r="N46">
            <v>332.92300692352671</v>
          </cell>
        </row>
      </sheetData>
      <sheetData sheetId="7"/>
      <sheetData sheetId="8">
        <row r="27">
          <cell r="D27">
            <v>8.9270000000000002E-2</v>
          </cell>
        </row>
        <row r="59">
          <cell r="D59">
            <v>8.6539000000000005E-2</v>
          </cell>
          <cell r="G59">
            <v>8.7112999999999996E-2</v>
          </cell>
        </row>
        <row r="60">
          <cell r="D60">
            <v>7.89</v>
          </cell>
          <cell r="G60">
            <v>8.09</v>
          </cell>
        </row>
        <row r="75">
          <cell r="C75">
            <v>4594004</v>
          </cell>
        </row>
        <row r="81">
          <cell r="D81">
            <v>9.8800000000000008</v>
          </cell>
          <cell r="G81">
            <v>9.94</v>
          </cell>
        </row>
        <row r="99">
          <cell r="C99">
            <v>29782</v>
          </cell>
        </row>
        <row r="141">
          <cell r="D141">
            <v>6.6193000000000002E-2</v>
          </cell>
          <cell r="G141">
            <v>6.6659999999999997E-2</v>
          </cell>
        </row>
        <row r="142">
          <cell r="D142">
            <v>5.4206999999999998E-2</v>
          </cell>
          <cell r="G142">
            <v>5.4588999999999999E-2</v>
          </cell>
        </row>
        <row r="143">
          <cell r="D143">
            <v>5.85</v>
          </cell>
          <cell r="G143">
            <v>5.89</v>
          </cell>
        </row>
      </sheetData>
      <sheetData sheetId="9">
        <row r="25">
          <cell r="C25">
            <v>3271651</v>
          </cell>
        </row>
        <row r="31">
          <cell r="D31">
            <v>9.52</v>
          </cell>
          <cell r="G31">
            <v>9.58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Normal Monthly kWh"/>
      <sheetName val="Summary kWh &amp; Ann Rev"/>
      <sheetName val="Average Costs"/>
      <sheetName val="Proforma kWh"/>
      <sheetName val="Proforma Revenue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Gen Svc"/>
      <sheetName val="Sch 43 Pri Gen Svc"/>
      <sheetName val="Sch 40 Campus Svc"/>
      <sheetName val="Sch 46 HV Svc"/>
      <sheetName val="Sch 49 HV Svc"/>
      <sheetName val="Sch 449 - Transportation"/>
      <sheetName val="Lighting 50-59"/>
      <sheetName val="Firm Resale"/>
      <sheetName val="Financial Support Data====&gt;"/>
      <sheetName val="SOE"/>
      <sheetName val="Delivered kWh"/>
      <sheetName val="Unbilled Change kWh"/>
      <sheetName val="Billed kWh"/>
      <sheetName val="BPA Res Exch Load"/>
      <sheetName val="SAP Billed kWh"/>
      <sheetName val="Other Support=======&gt;"/>
      <sheetName val="Sch 40 Voltage Level Demand"/>
      <sheetName val="Light Inventory"/>
      <sheetName val="Sch 40 Dist Dem ERF Proposed"/>
      <sheetName val="Sch 40 Dist Dem ERF Annualized"/>
      <sheetName val="UE-180280 TR Sch 40 Dist Dem"/>
      <sheetName val="SAP Data (do not Print)====&gt;"/>
      <sheetName val="Non Lighting Data "/>
      <sheetName val="Lighting Data"/>
      <sheetName val="Primary 26"/>
      <sheetName val="Schedule 10  and 31 Demand"/>
      <sheetName val="Sch 40 Dist De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7">
          <cell r="D7">
            <v>10657340.915968496</v>
          </cell>
        </row>
        <row r="8">
          <cell r="D8"/>
        </row>
        <row r="11">
          <cell r="D11"/>
        </row>
        <row r="12">
          <cell r="D12">
            <v>255742.34265355926</v>
          </cell>
        </row>
        <row r="13">
          <cell r="D13"/>
        </row>
        <row r="14">
          <cell r="D14">
            <v>149796.34070566666</v>
          </cell>
        </row>
        <row r="15">
          <cell r="D15">
            <v>0</v>
          </cell>
        </row>
        <row r="16">
          <cell r="D16">
            <v>16855.27</v>
          </cell>
        </row>
        <row r="17">
          <cell r="D17">
            <v>18646.963869000003</v>
          </cell>
        </row>
        <row r="20">
          <cell r="D20">
            <v>0</v>
          </cell>
        </row>
        <row r="21">
          <cell r="D21">
            <v>32223.39</v>
          </cell>
        </row>
        <row r="22">
          <cell r="D22">
            <v>3789.48</v>
          </cell>
        </row>
        <row r="23">
          <cell r="D23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2">
          <cell r="D32">
            <v>1916.5476705000001</v>
          </cell>
        </row>
        <row r="34">
          <cell r="D34">
            <v>0</v>
          </cell>
        </row>
        <row r="38">
          <cell r="D3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tabSelected="1" zoomScale="90" zoomScaleNormal="90" workbookViewId="0">
      <pane xSplit="2" ySplit="7" topLeftCell="I8" activePane="bottomRight" state="frozen"/>
      <selection pane="topRight" activeCell="C1" sqref="C1"/>
      <selection pane="bottomLeft" activeCell="A8" sqref="A8"/>
      <selection pane="bottomRight" activeCell="N17" sqref="N17"/>
    </sheetView>
  </sheetViews>
  <sheetFormatPr defaultColWidth="6.33203125" defaultRowHeight="13.2"/>
  <cols>
    <col min="1" max="1" width="4.44140625" style="1" bestFit="1" customWidth="1"/>
    <col min="2" max="2" width="23" style="1" customWidth="1"/>
    <col min="3" max="3" width="15.109375" style="1" bestFit="1" customWidth="1"/>
    <col min="4" max="4" width="14.109375" style="1" bestFit="1" customWidth="1"/>
    <col min="5" max="6" width="12.109375" style="1" bestFit="1" customWidth="1"/>
    <col min="7" max="7" width="12.109375" style="1" customWidth="1"/>
    <col min="8" max="8" width="11.44140625" style="1" bestFit="1" customWidth="1"/>
    <col min="9" max="9" width="11.109375" style="1" bestFit="1" customWidth="1"/>
    <col min="10" max="10" width="11.109375" style="1" customWidth="1"/>
    <col min="11" max="12" width="11.44140625" style="1" bestFit="1" customWidth="1"/>
    <col min="13" max="13" width="12.44140625" style="1" bestFit="1" customWidth="1"/>
    <col min="14" max="14" width="12.109375" style="1" bestFit="1" customWidth="1"/>
    <col min="15" max="15" width="12.44140625" style="1" bestFit="1" customWidth="1"/>
    <col min="16" max="16" width="14.109375" style="1" bestFit="1" customWidth="1"/>
    <col min="17" max="17" width="1.6640625" style="1" customWidth="1"/>
    <col min="18" max="18" width="8.6640625" style="1" customWidth="1"/>
    <col min="19" max="19" width="10.44140625" style="1" customWidth="1"/>
    <col min="20" max="20" width="11.6640625" style="1" bestFit="1" customWidth="1"/>
    <col min="21" max="21" width="11.44140625" style="1" bestFit="1" customWidth="1"/>
    <col min="22" max="22" width="7.6640625" style="1" customWidth="1"/>
    <col min="23" max="23" width="6.33203125" style="1"/>
    <col min="24" max="24" width="12.33203125" style="1" bestFit="1" customWidth="1"/>
    <col min="25" max="16384" width="6.33203125" style="1"/>
  </cols>
  <sheetData>
    <row r="1" spans="1:28">
      <c r="A1" s="518" t="s">
        <v>0</v>
      </c>
      <c r="B1" s="518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</row>
    <row r="2" spans="1:28">
      <c r="A2" s="519" t="s">
        <v>458</v>
      </c>
      <c r="B2" s="518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</row>
    <row r="3" spans="1:28">
      <c r="A3" s="519" t="s">
        <v>459</v>
      </c>
      <c r="B3" s="518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</row>
    <row r="4" spans="1:28">
      <c r="A4" s="518" t="s">
        <v>260</v>
      </c>
      <c r="B4" s="518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</row>
    <row r="5" spans="1:28">
      <c r="A5" s="476"/>
      <c r="B5" s="475"/>
      <c r="C5" s="475"/>
      <c r="D5" s="475"/>
      <c r="E5" s="475"/>
      <c r="F5" s="475"/>
      <c r="G5" s="475"/>
      <c r="H5" s="475"/>
      <c r="I5" s="475"/>
      <c r="J5" s="501"/>
      <c r="K5" s="475"/>
      <c r="L5" s="475"/>
      <c r="M5" s="475"/>
      <c r="N5" s="475"/>
      <c r="O5" s="475"/>
      <c r="P5" s="4"/>
      <c r="Q5" s="4"/>
      <c r="R5" s="4"/>
      <c r="S5" s="4"/>
      <c r="T5" s="4"/>
      <c r="U5" s="4"/>
    </row>
    <row r="6" spans="1:28">
      <c r="A6" s="476"/>
      <c r="B6" s="475"/>
      <c r="C6" s="475"/>
      <c r="D6" s="475"/>
      <c r="E6" s="475"/>
      <c r="F6" s="475"/>
      <c r="G6" s="475"/>
      <c r="H6" s="475"/>
      <c r="I6" s="475"/>
      <c r="J6" s="501"/>
      <c r="K6" s="475"/>
      <c r="L6" s="475"/>
      <c r="M6" s="475"/>
      <c r="N6" s="475"/>
      <c r="O6" s="475"/>
      <c r="P6" s="5"/>
      <c r="Q6" s="5"/>
      <c r="R6" s="492" t="s">
        <v>1</v>
      </c>
      <c r="S6" s="493" t="s">
        <v>2</v>
      </c>
      <c r="T6" s="406"/>
      <c r="U6" s="4"/>
    </row>
    <row r="7" spans="1:28" ht="66">
      <c r="A7" s="6" t="s">
        <v>3</v>
      </c>
      <c r="B7" s="6" t="s">
        <v>4</v>
      </c>
      <c r="C7" s="361" t="s">
        <v>460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490</v>
      </c>
      <c r="K7" s="8" t="s">
        <v>11</v>
      </c>
      <c r="L7" s="8" t="s">
        <v>12</v>
      </c>
      <c r="M7" s="8" t="s">
        <v>264</v>
      </c>
      <c r="N7" s="8" t="s">
        <v>13</v>
      </c>
      <c r="O7" s="8" t="s">
        <v>259</v>
      </c>
      <c r="P7" s="8" t="s">
        <v>499</v>
      </c>
      <c r="Q7" s="225"/>
      <c r="R7" s="494" t="str">
        <f>+L7</f>
        <v>Schedule 141
ERF</v>
      </c>
      <c r="S7" s="495" t="str">
        <f>+R7</f>
        <v>Schedule 141
ERF</v>
      </c>
      <c r="T7" s="8" t="s">
        <v>475</v>
      </c>
      <c r="U7" s="8" t="s">
        <v>258</v>
      </c>
      <c r="V7" s="361" t="s">
        <v>261</v>
      </c>
    </row>
    <row r="8" spans="1:28" s="229" customFormat="1" ht="26.4">
      <c r="A8" s="226"/>
      <c r="B8" s="226"/>
      <c r="C8" s="227" t="s">
        <v>98</v>
      </c>
      <c r="D8" s="228" t="s">
        <v>99</v>
      </c>
      <c r="E8" s="228" t="s">
        <v>100</v>
      </c>
      <c r="F8" s="228" t="s">
        <v>101</v>
      </c>
      <c r="G8" s="228" t="s">
        <v>220</v>
      </c>
      <c r="H8" s="228" t="s">
        <v>221</v>
      </c>
      <c r="I8" s="228" t="s">
        <v>222</v>
      </c>
      <c r="J8" s="228" t="s">
        <v>252</v>
      </c>
      <c r="K8" s="228" t="s">
        <v>253</v>
      </c>
      <c r="L8" s="228" t="s">
        <v>254</v>
      </c>
      <c r="M8" s="228" t="s">
        <v>255</v>
      </c>
      <c r="N8" s="228" t="s">
        <v>491</v>
      </c>
      <c r="O8" s="228" t="s">
        <v>492</v>
      </c>
      <c r="P8" s="228" t="s">
        <v>493</v>
      </c>
      <c r="Q8" s="228"/>
      <c r="R8" s="228" t="s">
        <v>494</v>
      </c>
      <c r="S8" s="228" t="s">
        <v>495</v>
      </c>
      <c r="T8" s="228" t="s">
        <v>496</v>
      </c>
      <c r="U8" s="228" t="s">
        <v>497</v>
      </c>
      <c r="V8" s="227" t="s">
        <v>498</v>
      </c>
    </row>
    <row r="9" spans="1:28">
      <c r="A9" s="475">
        <v>1</v>
      </c>
      <c r="B9" s="475">
        <v>7</v>
      </c>
      <c r="C9" s="407">
        <f>+'JAP-4 Proposed ERF Rev'!J17*1</f>
        <v>10657340</v>
      </c>
      <c r="D9" s="393">
        <f>+'JAP-4 Proposed ERF Rev'!L17*1</f>
        <v>1109032.567</v>
      </c>
      <c r="E9" s="393">
        <f>+'Sch 95'!F7</f>
        <v>0</v>
      </c>
      <c r="F9" s="393">
        <f>+'Sch 95a'!I7</f>
        <v>-22082</v>
      </c>
      <c r="G9" s="393">
        <f>+'Sch 120'!I7</f>
        <v>51795</v>
      </c>
      <c r="H9" s="393">
        <f>+'Sch 129'!H7</f>
        <v>9538</v>
      </c>
      <c r="I9" s="393">
        <f>+'Sch 132'!F7</f>
        <v>-3687</v>
      </c>
      <c r="J9" s="393">
        <f>+'Sch 137'!F7</f>
        <v>-373</v>
      </c>
      <c r="K9" s="393">
        <f>+'Sch 140'!I7</f>
        <v>37002</v>
      </c>
      <c r="L9" s="393">
        <f>+'Sch 141'!C7</f>
        <v>0</v>
      </c>
      <c r="M9" s="393">
        <f>+'Sch 142'!I7</f>
        <v>-13183</v>
      </c>
      <c r="N9" s="393">
        <f>+'Sch 194'!F7</f>
        <v>-78927</v>
      </c>
      <c r="O9" s="393">
        <f>SUM(E9:N9)</f>
        <v>-19917</v>
      </c>
      <c r="P9" s="393">
        <f>SUM(O9,D9)</f>
        <v>1089115.567</v>
      </c>
      <c r="Q9" s="84"/>
      <c r="R9" s="393">
        <f>-L9</f>
        <v>0</v>
      </c>
      <c r="S9" s="393">
        <f>+'Sch 141'!D7</f>
        <v>12060.432999999961</v>
      </c>
      <c r="T9" s="393">
        <f>SUM(R9:S9)</f>
        <v>12060.432999999961</v>
      </c>
      <c r="U9" s="393">
        <f>SUM(P9,T9)</f>
        <v>1101176</v>
      </c>
      <c r="V9" s="480">
        <f>T9/P9</f>
        <v>1.1073602623476193E-2</v>
      </c>
      <c r="W9" s="10"/>
      <c r="X9" s="513">
        <f>ROUND(T9/1000,1)</f>
        <v>12.1</v>
      </c>
      <c r="Y9" s="10"/>
      <c r="Z9" s="10"/>
      <c r="AB9" s="231"/>
    </row>
    <row r="10" spans="1:28">
      <c r="A10" s="475">
        <f>+A9+1</f>
        <v>2</v>
      </c>
      <c r="B10" s="475" t="s">
        <v>15</v>
      </c>
      <c r="C10" s="12">
        <f t="shared" ref="C10:P10" si="0">SUM(C9:C9)</f>
        <v>10657340</v>
      </c>
      <c r="D10" s="394">
        <f t="shared" si="0"/>
        <v>1109032.567</v>
      </c>
      <c r="E10" s="394">
        <f t="shared" si="0"/>
        <v>0</v>
      </c>
      <c r="F10" s="394">
        <f t="shared" si="0"/>
        <v>-22082</v>
      </c>
      <c r="G10" s="394">
        <f t="shared" si="0"/>
        <v>51795</v>
      </c>
      <c r="H10" s="394">
        <f t="shared" si="0"/>
        <v>9538</v>
      </c>
      <c r="I10" s="394">
        <f t="shared" si="0"/>
        <v>-3687</v>
      </c>
      <c r="J10" s="394">
        <f t="shared" ref="J10" si="1">SUM(J9:J9)</f>
        <v>-373</v>
      </c>
      <c r="K10" s="394">
        <f t="shared" si="0"/>
        <v>37002</v>
      </c>
      <c r="L10" s="394">
        <f t="shared" si="0"/>
        <v>0</v>
      </c>
      <c r="M10" s="394">
        <f t="shared" si="0"/>
        <v>-13183</v>
      </c>
      <c r="N10" s="394">
        <f t="shared" si="0"/>
        <v>-78927</v>
      </c>
      <c r="O10" s="394">
        <f t="shared" si="0"/>
        <v>-19917</v>
      </c>
      <c r="P10" s="394">
        <f t="shared" si="0"/>
        <v>1089115.567</v>
      </c>
      <c r="Q10" s="84"/>
      <c r="R10" s="394">
        <f t="shared" ref="R10:U10" si="2">SUM(R9:R9)</f>
        <v>0</v>
      </c>
      <c r="S10" s="394">
        <f t="shared" si="2"/>
        <v>12060.432999999961</v>
      </c>
      <c r="T10" s="394">
        <f t="shared" ref="T10" si="3">SUM(T9:T9)</f>
        <v>12060.432999999961</v>
      </c>
      <c r="U10" s="394">
        <f t="shared" si="2"/>
        <v>1101176</v>
      </c>
      <c r="V10" s="481">
        <f>T10/P10</f>
        <v>1.1073602623476193E-2</v>
      </c>
      <c r="W10" s="10"/>
      <c r="X10" s="514">
        <f t="shared" ref="X10" si="4">SUM(X9:X9)</f>
        <v>12.1</v>
      </c>
      <c r="Y10" s="10"/>
      <c r="Z10" s="10"/>
      <c r="AB10" s="231"/>
    </row>
    <row r="11" spans="1:28">
      <c r="A11" s="475">
        <f t="shared" ref="A11:A37" si="5">+A10+1</f>
        <v>3</v>
      </c>
      <c r="B11" s="475"/>
      <c r="C11" s="407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84"/>
      <c r="R11" s="393"/>
      <c r="S11" s="393"/>
      <c r="T11" s="393"/>
      <c r="U11" s="393"/>
      <c r="V11" s="480"/>
      <c r="X11" s="513"/>
      <c r="AB11" s="231"/>
    </row>
    <row r="12" spans="1:28">
      <c r="A12" s="475">
        <f t="shared" si="5"/>
        <v>4</v>
      </c>
      <c r="B12" s="476" t="s">
        <v>87</v>
      </c>
      <c r="C12" s="407">
        <f>+'JAP-4 Proposed ERF Rev'!J21*1</f>
        <v>2769974</v>
      </c>
      <c r="D12" s="393">
        <f>+'JAP-4 Proposed ERF Rev'!L21*1</f>
        <v>269558.01400000002</v>
      </c>
      <c r="E12" s="393">
        <f>+'Sch 95'!F12</f>
        <v>0</v>
      </c>
      <c r="F12" s="393">
        <f>+'Sch 95a'!I12</f>
        <v>-4637</v>
      </c>
      <c r="G12" s="393">
        <f>+'Sch 120'!I12</f>
        <v>11656</v>
      </c>
      <c r="H12" s="393">
        <f>+'Sch 129'!H12</f>
        <v>2374</v>
      </c>
      <c r="I12" s="393">
        <f>+'Sch 132'!F12</f>
        <v>-729</v>
      </c>
      <c r="J12" s="393">
        <f>+'Sch 137'!F12</f>
        <v>-78</v>
      </c>
      <c r="K12" s="393">
        <f>+'Sch 140'!I12</f>
        <v>7282</v>
      </c>
      <c r="L12" s="393">
        <f>+'Sch 141'!C11</f>
        <v>0</v>
      </c>
      <c r="M12" s="393">
        <f>+'Sch 142'!I12</f>
        <v>3465</v>
      </c>
      <c r="N12" s="393">
        <f>+'Sch 194'!F12</f>
        <v>-1894</v>
      </c>
      <c r="O12" s="393">
        <f>SUM(E12:N12)</f>
        <v>17439</v>
      </c>
      <c r="P12" s="393">
        <f>SUM(O12,D12)</f>
        <v>286997.01400000002</v>
      </c>
      <c r="Q12" s="84"/>
      <c r="R12" s="393">
        <f>-L12</f>
        <v>0</v>
      </c>
      <c r="S12" s="393">
        <f>+'Sch 141'!D11</f>
        <v>2198.9859999999753</v>
      </c>
      <c r="T12" s="393">
        <f>SUM(R12:S12)</f>
        <v>2198.9859999999753</v>
      </c>
      <c r="U12" s="393">
        <f t="shared" ref="U12:U15" si="6">SUM(P12,T12)</f>
        <v>289196</v>
      </c>
      <c r="V12" s="480">
        <f t="shared" ref="V12:V16" si="7">T12/P12</f>
        <v>7.6620518428110723E-3</v>
      </c>
      <c r="W12" s="10"/>
      <c r="X12" s="513">
        <f t="shared" ref="X12:X15" si="8">ROUND(T12/1000,1)</f>
        <v>2.2000000000000002</v>
      </c>
      <c r="Y12" s="10"/>
      <c r="Z12" s="10"/>
      <c r="AB12" s="231"/>
    </row>
    <row r="13" spans="1:28">
      <c r="A13" s="475">
        <f t="shared" si="5"/>
        <v>5</v>
      </c>
      <c r="B13" s="476" t="s">
        <v>244</v>
      </c>
      <c r="C13" s="407">
        <f>+'JAP-4 Proposed ERF Rev'!J22*1</f>
        <v>2962665</v>
      </c>
      <c r="D13" s="393">
        <f>+'JAP-4 Proposed ERF Rev'!L22*1</f>
        <v>267247.141</v>
      </c>
      <c r="E13" s="393">
        <f>+'Sch 95'!F14</f>
        <v>0</v>
      </c>
      <c r="F13" s="393">
        <f>+'Sch 95a'!I14</f>
        <v>-5075</v>
      </c>
      <c r="G13" s="393">
        <f>+'Sch 120'!I14</f>
        <v>12612</v>
      </c>
      <c r="H13" s="393">
        <f>+'Sch 129'!H14</f>
        <v>2358</v>
      </c>
      <c r="I13" s="393">
        <f>+'Sch 132'!F14</f>
        <v>-726</v>
      </c>
      <c r="J13" s="393">
        <f>+'Sch 137'!F14</f>
        <v>-86</v>
      </c>
      <c r="K13" s="393">
        <f>+'Sch 140'!I14</f>
        <v>7309</v>
      </c>
      <c r="L13" s="393">
        <f>SUM('Sch 141'!C8,'Sch 141'!C12)</f>
        <v>0</v>
      </c>
      <c r="M13" s="393">
        <f>+'Sch 142'!I14</f>
        <v>4171</v>
      </c>
      <c r="N13" s="393">
        <f>+'Sch 194'!F14</f>
        <v>-1109</v>
      </c>
      <c r="O13" s="393">
        <f>SUM(E13:N13)</f>
        <v>19454</v>
      </c>
      <c r="P13" s="393">
        <f>SUM(O13,D13)</f>
        <v>286701.141</v>
      </c>
      <c r="Q13" s="84"/>
      <c r="R13" s="393">
        <f>-L13</f>
        <v>0</v>
      </c>
      <c r="S13" s="393">
        <f>SUM('Sch 141'!D8,'Sch 141'!D12)</f>
        <v>1890.8589999999967</v>
      </c>
      <c r="T13" s="393">
        <f>SUM(R13:S13)</f>
        <v>1890.8589999999967</v>
      </c>
      <c r="U13" s="393">
        <f t="shared" si="6"/>
        <v>288592</v>
      </c>
      <c r="V13" s="480">
        <f t="shared" si="7"/>
        <v>6.5952266300886358E-3</v>
      </c>
      <c r="W13" s="10"/>
      <c r="X13" s="513">
        <f t="shared" si="8"/>
        <v>1.9</v>
      </c>
      <c r="Y13" s="10"/>
      <c r="Z13" s="10"/>
      <c r="AB13" s="231"/>
    </row>
    <row r="14" spans="1:28">
      <c r="A14" s="475">
        <f t="shared" si="5"/>
        <v>6</v>
      </c>
      <c r="B14" s="476" t="s">
        <v>88</v>
      </c>
      <c r="C14" s="407">
        <f>ROUND(+'JAP-4 Proposed ERF Rev'!J23*1,0)</f>
        <v>1872506</v>
      </c>
      <c r="D14" s="393">
        <f>ROUND(+'JAP-4 Proposed ERF Rev'!L23*1,0)</f>
        <v>155149</v>
      </c>
      <c r="E14" s="393">
        <f>+'Sch 95'!F16</f>
        <v>0</v>
      </c>
      <c r="F14" s="393">
        <f>+'Sch 95a'!I16</f>
        <v>-3344</v>
      </c>
      <c r="G14" s="393">
        <f>+'Sch 120'!I16</f>
        <v>8099</v>
      </c>
      <c r="H14" s="393">
        <f>+'Sch 129'!H16</f>
        <v>1343</v>
      </c>
      <c r="I14" s="393">
        <f>+'Sch 132'!F16</f>
        <v>-378</v>
      </c>
      <c r="J14" s="393">
        <f>+'Sch 137'!F16</f>
        <v>-56</v>
      </c>
      <c r="K14" s="393">
        <f>+'Sch 140'!I16</f>
        <v>4241</v>
      </c>
      <c r="L14" s="393">
        <f>+'Sch 141'!C13</f>
        <v>0</v>
      </c>
      <c r="M14" s="393">
        <f>+'Sch 142'!I16</f>
        <v>-118</v>
      </c>
      <c r="N14" s="393">
        <f>+'Sch 194'!F16</f>
        <v>-125</v>
      </c>
      <c r="O14" s="393">
        <f>SUM(E14:N14)</f>
        <v>9662</v>
      </c>
      <c r="P14" s="393">
        <f>SUM(O14,D14)</f>
        <v>164811</v>
      </c>
      <c r="Q14" s="84"/>
      <c r="R14" s="393">
        <f>-L14</f>
        <v>0</v>
      </c>
      <c r="S14" s="393">
        <f>+'Sch 141'!D13</f>
        <v>1096.93299999999</v>
      </c>
      <c r="T14" s="393">
        <f>SUM(R14:S14)</f>
        <v>1096.93299999999</v>
      </c>
      <c r="U14" s="393">
        <f t="shared" si="6"/>
        <v>165907.93299999999</v>
      </c>
      <c r="V14" s="480">
        <f t="shared" si="7"/>
        <v>6.6557025926666912E-3</v>
      </c>
      <c r="W14" s="10"/>
      <c r="X14" s="513">
        <f t="shared" si="8"/>
        <v>1.1000000000000001</v>
      </c>
      <c r="Y14" s="10"/>
      <c r="Z14" s="10"/>
      <c r="AB14" s="231"/>
    </row>
    <row r="15" spans="1:28">
      <c r="A15" s="475">
        <f t="shared" si="5"/>
        <v>7</v>
      </c>
      <c r="B15" s="475">
        <v>29</v>
      </c>
      <c r="C15" s="407">
        <f>+'JAP-4 Proposed ERF Rev'!J24*1</f>
        <v>18243</v>
      </c>
      <c r="D15" s="393">
        <f>+'JAP-4 Proposed ERF Rev'!L24*1</f>
        <v>1449.5150000000001</v>
      </c>
      <c r="E15" s="393">
        <f>+'Sch 95'!F17</f>
        <v>0</v>
      </c>
      <c r="F15" s="393">
        <f>+'Sch 95a'!I17</f>
        <v>-28</v>
      </c>
      <c r="G15" s="393">
        <f>+'Sch 120'!I17</f>
        <v>58</v>
      </c>
      <c r="H15" s="393">
        <f>+'Sch 129'!H17</f>
        <v>13</v>
      </c>
      <c r="I15" s="393">
        <f>+'Sch 132'!F17</f>
        <v>-4</v>
      </c>
      <c r="J15" s="393">
        <f>+'Sch 137'!F17</f>
        <v>0</v>
      </c>
      <c r="K15" s="393">
        <f>+'Sch 140'!I17</f>
        <v>45</v>
      </c>
      <c r="L15" s="393">
        <f>+'Sch 141'!C15</f>
        <v>0</v>
      </c>
      <c r="M15" s="393">
        <f>+'Sch 142'!I17</f>
        <v>26</v>
      </c>
      <c r="N15" s="393">
        <f>+'Sch 194'!F17</f>
        <v>-138</v>
      </c>
      <c r="O15" s="393">
        <f>SUM(E15:N15)</f>
        <v>-28</v>
      </c>
      <c r="P15" s="393">
        <f>SUM(O15,D15)</f>
        <v>1421.5150000000001</v>
      </c>
      <c r="Q15" s="84"/>
      <c r="R15" s="393">
        <f>-L15</f>
        <v>0</v>
      </c>
      <c r="S15" s="393">
        <f>+'Sch 141'!D15</f>
        <v>10.215999999999894</v>
      </c>
      <c r="T15" s="393">
        <f>SUM(R15:S15)</f>
        <v>10.215999999999894</v>
      </c>
      <c r="U15" s="393">
        <f t="shared" si="6"/>
        <v>1431.731</v>
      </c>
      <c r="V15" s="480">
        <f t="shared" si="7"/>
        <v>7.1866986982197824E-3</v>
      </c>
      <c r="W15" s="10"/>
      <c r="X15" s="513">
        <f t="shared" si="8"/>
        <v>0</v>
      </c>
      <c r="Y15" s="10"/>
      <c r="Z15" s="10"/>
      <c r="AB15" s="231"/>
    </row>
    <row r="16" spans="1:28">
      <c r="A16" s="475">
        <f t="shared" si="5"/>
        <v>8</v>
      </c>
      <c r="B16" s="476" t="s">
        <v>256</v>
      </c>
      <c r="C16" s="12">
        <f t="shared" ref="C16:P16" si="9">SUM(C12:C15)</f>
        <v>7623388</v>
      </c>
      <c r="D16" s="394">
        <f t="shared" si="9"/>
        <v>693403.67</v>
      </c>
      <c r="E16" s="394">
        <f t="shared" si="9"/>
        <v>0</v>
      </c>
      <c r="F16" s="394">
        <f t="shared" si="9"/>
        <v>-13084</v>
      </c>
      <c r="G16" s="394">
        <f t="shared" si="9"/>
        <v>32425</v>
      </c>
      <c r="H16" s="394">
        <f t="shared" si="9"/>
        <v>6088</v>
      </c>
      <c r="I16" s="394">
        <f t="shared" si="9"/>
        <v>-1837</v>
      </c>
      <c r="J16" s="394">
        <f t="shared" ref="J16" si="10">SUM(J12:J15)</f>
        <v>-220</v>
      </c>
      <c r="K16" s="394">
        <f t="shared" si="9"/>
        <v>18877</v>
      </c>
      <c r="L16" s="394">
        <f t="shared" si="9"/>
        <v>0</v>
      </c>
      <c r="M16" s="394">
        <f t="shared" si="9"/>
        <v>7544</v>
      </c>
      <c r="N16" s="394">
        <f t="shared" si="9"/>
        <v>-3266</v>
      </c>
      <c r="O16" s="394">
        <f t="shared" si="9"/>
        <v>46527</v>
      </c>
      <c r="P16" s="394">
        <f t="shared" si="9"/>
        <v>739930.67</v>
      </c>
      <c r="Q16" s="84"/>
      <c r="R16" s="394">
        <f t="shared" ref="R16:U16" si="11">SUM(R12:R15)</f>
        <v>0</v>
      </c>
      <c r="S16" s="394">
        <f t="shared" ref="S16" si="12">SUM(S12:S15)</f>
        <v>5196.9939999999624</v>
      </c>
      <c r="T16" s="394">
        <f t="shared" ref="T16" si="13">SUM(T12:T15)</f>
        <v>5196.9939999999624</v>
      </c>
      <c r="U16" s="394">
        <f t="shared" si="11"/>
        <v>745127.66399999999</v>
      </c>
      <c r="V16" s="481">
        <f t="shared" si="7"/>
        <v>7.0236229023997098E-3</v>
      </c>
      <c r="W16" s="10"/>
      <c r="X16" s="514">
        <f t="shared" ref="X16" si="14">SUM(X12:X15)</f>
        <v>5.1999999999999993</v>
      </c>
      <c r="Y16" s="10"/>
      <c r="Z16" s="10"/>
      <c r="AB16" s="231"/>
    </row>
    <row r="17" spans="1:28">
      <c r="A17" s="475">
        <f t="shared" si="5"/>
        <v>9</v>
      </c>
      <c r="B17" s="475"/>
      <c r="C17" s="407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84"/>
      <c r="R17" s="393"/>
      <c r="S17" s="393"/>
      <c r="T17" s="393"/>
      <c r="U17" s="393"/>
      <c r="V17" s="480"/>
      <c r="X17" s="513"/>
      <c r="Y17" s="10"/>
      <c r="AB17" s="231"/>
    </row>
    <row r="18" spans="1:28">
      <c r="A18" s="475">
        <f t="shared" si="5"/>
        <v>10</v>
      </c>
      <c r="B18" s="475" t="s">
        <v>89</v>
      </c>
      <c r="C18" s="407">
        <f>ROUND(+'JAP-4 Proposed ERF Rev'!J28*1,0)</f>
        <v>1321181</v>
      </c>
      <c r="D18" s="393">
        <f>ROUND(+'JAP-4 Proposed ERF Rev'!L28*1,0)</f>
        <v>107152</v>
      </c>
      <c r="E18" s="393">
        <f>+'Sch 95'!F21</f>
        <v>0</v>
      </c>
      <c r="F18" s="393">
        <f>+'Sch 95a'!I21</f>
        <v>-2204</v>
      </c>
      <c r="G18" s="393">
        <f>+'Sch 120'!I21</f>
        <v>5486</v>
      </c>
      <c r="H18" s="393">
        <f>+'Sch 129'!H21</f>
        <v>930</v>
      </c>
      <c r="I18" s="393">
        <f>+'Sch 132'!F21</f>
        <v>-314</v>
      </c>
      <c r="J18" s="393">
        <f>+'Sch 137'!F21</f>
        <v>-37</v>
      </c>
      <c r="K18" s="393">
        <f>+'Sch 140'!I21</f>
        <v>2978</v>
      </c>
      <c r="L18" s="393">
        <f>+'Sch 141'!C18</f>
        <v>0</v>
      </c>
      <c r="M18" s="393">
        <f>+'Sch 142'!I21</f>
        <v>-336</v>
      </c>
      <c r="N18" s="393">
        <f>+'Sch 194'!F21</f>
        <v>-239</v>
      </c>
      <c r="O18" s="393">
        <f>SUM(E18:N18)</f>
        <v>6264</v>
      </c>
      <c r="P18" s="393">
        <f>SUM(O18,D18)</f>
        <v>113416</v>
      </c>
      <c r="Q18" s="84"/>
      <c r="R18" s="393">
        <f>-L18</f>
        <v>0</v>
      </c>
      <c r="S18" s="393">
        <f>+'Sch 141'!D18</f>
        <v>757.42300000000978</v>
      </c>
      <c r="T18" s="393">
        <f>SUM(R18:S18)</f>
        <v>757.42300000000978</v>
      </c>
      <c r="U18" s="393">
        <f t="shared" ref="U18:U20" si="15">SUM(P18,T18)</f>
        <v>114173.42300000001</v>
      </c>
      <c r="V18" s="480">
        <f t="shared" ref="V18:V21" si="16">T18/P18</f>
        <v>6.6782729068209932E-3</v>
      </c>
      <c r="W18" s="10"/>
      <c r="X18" s="513">
        <f t="shared" ref="X18:X20" si="17">ROUND(T18/1000,1)</f>
        <v>0.8</v>
      </c>
      <c r="Y18" s="10"/>
      <c r="Z18" s="10"/>
      <c r="AB18" s="231"/>
    </row>
    <row r="19" spans="1:28">
      <c r="A19" s="475">
        <f t="shared" si="5"/>
        <v>11</v>
      </c>
      <c r="B19" s="475">
        <v>35</v>
      </c>
      <c r="C19" s="407">
        <f>ROUND(+'JAP-4 Proposed ERF Rev'!J29*1,0)</f>
        <v>3789</v>
      </c>
      <c r="D19" s="393">
        <f>ROUND(+'JAP-4 Proposed ERF Rev'!L29*1,0)</f>
        <v>226</v>
      </c>
      <c r="E19" s="393">
        <f>+'Sch 95'!F22</f>
        <v>0</v>
      </c>
      <c r="F19" s="393">
        <f>+'Sch 95a'!I22</f>
        <v>-4</v>
      </c>
      <c r="G19" s="393">
        <f>+'Sch 120'!I22</f>
        <v>11</v>
      </c>
      <c r="H19" s="393">
        <f>+'Sch 129'!H22</f>
        <v>2</v>
      </c>
      <c r="I19" s="393">
        <f>+'Sch 132'!F22</f>
        <v>-1</v>
      </c>
      <c r="J19" s="393">
        <f>+'Sch 137'!F22</f>
        <v>0</v>
      </c>
      <c r="K19" s="393">
        <f>+'Sch 140'!I22</f>
        <v>9</v>
      </c>
      <c r="L19" s="393">
        <f>+'Sch 141'!C19</f>
        <v>0</v>
      </c>
      <c r="M19" s="393">
        <f>+'Sch 142'!I22</f>
        <v>5</v>
      </c>
      <c r="N19" s="393">
        <f>+'Sch 194'!F22</f>
        <v>-28</v>
      </c>
      <c r="O19" s="393">
        <f>SUM(E19:N19)</f>
        <v>-6</v>
      </c>
      <c r="P19" s="393">
        <f>SUM(O19,D19)</f>
        <v>220</v>
      </c>
      <c r="Q19" s="84"/>
      <c r="R19" s="393">
        <f>-L19</f>
        <v>0</v>
      </c>
      <c r="S19" s="393">
        <f>+'Sch 141'!D19</f>
        <v>3.6899999999999977</v>
      </c>
      <c r="T19" s="393">
        <f>SUM(R19:S19)</f>
        <v>3.6899999999999977</v>
      </c>
      <c r="U19" s="393">
        <f t="shared" si="15"/>
        <v>223.69</v>
      </c>
      <c r="V19" s="480">
        <f t="shared" si="16"/>
        <v>1.6772727272727262E-2</v>
      </c>
      <c r="W19" s="10"/>
      <c r="X19" s="513">
        <f t="shared" si="17"/>
        <v>0</v>
      </c>
      <c r="Y19" s="10"/>
      <c r="Z19" s="10"/>
      <c r="AB19" s="231"/>
    </row>
    <row r="20" spans="1:28">
      <c r="A20" s="475">
        <f t="shared" si="5"/>
        <v>12</v>
      </c>
      <c r="B20" s="475">
        <v>43</v>
      </c>
      <c r="C20" s="407">
        <f>ROUND(+'JAP-4 Proposed ERF Rev'!J30*1,0)</f>
        <v>123046</v>
      </c>
      <c r="D20" s="393">
        <f>ROUND(+'JAP-4 Proposed ERF Rev'!L30*1,0)</f>
        <v>10794</v>
      </c>
      <c r="E20" s="393">
        <f>+'Sch 95'!F23</f>
        <v>0</v>
      </c>
      <c r="F20" s="393">
        <f>+'Sch 95a'!I23</f>
        <v>-186</v>
      </c>
      <c r="G20" s="393">
        <f>+'Sch 120'!I23</f>
        <v>406</v>
      </c>
      <c r="H20" s="393">
        <f>+'Sch 129'!H23</f>
        <v>96</v>
      </c>
      <c r="I20" s="393">
        <f>+'Sch 132'!F23</f>
        <v>-29</v>
      </c>
      <c r="J20" s="393">
        <f>+'Sch 137'!F23</f>
        <v>-3</v>
      </c>
      <c r="K20" s="393">
        <f>+'Sch 140'!I23</f>
        <v>406</v>
      </c>
      <c r="L20" s="393">
        <f>+'Sch 141'!C20</f>
        <v>0</v>
      </c>
      <c r="M20" s="393">
        <f>+'Sch 142'!I23</f>
        <v>173</v>
      </c>
      <c r="N20" s="393">
        <f>+'Sch 194'!F23</f>
        <v>0</v>
      </c>
      <c r="O20" s="393">
        <f>SUM(E20:N20)</f>
        <v>863</v>
      </c>
      <c r="P20" s="393">
        <f>SUM(O20,D20)</f>
        <v>11657</v>
      </c>
      <c r="Q20" s="84"/>
      <c r="R20" s="393">
        <f>-L20</f>
        <v>0</v>
      </c>
      <c r="S20" s="393">
        <f>+'Sch 141'!D20</f>
        <v>117.4380000000001</v>
      </c>
      <c r="T20" s="393">
        <f>SUM(R20:S20)</f>
        <v>117.4380000000001</v>
      </c>
      <c r="U20" s="393">
        <f t="shared" si="15"/>
        <v>11774.438</v>
      </c>
      <c r="V20" s="480">
        <f t="shared" si="16"/>
        <v>1.0074461696834529E-2</v>
      </c>
      <c r="W20" s="10"/>
      <c r="X20" s="513">
        <f t="shared" si="17"/>
        <v>0.1</v>
      </c>
      <c r="Y20" s="10"/>
      <c r="Z20" s="10"/>
      <c r="AB20" s="231"/>
    </row>
    <row r="21" spans="1:28">
      <c r="A21" s="475">
        <f t="shared" si="5"/>
        <v>13</v>
      </c>
      <c r="B21" s="476" t="s">
        <v>257</v>
      </c>
      <c r="C21" s="12">
        <f t="shared" ref="C21:P21" si="18">SUM(C18:C20)</f>
        <v>1448016</v>
      </c>
      <c r="D21" s="394">
        <f t="shared" si="18"/>
        <v>118172</v>
      </c>
      <c r="E21" s="394">
        <f t="shared" si="18"/>
        <v>0</v>
      </c>
      <c r="F21" s="394">
        <f t="shared" si="18"/>
        <v>-2394</v>
      </c>
      <c r="G21" s="394">
        <f t="shared" si="18"/>
        <v>5903</v>
      </c>
      <c r="H21" s="394">
        <f t="shared" si="18"/>
        <v>1028</v>
      </c>
      <c r="I21" s="394">
        <f t="shared" si="18"/>
        <v>-344</v>
      </c>
      <c r="J21" s="394">
        <f t="shared" ref="J21" si="19">SUM(J18:J20)</f>
        <v>-40</v>
      </c>
      <c r="K21" s="394">
        <f t="shared" si="18"/>
        <v>3393</v>
      </c>
      <c r="L21" s="394">
        <f t="shared" si="18"/>
        <v>0</v>
      </c>
      <c r="M21" s="394">
        <f t="shared" si="18"/>
        <v>-158</v>
      </c>
      <c r="N21" s="394">
        <f t="shared" si="18"/>
        <v>-267</v>
      </c>
      <c r="O21" s="394">
        <f t="shared" si="18"/>
        <v>7121</v>
      </c>
      <c r="P21" s="394">
        <f t="shared" si="18"/>
        <v>125293</v>
      </c>
      <c r="Q21" s="84"/>
      <c r="R21" s="394">
        <f t="shared" ref="R21:U21" si="20">SUM(R18:R20)</f>
        <v>0</v>
      </c>
      <c r="S21" s="394">
        <f t="shared" ref="S21" si="21">SUM(S18:S20)</f>
        <v>878.55100000000994</v>
      </c>
      <c r="T21" s="394">
        <f t="shared" ref="T21" si="22">SUM(T18:T20)</f>
        <v>878.55100000000994</v>
      </c>
      <c r="U21" s="394">
        <f t="shared" si="20"/>
        <v>126171.55100000001</v>
      </c>
      <c r="V21" s="481">
        <f t="shared" si="16"/>
        <v>7.0119719377779279E-3</v>
      </c>
      <c r="W21" s="10"/>
      <c r="X21" s="514">
        <f t="shared" ref="X21" si="23">SUM(X18:X20)</f>
        <v>0.9</v>
      </c>
      <c r="Y21" s="10"/>
      <c r="Z21" s="10"/>
      <c r="AB21" s="231"/>
    </row>
    <row r="22" spans="1:28">
      <c r="A22" s="475">
        <f t="shared" si="5"/>
        <v>14</v>
      </c>
      <c r="B22" s="475"/>
      <c r="C22" s="407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84"/>
      <c r="R22" s="393"/>
      <c r="S22" s="393"/>
      <c r="T22" s="393"/>
      <c r="U22" s="393"/>
      <c r="V22" s="480"/>
      <c r="X22" s="513"/>
      <c r="AB22" s="231"/>
    </row>
    <row r="23" spans="1:28">
      <c r="A23" s="475">
        <f t="shared" si="5"/>
        <v>15</v>
      </c>
      <c r="B23" s="475">
        <v>40</v>
      </c>
      <c r="C23" s="12">
        <f>ROUND(+'JAP-4 Proposed ERF Rev'!J33*1,0)</f>
        <v>534767</v>
      </c>
      <c r="D23" s="394">
        <f>ROUND(+'JAP-4 Proposed ERF Rev'!L33*1,0)</f>
        <v>39012</v>
      </c>
      <c r="E23" s="394">
        <f>+'Sch 95'!F26</f>
        <v>0</v>
      </c>
      <c r="F23" s="394">
        <f>+'Sch 95a'!I26</f>
        <v>-948</v>
      </c>
      <c r="G23" s="394">
        <f>+'Sch 120'!I26</f>
        <v>2027</v>
      </c>
      <c r="H23" s="394">
        <f>+'Sch 129'!H26</f>
        <v>347</v>
      </c>
      <c r="I23" s="394">
        <f>+'Sch 132'!F26</f>
        <v>-70</v>
      </c>
      <c r="J23" s="394">
        <f>+'Sch 137'!F26</f>
        <v>-16</v>
      </c>
      <c r="K23" s="394">
        <f>+'Sch 140'!I26</f>
        <v>1125</v>
      </c>
      <c r="L23" s="394">
        <f>+'Sch 141'!C23</f>
        <v>0</v>
      </c>
      <c r="M23" s="394">
        <f>+'Sch 142'!I26</f>
        <v>962</v>
      </c>
      <c r="N23" s="394">
        <f>+'Sch 194'!F26</f>
        <v>0</v>
      </c>
      <c r="O23" s="394">
        <f>SUM(E23:N23)</f>
        <v>3427</v>
      </c>
      <c r="P23" s="394">
        <f>SUM(O23,D23)</f>
        <v>42439</v>
      </c>
      <c r="Q23" s="84"/>
      <c r="R23" s="394">
        <f>-L23</f>
        <v>0</v>
      </c>
      <c r="S23" s="394">
        <f>+'Sch 141'!D23</f>
        <v>232.3269999999975</v>
      </c>
      <c r="T23" s="394">
        <f>SUM(R23:S23)</f>
        <v>232.3269999999975</v>
      </c>
      <c r="U23" s="394">
        <f>SUM(P23,T23)</f>
        <v>42671.326999999997</v>
      </c>
      <c r="V23" s="481">
        <f>T23/P23</f>
        <v>5.4743749852729211E-3</v>
      </c>
      <c r="W23" s="10"/>
      <c r="X23" s="514">
        <f>ROUND(T23/1000,1)</f>
        <v>0.2</v>
      </c>
      <c r="Y23" s="10"/>
      <c r="Z23" s="10"/>
      <c r="AB23" s="231"/>
    </row>
    <row r="24" spans="1:28">
      <c r="A24" s="475">
        <f t="shared" si="5"/>
        <v>16</v>
      </c>
      <c r="B24" s="475"/>
      <c r="C24" s="407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84"/>
      <c r="R24" s="393"/>
      <c r="S24" s="393"/>
      <c r="T24" s="393"/>
      <c r="U24" s="393"/>
      <c r="V24" s="480"/>
      <c r="X24" s="513"/>
      <c r="AB24" s="231"/>
    </row>
    <row r="25" spans="1:28">
      <c r="A25" s="475">
        <f t="shared" si="5"/>
        <v>17</v>
      </c>
      <c r="B25" s="475">
        <v>46</v>
      </c>
      <c r="C25" s="407">
        <f>ROUND(+'JAP-4 Proposed ERF Rev'!J36*1,0)</f>
        <v>81154</v>
      </c>
      <c r="D25" s="393">
        <f>ROUND(+'JAP-4 Proposed ERF Rev'!L36*1,0)</f>
        <v>5402</v>
      </c>
      <c r="E25" s="393">
        <f>+'Sch 95'!F28</f>
        <v>0</v>
      </c>
      <c r="F25" s="393">
        <f>+'Sch 95a'!I28</f>
        <v>-69</v>
      </c>
      <c r="G25" s="393">
        <f>+'Sch 120'!I28</f>
        <v>212</v>
      </c>
      <c r="H25" s="393">
        <f>+'Sch 129'!H28</f>
        <v>48</v>
      </c>
      <c r="I25" s="393">
        <f>+'Sch 132'!F28</f>
        <v>-9</v>
      </c>
      <c r="J25" s="393">
        <f>+'Sch 137'!F28</f>
        <v>-1</v>
      </c>
      <c r="K25" s="393">
        <f>+'Sch 140'!I28</f>
        <v>134</v>
      </c>
      <c r="L25" s="393">
        <f>+'Sch 141'!C25</f>
        <v>0</v>
      </c>
      <c r="M25" s="393">
        <f>+'Sch 142'!I28</f>
        <v>107</v>
      </c>
      <c r="N25" s="393">
        <f>+'Sch 194'!F28</f>
        <v>0</v>
      </c>
      <c r="O25" s="393">
        <f>SUM(E25:N25)</f>
        <v>422</v>
      </c>
      <c r="P25" s="393">
        <f>SUM(O25,D25)</f>
        <v>5824</v>
      </c>
      <c r="Q25" s="84"/>
      <c r="R25" s="393">
        <f>-L25</f>
        <v>0</v>
      </c>
      <c r="S25" s="393">
        <f>+'Sch 141'!D25</f>
        <v>37.646999999999935</v>
      </c>
      <c r="T25" s="393">
        <f>SUM(R25:S25)</f>
        <v>37.646999999999935</v>
      </c>
      <c r="U25" s="393">
        <f t="shared" ref="U25:U26" si="24">SUM(P25,T25)</f>
        <v>5861.6469999999999</v>
      </c>
      <c r="V25" s="480">
        <f t="shared" ref="V25:V27" si="25">T25/P25</f>
        <v>6.4641140109889996E-3</v>
      </c>
      <c r="W25" s="10"/>
      <c r="X25" s="513">
        <f t="shared" ref="X25:X26" si="26">ROUND(T25/1000,1)</f>
        <v>0</v>
      </c>
      <c r="Y25" s="10"/>
      <c r="Z25" s="10"/>
      <c r="AB25" s="231"/>
    </row>
    <row r="26" spans="1:28">
      <c r="A26" s="475">
        <f t="shared" si="5"/>
        <v>18</v>
      </c>
      <c r="B26" s="475">
        <v>49</v>
      </c>
      <c r="C26" s="407">
        <f>ROUND(+'JAP-4 Proposed ERF Rev'!J37*1,0)</f>
        <v>553489</v>
      </c>
      <c r="D26" s="393">
        <f>ROUND(+'JAP-4 Proposed ERF Rev'!L37*1,0)</f>
        <v>36052</v>
      </c>
      <c r="E26" s="393">
        <f>+'Sch 95'!F29</f>
        <v>0</v>
      </c>
      <c r="F26" s="393">
        <f>+'Sch 95a'!I29</f>
        <v>-938</v>
      </c>
      <c r="G26" s="393">
        <f>+'Sch 120'!I29</f>
        <v>2161</v>
      </c>
      <c r="H26" s="393">
        <f>+'Sch 129'!H29</f>
        <v>317</v>
      </c>
      <c r="I26" s="393">
        <f>+'Sch 132'!F29</f>
        <v>-61</v>
      </c>
      <c r="J26" s="393">
        <f>+'Sch 137'!F29</f>
        <v>-15</v>
      </c>
      <c r="K26" s="393">
        <f>+'Sch 140'!I29</f>
        <v>914</v>
      </c>
      <c r="L26" s="393">
        <f>+'Sch 141'!C26</f>
        <v>0</v>
      </c>
      <c r="M26" s="393">
        <f>+'Sch 142'!I29</f>
        <v>732</v>
      </c>
      <c r="N26" s="393">
        <f>+'Sch 194'!F29</f>
        <v>0</v>
      </c>
      <c r="O26" s="393">
        <f>SUM(E26:N26)</f>
        <v>3110</v>
      </c>
      <c r="P26" s="393">
        <f>SUM(O26,D26)</f>
        <v>39162</v>
      </c>
      <c r="Q26" s="84"/>
      <c r="R26" s="393">
        <f>-L26</f>
        <v>0</v>
      </c>
      <c r="S26" s="393">
        <f>+'Sch 141'!D26</f>
        <v>255.2019999999975</v>
      </c>
      <c r="T26" s="393">
        <f>SUM(R26:S26)</f>
        <v>255.2019999999975</v>
      </c>
      <c r="U26" s="393">
        <f t="shared" si="24"/>
        <v>39417.201999999997</v>
      </c>
      <c r="V26" s="480">
        <f t="shared" si="25"/>
        <v>6.5165721873243834E-3</v>
      </c>
      <c r="W26" s="10"/>
      <c r="X26" s="513">
        <f t="shared" si="26"/>
        <v>0.3</v>
      </c>
      <c r="Y26" s="10"/>
      <c r="Z26" s="10"/>
      <c r="AB26" s="231"/>
    </row>
    <row r="27" spans="1:28">
      <c r="A27" s="475">
        <f t="shared" si="5"/>
        <v>19</v>
      </c>
      <c r="B27" s="475" t="s">
        <v>19</v>
      </c>
      <c r="C27" s="12">
        <f>SUM(C25:C26)</f>
        <v>634643</v>
      </c>
      <c r="D27" s="394">
        <f>SUM(D25:D26)</f>
        <v>41454</v>
      </c>
      <c r="E27" s="394">
        <f t="shared" ref="E27:I27" si="27">SUM(E25:E26)</f>
        <v>0</v>
      </c>
      <c r="F27" s="394">
        <f t="shared" si="27"/>
        <v>-1007</v>
      </c>
      <c r="G27" s="394">
        <f>SUM(G25:G26)</f>
        <v>2373</v>
      </c>
      <c r="H27" s="394">
        <f t="shared" si="27"/>
        <v>365</v>
      </c>
      <c r="I27" s="394">
        <f t="shared" si="27"/>
        <v>-70</v>
      </c>
      <c r="J27" s="394">
        <f t="shared" ref="J27" si="28">SUM(J25:J26)</f>
        <v>-16</v>
      </c>
      <c r="K27" s="394">
        <f>SUM(K25:K26)</f>
        <v>1048</v>
      </c>
      <c r="L27" s="394">
        <f t="shared" ref="L27:M27" si="29">SUM(L25:L26)</f>
        <v>0</v>
      </c>
      <c r="M27" s="394">
        <f t="shared" si="29"/>
        <v>839</v>
      </c>
      <c r="N27" s="394">
        <f t="shared" ref="N27:U27" si="30">SUM(N25:N26)</f>
        <v>0</v>
      </c>
      <c r="O27" s="394">
        <f t="shared" ref="O27" si="31">SUM(O25:O26)</f>
        <v>3532</v>
      </c>
      <c r="P27" s="394">
        <f t="shared" si="30"/>
        <v>44986</v>
      </c>
      <c r="Q27" s="84"/>
      <c r="R27" s="394">
        <f t="shared" si="30"/>
        <v>0</v>
      </c>
      <c r="S27" s="394">
        <f t="shared" si="30"/>
        <v>292.84899999999743</v>
      </c>
      <c r="T27" s="394">
        <f t="shared" ref="T27" si="32">SUM(T25:T26)</f>
        <v>292.84899999999743</v>
      </c>
      <c r="U27" s="394">
        <f t="shared" si="30"/>
        <v>45278.848999999995</v>
      </c>
      <c r="V27" s="481">
        <f t="shared" si="25"/>
        <v>6.5097808206997163E-3</v>
      </c>
      <c r="W27" s="10"/>
      <c r="X27" s="514">
        <f t="shared" ref="X27" si="33">SUM(X25:X26)</f>
        <v>0.3</v>
      </c>
      <c r="Y27" s="10"/>
      <c r="Z27" s="10"/>
      <c r="AB27" s="231"/>
    </row>
    <row r="28" spans="1:28">
      <c r="A28" s="475">
        <f t="shared" si="5"/>
        <v>20</v>
      </c>
      <c r="B28" s="475"/>
      <c r="C28" s="407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84"/>
      <c r="R28" s="393"/>
      <c r="S28" s="393"/>
      <c r="T28" s="393"/>
      <c r="U28" s="393"/>
      <c r="V28" s="480"/>
      <c r="X28" s="513"/>
      <c r="AB28" s="231"/>
    </row>
    <row r="29" spans="1:28">
      <c r="A29" s="475">
        <f t="shared" si="5"/>
        <v>21</v>
      </c>
      <c r="B29" s="475" t="s">
        <v>20</v>
      </c>
      <c r="C29" s="12">
        <f>ROUND(+'JAP-4 Proposed ERF Rev'!J42*1,0)</f>
        <v>70907</v>
      </c>
      <c r="D29" s="394">
        <f>ROUND(+'JAP-4 Proposed ERF Rev'!L42*1,0)</f>
        <v>16589</v>
      </c>
      <c r="E29" s="394">
        <f>+'Sch 95'!F32</f>
        <v>0</v>
      </c>
      <c r="F29" s="394">
        <f>+'Sch 95a'!I32</f>
        <v>-150</v>
      </c>
      <c r="G29" s="394">
        <f>+'Sch 120'!I32</f>
        <v>324</v>
      </c>
      <c r="H29" s="394">
        <f>+'Sch 129'!H32</f>
        <v>138</v>
      </c>
      <c r="I29" s="394">
        <f>+'Sch 132'!F32</f>
        <v>-99</v>
      </c>
      <c r="J29" s="394">
        <f>+'Sch 137'!F32</f>
        <v>-2</v>
      </c>
      <c r="K29" s="394">
        <f>+'Sch 140'!I32</f>
        <v>658</v>
      </c>
      <c r="L29" s="394">
        <f>+'Sch 141'!C29</f>
        <v>0</v>
      </c>
      <c r="M29" s="394">
        <f>+'Sch 142'!I32</f>
        <v>0</v>
      </c>
      <c r="N29" s="394">
        <f>+'Sch 194'!F32</f>
        <v>-14</v>
      </c>
      <c r="O29" s="394">
        <f>SUM(E29:N29)</f>
        <v>855</v>
      </c>
      <c r="P29" s="394">
        <f>SUM(O29,D29)</f>
        <v>17444</v>
      </c>
      <c r="Q29" s="84"/>
      <c r="R29" s="394">
        <f>-L29</f>
        <v>0</v>
      </c>
      <c r="S29" s="394">
        <f>+'Sch 141'!D29</f>
        <v>183.73300000000017</v>
      </c>
      <c r="T29" s="394">
        <f>SUM(R29:S29)</f>
        <v>183.73300000000017</v>
      </c>
      <c r="U29" s="394">
        <f>SUM(P29,T29)</f>
        <v>17627.733</v>
      </c>
      <c r="V29" s="481">
        <f>T29/P29</f>
        <v>1.053273331804633E-2</v>
      </c>
      <c r="W29" s="10"/>
      <c r="X29" s="514">
        <f>ROUND(T29/1000,1)</f>
        <v>0.2</v>
      </c>
      <c r="Y29" s="10"/>
      <c r="Z29" s="10"/>
      <c r="AB29" s="231"/>
    </row>
    <row r="30" spans="1:28">
      <c r="A30" s="475">
        <f t="shared" si="5"/>
        <v>22</v>
      </c>
      <c r="B30" s="475"/>
      <c r="C30" s="407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84"/>
      <c r="R30" s="393"/>
      <c r="S30" s="393"/>
      <c r="T30" s="393"/>
      <c r="U30" s="393"/>
      <c r="V30" s="480"/>
      <c r="X30" s="513"/>
      <c r="AB30" s="231"/>
    </row>
    <row r="31" spans="1:28">
      <c r="A31" s="475">
        <f t="shared" si="5"/>
        <v>23</v>
      </c>
      <c r="B31" s="475" t="s">
        <v>21</v>
      </c>
      <c r="C31" s="12">
        <f>ROUND(+'JAP-4 Proposed ERF Rev'!J40*1,0)</f>
        <v>1993601</v>
      </c>
      <c r="D31" s="394">
        <f>ROUND(+'JAP-4 Proposed ERF Rev'!L40*1,0)</f>
        <v>8376</v>
      </c>
      <c r="E31" s="394">
        <f>+'Sch 95'!F34</f>
        <v>0</v>
      </c>
      <c r="F31" s="394">
        <f>+'Sch 95a'!I34</f>
        <v>0</v>
      </c>
      <c r="G31" s="394">
        <f>+'Sch 120'!I34</f>
        <v>2087</v>
      </c>
      <c r="H31" s="394">
        <f>+'Sch 129'!H34</f>
        <v>66</v>
      </c>
      <c r="I31" s="394">
        <f>+'Sch 132'!F34</f>
        <v>-56</v>
      </c>
      <c r="J31" s="394">
        <f>+'Sch 137'!F34</f>
        <v>0</v>
      </c>
      <c r="K31" s="394">
        <f>+'Sch 140'!I34</f>
        <v>60</v>
      </c>
      <c r="L31" s="394">
        <f>+'Sch 141'!C31</f>
        <v>0</v>
      </c>
      <c r="M31" s="394">
        <f>+'Sch 142'!I34</f>
        <v>0</v>
      </c>
      <c r="N31" s="394">
        <f>+'Sch 194'!F34</f>
        <v>0</v>
      </c>
      <c r="O31" s="394">
        <f>SUM(E31:N31)</f>
        <v>2157</v>
      </c>
      <c r="P31" s="394">
        <f>SUM(O31,D31)</f>
        <v>10533</v>
      </c>
      <c r="Q31" s="84"/>
      <c r="R31" s="394">
        <f>-L31</f>
        <v>0</v>
      </c>
      <c r="S31" s="394">
        <f>+'Sch 141'!D31</f>
        <v>5.2880000000004657</v>
      </c>
      <c r="T31" s="394">
        <f>SUM(R31:S31)</f>
        <v>5.2880000000004657</v>
      </c>
      <c r="U31" s="394">
        <f>SUM(P31,T31)</f>
        <v>10538.288</v>
      </c>
      <c r="V31" s="481">
        <f>T31/P31</f>
        <v>5.020412038356086E-4</v>
      </c>
      <c r="W31" s="10"/>
      <c r="X31" s="514">
        <f>ROUND(T31/1000,1)</f>
        <v>0</v>
      </c>
      <c r="Y31" s="10"/>
      <c r="Z31" s="10"/>
      <c r="AB31" s="231"/>
    </row>
    <row r="32" spans="1:28">
      <c r="A32" s="475">
        <f t="shared" si="5"/>
        <v>24</v>
      </c>
      <c r="B32" s="475"/>
      <c r="C32" s="407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84"/>
      <c r="R32" s="393"/>
      <c r="S32" s="393"/>
      <c r="T32" s="393"/>
      <c r="U32" s="393"/>
      <c r="V32" s="480"/>
      <c r="X32" s="513"/>
      <c r="AB32" s="231"/>
    </row>
    <row r="33" spans="1:28" ht="13.8" thickBot="1">
      <c r="A33" s="475">
        <f t="shared" si="5"/>
        <v>25</v>
      </c>
      <c r="B33" s="475" t="s">
        <v>22</v>
      </c>
      <c r="C33" s="13">
        <f t="shared" ref="C33:P33" si="34">SUM(C10,C16,C21,C23,C27,C29,C31)</f>
        <v>22962662</v>
      </c>
      <c r="D33" s="190">
        <f t="shared" si="34"/>
        <v>2026039.2370000002</v>
      </c>
      <c r="E33" s="190">
        <f t="shared" si="34"/>
        <v>0</v>
      </c>
      <c r="F33" s="190">
        <f t="shared" si="34"/>
        <v>-39665</v>
      </c>
      <c r="G33" s="190">
        <f t="shared" si="34"/>
        <v>96934</v>
      </c>
      <c r="H33" s="190">
        <f t="shared" si="34"/>
        <v>17570</v>
      </c>
      <c r="I33" s="190">
        <f t="shared" si="34"/>
        <v>-6163</v>
      </c>
      <c r="J33" s="190">
        <f t="shared" ref="J33" si="35">SUM(J10,J16,J21,J23,J27,J29,J31)</f>
        <v>-667</v>
      </c>
      <c r="K33" s="190">
        <f t="shared" si="34"/>
        <v>62163</v>
      </c>
      <c r="L33" s="190">
        <f t="shared" si="34"/>
        <v>0</v>
      </c>
      <c r="M33" s="190">
        <f t="shared" si="34"/>
        <v>-3996</v>
      </c>
      <c r="N33" s="190">
        <f t="shared" si="34"/>
        <v>-82474</v>
      </c>
      <c r="O33" s="190">
        <f t="shared" si="34"/>
        <v>43702</v>
      </c>
      <c r="P33" s="190">
        <f t="shared" si="34"/>
        <v>2069741.2370000002</v>
      </c>
      <c r="Q33" s="84"/>
      <c r="R33" s="190">
        <f t="shared" ref="R33:U33" si="36">SUM(R10,R16,R21,R23,R27,R29,R31)</f>
        <v>0</v>
      </c>
      <c r="S33" s="190">
        <f t="shared" si="36"/>
        <v>18850.17499999993</v>
      </c>
      <c r="T33" s="190">
        <f t="shared" ref="T33" si="37">SUM(T10,T16,T21,T23,T27,T29,T31)</f>
        <v>18850.17499999993</v>
      </c>
      <c r="U33" s="190">
        <f t="shared" si="36"/>
        <v>2088591.4119999998</v>
      </c>
      <c r="V33" s="482">
        <f>T33/P33</f>
        <v>9.1075032294000383E-3</v>
      </c>
      <c r="W33" s="393"/>
      <c r="X33" s="515">
        <f t="shared" ref="X33" si="38">SUM(X10,X16,X21,X23,X27,X29,X31)</f>
        <v>18.899999999999995</v>
      </c>
      <c r="Y33" s="393"/>
      <c r="Z33" s="10"/>
      <c r="AB33" s="231"/>
    </row>
    <row r="34" spans="1:28" ht="13.8" thickTop="1">
      <c r="A34" s="475">
        <f t="shared" si="5"/>
        <v>26</v>
      </c>
      <c r="B34" s="475"/>
      <c r="C34" s="496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483"/>
      <c r="W34" s="393"/>
      <c r="X34" s="516"/>
      <c r="Y34" s="393"/>
      <c r="Z34" s="10"/>
      <c r="AB34" s="231"/>
    </row>
    <row r="35" spans="1:28">
      <c r="A35" s="475">
        <f t="shared" si="5"/>
        <v>27</v>
      </c>
      <c r="B35" s="475">
        <v>5</v>
      </c>
      <c r="C35" s="12">
        <f>ROUND('JAP-4 Proposed ERF Rev'!J46*1,0)</f>
        <v>7238</v>
      </c>
      <c r="D35" s="394">
        <f>ROUND('JAP-4 Proposed ERF Rev'!L46*1,0)</f>
        <v>330</v>
      </c>
      <c r="E35" s="394">
        <f>+'Sch 95'!F38</f>
        <v>0</v>
      </c>
      <c r="F35" s="394">
        <f>+'Sch 95a'!I38</f>
        <v>0</v>
      </c>
      <c r="G35" s="394">
        <f>+'Sch 120'!I38</f>
        <v>0</v>
      </c>
      <c r="H35" s="394">
        <f>+'Sch 129'!H38</f>
        <v>0</v>
      </c>
      <c r="I35" s="394">
        <f>+'Sch 132'!F38</f>
        <v>0</v>
      </c>
      <c r="J35" s="394">
        <f>+'Sch 137'!F38</f>
        <v>0</v>
      </c>
      <c r="K35" s="394">
        <f>+'Sch 140'!I38</f>
        <v>0</v>
      </c>
      <c r="L35" s="394">
        <f>+'Sch 141'!C35</f>
        <v>0</v>
      </c>
      <c r="M35" s="394">
        <f>+'Sch 142'!I38</f>
        <v>0</v>
      </c>
      <c r="N35" s="394">
        <f>+'Sch 194'!F38</f>
        <v>0</v>
      </c>
      <c r="O35" s="394">
        <f>SUM(E35:N35)</f>
        <v>0</v>
      </c>
      <c r="P35" s="394">
        <f>SUM(O35,D35)</f>
        <v>330</v>
      </c>
      <c r="Q35" s="84"/>
      <c r="R35" s="394">
        <f>-L35</f>
        <v>0</v>
      </c>
      <c r="S35" s="394">
        <f>+'Sch 141'!D35</f>
        <v>3.0690069235267288</v>
      </c>
      <c r="T35" s="394">
        <f>SUM(R35:S35)</f>
        <v>3.0690069235267288</v>
      </c>
      <c r="U35" s="394">
        <f>SUM(P35,T35)</f>
        <v>333.06900692352673</v>
      </c>
      <c r="V35" s="481">
        <f>T35/P35</f>
        <v>9.3000209803840266E-3</v>
      </c>
      <c r="W35" s="393"/>
      <c r="X35" s="514">
        <f>ROUND(T35/1000,1)</f>
        <v>0</v>
      </c>
      <c r="Y35" s="393"/>
      <c r="Z35" s="10"/>
      <c r="AB35" s="231"/>
    </row>
    <row r="36" spans="1:28">
      <c r="A36" s="475">
        <f t="shared" si="5"/>
        <v>28</v>
      </c>
      <c r="B36" s="475"/>
      <c r="C36" s="496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483"/>
      <c r="W36" s="393"/>
      <c r="X36" s="516"/>
      <c r="Y36" s="393"/>
      <c r="Z36" s="10"/>
      <c r="AB36" s="231"/>
    </row>
    <row r="37" spans="1:28" ht="13.8" thickBot="1">
      <c r="A37" s="475">
        <f t="shared" si="5"/>
        <v>29</v>
      </c>
      <c r="B37" s="475" t="s">
        <v>23</v>
      </c>
      <c r="C37" s="13">
        <f>+C35+C33</f>
        <v>22969900</v>
      </c>
      <c r="D37" s="190">
        <f>+D35+D33</f>
        <v>2026369.2370000002</v>
      </c>
      <c r="E37" s="190">
        <f t="shared" ref="E37:I37" si="39">+E35+E33</f>
        <v>0</v>
      </c>
      <c r="F37" s="190">
        <f t="shared" si="39"/>
        <v>-39665</v>
      </c>
      <c r="G37" s="190">
        <f>+G35+G33</f>
        <v>96934</v>
      </c>
      <c r="H37" s="190">
        <f t="shared" si="39"/>
        <v>17570</v>
      </c>
      <c r="I37" s="190">
        <f t="shared" si="39"/>
        <v>-6163</v>
      </c>
      <c r="J37" s="190">
        <f t="shared" ref="J37" si="40">+J35+J33</f>
        <v>-667</v>
      </c>
      <c r="K37" s="190">
        <f>+K35+K33</f>
        <v>62163</v>
      </c>
      <c r="L37" s="190">
        <f t="shared" ref="L37:M37" si="41">+L35+L33</f>
        <v>0</v>
      </c>
      <c r="M37" s="190">
        <f t="shared" si="41"/>
        <v>-3996</v>
      </c>
      <c r="N37" s="190">
        <f t="shared" ref="N37:U37" si="42">+N35+N33</f>
        <v>-82474</v>
      </c>
      <c r="O37" s="190">
        <f t="shared" ref="O37" si="43">+O35+O33</f>
        <v>43702</v>
      </c>
      <c r="P37" s="190">
        <f t="shared" si="42"/>
        <v>2070071.2370000002</v>
      </c>
      <c r="Q37" s="84"/>
      <c r="R37" s="190">
        <f t="shared" si="42"/>
        <v>0</v>
      </c>
      <c r="S37" s="190">
        <f t="shared" si="42"/>
        <v>18853.244006923458</v>
      </c>
      <c r="T37" s="190">
        <f t="shared" ref="T37" si="44">+T35+T33</f>
        <v>18853.244006923458</v>
      </c>
      <c r="U37" s="190">
        <f t="shared" si="42"/>
        <v>2088924.4810069234</v>
      </c>
      <c r="V37" s="482">
        <f>T37/P37</f>
        <v>9.1075339195795298E-3</v>
      </c>
      <c r="W37" s="393"/>
      <c r="X37" s="515">
        <f t="shared" ref="X37" si="45">+X35+X33</f>
        <v>18.899999999999995</v>
      </c>
      <c r="Y37" s="393"/>
      <c r="Z37" s="10"/>
      <c r="AB37" s="231"/>
    </row>
    <row r="38" spans="1:28" ht="13.8" thickTop="1"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84"/>
      <c r="R38" s="393"/>
      <c r="S38" s="393"/>
      <c r="T38" s="393"/>
      <c r="U38" s="393"/>
      <c r="AB38" s="231"/>
    </row>
    <row r="39" spans="1:28">
      <c r="C39" s="407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AB39" s="231"/>
    </row>
    <row r="40" spans="1:28">
      <c r="C40" s="407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U40" s="393"/>
      <c r="AB40" s="231"/>
    </row>
    <row r="41" spans="1:28">
      <c r="AB41" s="231"/>
    </row>
  </sheetData>
  <mergeCells count="4">
    <mergeCell ref="A1:B1"/>
    <mergeCell ref="A2:B2"/>
    <mergeCell ref="A3:B3"/>
    <mergeCell ref="A4:B4"/>
  </mergeCells>
  <printOptions horizontalCentered="1"/>
  <pageMargins left="0.7" right="0.7" top="0.75" bottom="0.75" header="0.3" footer="0.3"/>
  <pageSetup scale="44" fitToHeight="0" orientation="landscape" r:id="rId1"/>
  <headerFooter>
    <oddFooter>&amp;L&amp;"Times New Roman,Regular"&amp;F
&amp;A&amp;R&amp;"Times New Roman,Regular"Page &amp;P of &amp;N</oddFooter>
  </headerFooter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workbookViewId="0"/>
  </sheetViews>
  <sheetFormatPr defaultColWidth="8.88671875" defaultRowHeight="15.6"/>
  <cols>
    <col min="1" max="16384" width="8.88671875" style="232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6"/>
  <sheetViews>
    <sheetView zoomScale="90" zoomScaleNormal="90" zoomScaleSheetLayoutView="75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B46" sqref="B46:L46"/>
    </sheetView>
  </sheetViews>
  <sheetFormatPr defaultColWidth="9.44140625" defaultRowHeight="13.8"/>
  <cols>
    <col min="1" max="1" width="8.5546875" style="233" bestFit="1" customWidth="1"/>
    <col min="2" max="2" width="6.6640625" style="233" bestFit="1" customWidth="1"/>
    <col min="3" max="3" width="2.33203125" style="233" bestFit="1" customWidth="1"/>
    <col min="4" max="4" width="10.33203125" style="233" bestFit="1" customWidth="1"/>
    <col min="5" max="5" width="1.33203125" style="233" customWidth="1"/>
    <col min="6" max="6" width="9" style="233" bestFit="1" customWidth="1"/>
    <col min="7" max="7" width="1.33203125" style="233" bestFit="1" customWidth="1"/>
    <col min="8" max="8" width="10.33203125" style="233" bestFit="1" customWidth="1"/>
    <col min="9" max="9" width="1.33203125" style="233" bestFit="1" customWidth="1"/>
    <col min="10" max="10" width="8.6640625" style="233" bestFit="1" customWidth="1"/>
    <col min="11" max="11" width="2" style="233" customWidth="1"/>
    <col min="12" max="12" width="10" style="233" customWidth="1"/>
    <col min="13" max="13" width="9.44140625" style="233"/>
    <col min="14" max="14" width="32.5546875" style="233" bestFit="1" customWidth="1"/>
    <col min="15" max="15" width="14.44140625" style="233" bestFit="1" customWidth="1"/>
    <col min="16" max="16" width="1.5546875" style="233" bestFit="1" customWidth="1"/>
    <col min="17" max="17" width="15.6640625" style="233" bestFit="1" customWidth="1"/>
    <col min="18" max="18" width="1.5546875" style="233" bestFit="1" customWidth="1"/>
    <col min="19" max="19" width="8.5546875" style="233" bestFit="1" customWidth="1"/>
    <col min="20" max="20" width="5.109375" style="233" customWidth="1"/>
    <col min="21" max="16384" width="9.44140625" style="233"/>
  </cols>
  <sheetData>
    <row r="1" spans="1:20" ht="17.399999999999999">
      <c r="B1" s="524" t="s">
        <v>0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</row>
    <row r="2" spans="1:20" ht="17.399999999999999">
      <c r="A2" s="279"/>
      <c r="B2" s="524" t="s">
        <v>288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T2" s="279"/>
    </row>
    <row r="3" spans="1:20" ht="17.399999999999999">
      <c r="A3" s="279"/>
      <c r="B3" s="525" t="s">
        <v>287</v>
      </c>
      <c r="C3" s="524"/>
      <c r="D3" s="524"/>
      <c r="E3" s="524"/>
      <c r="F3" s="524"/>
      <c r="G3" s="524"/>
      <c r="H3" s="524"/>
      <c r="I3" s="524"/>
      <c r="J3" s="524"/>
      <c r="K3" s="524"/>
      <c r="L3" s="524"/>
      <c r="T3" s="279"/>
    </row>
    <row r="4" spans="1:20" ht="17.399999999999999">
      <c r="A4" s="279"/>
      <c r="B4" s="525" t="s">
        <v>59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T4" s="279"/>
    </row>
    <row r="6" spans="1:20" ht="14.4">
      <c r="F6" s="526" t="s">
        <v>286</v>
      </c>
      <c r="G6" s="521"/>
      <c r="H6" s="521"/>
      <c r="I6" s="521"/>
      <c r="J6" s="521"/>
      <c r="K6" s="521"/>
      <c r="L6" s="521"/>
      <c r="M6" s="279"/>
      <c r="N6" s="278"/>
    </row>
    <row r="7" spans="1:20">
      <c r="D7" s="277" t="s">
        <v>45</v>
      </c>
      <c r="F7" s="276" t="s">
        <v>24</v>
      </c>
      <c r="G7" s="275"/>
      <c r="H7" s="275" t="s">
        <v>24</v>
      </c>
      <c r="J7" s="521" t="s">
        <v>285</v>
      </c>
      <c r="K7" s="521"/>
      <c r="L7" s="521"/>
      <c r="M7" s="275"/>
    </row>
    <row r="8" spans="1:20" ht="16.8">
      <c r="A8" s="503" t="s">
        <v>3</v>
      </c>
      <c r="B8" s="272" t="s">
        <v>284</v>
      </c>
      <c r="D8" s="274" t="s">
        <v>283</v>
      </c>
      <c r="F8" s="274" t="s">
        <v>404</v>
      </c>
      <c r="G8" s="274"/>
      <c r="H8" s="274" t="s">
        <v>405</v>
      </c>
      <c r="I8" s="273" t="s">
        <v>24</v>
      </c>
      <c r="J8" s="272" t="s">
        <v>282</v>
      </c>
      <c r="L8" s="271" t="s">
        <v>45</v>
      </c>
    </row>
    <row r="9" spans="1:20" s="278" customFormat="1" ht="16.8">
      <c r="B9" s="510" t="s">
        <v>98</v>
      </c>
      <c r="C9" s="329"/>
      <c r="D9" s="510" t="s">
        <v>99</v>
      </c>
      <c r="E9" s="329"/>
      <c r="F9" s="510" t="s">
        <v>100</v>
      </c>
      <c r="G9" s="510"/>
      <c r="H9" s="510" t="s">
        <v>101</v>
      </c>
      <c r="I9" s="511"/>
      <c r="J9" s="512" t="s">
        <v>501</v>
      </c>
      <c r="K9" s="329"/>
      <c r="L9" s="510" t="s">
        <v>502</v>
      </c>
      <c r="M9" s="329"/>
      <c r="N9" s="329" t="s">
        <v>222</v>
      </c>
      <c r="O9" s="329" t="s">
        <v>252</v>
      </c>
      <c r="P9" s="329"/>
      <c r="Q9" s="329" t="s">
        <v>253</v>
      </c>
    </row>
    <row r="10" spans="1:20" s="278" customFormat="1" ht="16.8">
      <c r="B10" s="276"/>
      <c r="D10" s="275"/>
      <c r="F10" s="275"/>
      <c r="G10" s="275"/>
      <c r="H10" s="275"/>
      <c r="I10" s="273"/>
      <c r="J10" s="504"/>
      <c r="L10" s="276"/>
      <c r="N10" s="277"/>
      <c r="O10" s="277"/>
      <c r="P10" s="277"/>
      <c r="Q10" s="277"/>
    </row>
    <row r="11" spans="1:20" ht="14.4" thickBot="1">
      <c r="A11" s="277">
        <v>1</v>
      </c>
      <c r="B11" s="244">
        <v>0</v>
      </c>
      <c r="D11" s="243">
        <v>5.7419848979944474E-3</v>
      </c>
      <c r="F11" s="242">
        <f>ROUND((($B11*O$15+$O$13)),2)</f>
        <v>7.49</v>
      </c>
      <c r="H11" s="242">
        <f>ROUND((($B11*Q$15+$Q$13)),2)</f>
        <v>7.49</v>
      </c>
      <c r="J11" s="241">
        <f>H11-F11</f>
        <v>0</v>
      </c>
      <c r="L11" s="240">
        <f>(H11-F11)/F11</f>
        <v>0</v>
      </c>
    </row>
    <row r="12" spans="1:20">
      <c r="A12" s="277">
        <f>+A11+1</f>
        <v>2</v>
      </c>
      <c r="B12" s="244">
        <v>50</v>
      </c>
      <c r="D12" s="243">
        <v>8.1833144872857384E-3</v>
      </c>
      <c r="F12" s="242">
        <f>ROUND((($B12*O$15+$O$13)),2)</f>
        <v>11.76</v>
      </c>
      <c r="H12" s="242">
        <f>ROUND((($B12*Q$15+$Q$13)),2)</f>
        <v>11.82</v>
      </c>
      <c r="J12" s="241">
        <f>H12-F12</f>
        <v>6.0000000000000497E-2</v>
      </c>
      <c r="L12" s="240">
        <f>(H12-F12)/F12</f>
        <v>5.1020408163265727E-3</v>
      </c>
      <c r="N12" s="270"/>
      <c r="O12" s="269" t="s">
        <v>281</v>
      </c>
      <c r="P12" s="268"/>
      <c r="Q12" s="267" t="s">
        <v>280</v>
      </c>
      <c r="S12" s="258"/>
    </row>
    <row r="13" spans="1:20">
      <c r="A13" s="277">
        <f t="shared" ref="A13:A46" si="0">+A12+1</f>
        <v>3</v>
      </c>
      <c r="B13" s="244">
        <v>100</v>
      </c>
      <c r="D13" s="243">
        <v>1.1031546417228269E-2</v>
      </c>
      <c r="F13" s="242">
        <f>ROUND((($B13*O$15+$O$13)),2)</f>
        <v>16.04</v>
      </c>
      <c r="H13" s="242">
        <f>ROUND((($B13*Q$15+$Q$13)),2)</f>
        <v>16.14</v>
      </c>
      <c r="J13" s="241">
        <f>H13-F13</f>
        <v>0.10000000000000142</v>
      </c>
      <c r="L13" s="240">
        <f>(H13-F13)/F13</f>
        <v>6.2344139650873705E-3</v>
      </c>
      <c r="N13" s="263" t="s">
        <v>279</v>
      </c>
      <c r="O13" s="266">
        <f>SUM(O21,O34)</f>
        <v>7.49</v>
      </c>
      <c r="P13" s="261"/>
      <c r="Q13" s="265">
        <f>SUM(Q21,Q34)</f>
        <v>7.49</v>
      </c>
      <c r="R13" s="264"/>
      <c r="S13" s="258">
        <f>(Q13-O13)/O13</f>
        <v>0</v>
      </c>
    </row>
    <row r="14" spans="1:20">
      <c r="A14" s="277">
        <f t="shared" si="0"/>
        <v>4</v>
      </c>
      <c r="D14" s="243"/>
      <c r="N14" s="263"/>
      <c r="O14" s="262"/>
      <c r="P14" s="261"/>
      <c r="Q14" s="260"/>
      <c r="S14" s="258"/>
    </row>
    <row r="15" spans="1:20">
      <c r="A15" s="277">
        <f t="shared" si="0"/>
        <v>5</v>
      </c>
      <c r="B15" s="244">
        <v>150</v>
      </c>
      <c r="D15" s="243">
        <v>1.4908688935828765E-2</v>
      </c>
      <c r="F15" s="242">
        <f>ROUND((($B15*O$15+$O$13)),2)</f>
        <v>20.309999999999999</v>
      </c>
      <c r="H15" s="242">
        <f>ROUND((($B15*Q$15+$Q$13)),2)</f>
        <v>20.47</v>
      </c>
      <c r="J15" s="241">
        <f>H15-F15</f>
        <v>0.16000000000000014</v>
      </c>
      <c r="L15" s="240">
        <f>(H15-F15)/F15</f>
        <v>7.8778926637124644E-3</v>
      </c>
      <c r="N15" s="263" t="s">
        <v>278</v>
      </c>
      <c r="O15" s="262">
        <f>SUM(O22,O27:O33,O35,O37:O39)</f>
        <v>8.5467161999999999E-2</v>
      </c>
      <c r="P15" s="261"/>
      <c r="Q15" s="260">
        <f>SUM(Q22,Q27:Q33,Q35,Q37:Q39)</f>
        <v>8.6503162000000008E-2</v>
      </c>
      <c r="S15" s="258">
        <f>(Q15-O15)/O15</f>
        <v>1.2121614614979367E-2</v>
      </c>
    </row>
    <row r="16" spans="1:20">
      <c r="A16" s="277">
        <f t="shared" si="0"/>
        <v>6</v>
      </c>
      <c r="B16" s="244">
        <v>200</v>
      </c>
      <c r="D16" s="243">
        <v>2.0516728812595968E-2</v>
      </c>
      <c r="F16" s="242">
        <f>ROUND((($B16*O$15+$O$13)),2)</f>
        <v>24.58</v>
      </c>
      <c r="H16" s="242">
        <f>ROUND((($B16*Q$15+$Q$13)),2)</f>
        <v>24.79</v>
      </c>
      <c r="J16" s="241">
        <f>H16-F16</f>
        <v>0.21000000000000085</v>
      </c>
      <c r="L16" s="240">
        <f>(H16-F16)/F16</f>
        <v>8.5435313262815643E-3</v>
      </c>
      <c r="N16" s="263" t="s">
        <v>277</v>
      </c>
      <c r="O16" s="262">
        <f>SUM(O23,O27:O33,O36,O37:O39)</f>
        <v>0.104428162</v>
      </c>
      <c r="P16" s="261"/>
      <c r="Q16" s="260">
        <f>SUM(Q23,Q27:Q33,Q36,Q37:Q39)</f>
        <v>0.105689162</v>
      </c>
      <c r="S16" s="258">
        <f>(Q16-O16)/O16</f>
        <v>1.2075286741137876E-2</v>
      </c>
    </row>
    <row r="17" spans="1:19" ht="14.4" thickBot="1">
      <c r="A17" s="277">
        <f t="shared" si="0"/>
        <v>7</v>
      </c>
      <c r="B17" s="244">
        <v>300</v>
      </c>
      <c r="D17" s="243">
        <v>6.3392310525435244E-2</v>
      </c>
      <c r="F17" s="242">
        <f>ROUND((($B17*O$15+$O$13)),2)</f>
        <v>33.130000000000003</v>
      </c>
      <c r="H17" s="242">
        <f>ROUND((($B17*Q$15+$Q$13)),2)</f>
        <v>33.44</v>
      </c>
      <c r="J17" s="241">
        <f>H17-F17</f>
        <v>0.30999999999999517</v>
      </c>
      <c r="L17" s="240">
        <f>(H17-F17)/F17</f>
        <v>9.357078176878815E-3</v>
      </c>
      <c r="N17" s="257"/>
      <c r="O17" s="256"/>
      <c r="P17" s="255"/>
      <c r="Q17" s="254"/>
      <c r="S17" s="258"/>
    </row>
    <row r="18" spans="1:19">
      <c r="A18" s="277">
        <f t="shared" si="0"/>
        <v>8</v>
      </c>
      <c r="D18" s="243"/>
      <c r="F18" s="247"/>
      <c r="H18" s="247"/>
      <c r="R18" s="259"/>
      <c r="S18" s="258"/>
    </row>
    <row r="19" spans="1:19">
      <c r="A19" s="277">
        <f t="shared" si="0"/>
        <v>9</v>
      </c>
      <c r="B19" s="244">
        <v>400</v>
      </c>
      <c r="D19" s="243">
        <v>8.9366412179571794E-2</v>
      </c>
      <c r="F19" s="242">
        <f>ROUND((($B19*O$15+$O$13)),2)</f>
        <v>41.68</v>
      </c>
      <c r="H19" s="242">
        <f>ROUND((($B19*Q$15+$Q$13)),2)</f>
        <v>42.09</v>
      </c>
      <c r="J19" s="241">
        <f>H19-F19</f>
        <v>0.41000000000000369</v>
      </c>
      <c r="L19" s="240">
        <f>(H19-F19)/F19</f>
        <v>9.8368522072937552E-3</v>
      </c>
    </row>
    <row r="20" spans="1:19">
      <c r="A20" s="277">
        <f t="shared" si="0"/>
        <v>10</v>
      </c>
      <c r="B20" s="244">
        <v>500</v>
      </c>
      <c r="D20" s="243">
        <v>0.10259225843382799</v>
      </c>
      <c r="F20" s="242">
        <f>ROUND((($B20*O$15+$O$13)),2)</f>
        <v>50.22</v>
      </c>
      <c r="H20" s="242">
        <f>ROUND((($B20*Q$15+$Q$13)),2)</f>
        <v>50.74</v>
      </c>
      <c r="J20" s="241">
        <f>H20-F20</f>
        <v>0.52000000000000313</v>
      </c>
      <c r="L20" s="240">
        <f>(H20-F20)/F20</f>
        <v>1.0354440461967407E-2</v>
      </c>
      <c r="S20" s="233" t="s">
        <v>24</v>
      </c>
    </row>
    <row r="21" spans="1:19">
      <c r="A21" s="277">
        <f t="shared" si="0"/>
        <v>11</v>
      </c>
      <c r="B21" s="244">
        <v>600</v>
      </c>
      <c r="D21" s="243">
        <v>0.10260180180545389</v>
      </c>
      <c r="F21" s="242">
        <f>ROUND((($B21*O$15+$O$13)),2)</f>
        <v>58.77</v>
      </c>
      <c r="H21" s="242">
        <f>ROUND((($B21*Q$15+$Q$13)),2)</f>
        <v>59.39</v>
      </c>
      <c r="J21" s="241">
        <f>H21-F21</f>
        <v>0.61999999999999744</v>
      </c>
      <c r="L21" s="240">
        <f>(H21-F21)/F21</f>
        <v>1.0549600136123828E-2</v>
      </c>
      <c r="N21" s="233" t="str">
        <f>+N13</f>
        <v>Basic 1 Phase</v>
      </c>
      <c r="O21" s="250">
        <f>+'[1](JAP4)-Tariff Summary'!$D$8</f>
        <v>7.49</v>
      </c>
      <c r="P21" s="250"/>
      <c r="Q21" s="250">
        <f>+O21</f>
        <v>7.49</v>
      </c>
    </row>
    <row r="22" spans="1:19">
      <c r="A22" s="277">
        <f t="shared" si="0"/>
        <v>12</v>
      </c>
      <c r="B22" s="244">
        <v>700</v>
      </c>
      <c r="D22" s="243">
        <v>9.354041267396912E-2</v>
      </c>
      <c r="F22" s="242">
        <f>ROUND((((600*O$15)+(($B22-600)*O$16)+$O$13)),2)</f>
        <v>69.209999999999994</v>
      </c>
      <c r="H22" s="242">
        <f>ROUND((((600*Q$15)+(($B22-600)*Q$16)+$Q$13)),2)</f>
        <v>69.959999999999994</v>
      </c>
      <c r="J22" s="241">
        <f>H22-F22</f>
        <v>0.75</v>
      </c>
      <c r="L22" s="240">
        <f>(H22-F22)/F22</f>
        <v>1.0836584308625921E-2</v>
      </c>
      <c r="N22" s="233" t="str">
        <f>+N15</f>
        <v>Energy - First 600</v>
      </c>
      <c r="O22" s="250">
        <f>+'[1](JAP4)-Tariff Summary'!$D$11</f>
        <v>8.7335999999999997E-2</v>
      </c>
      <c r="P22" s="250"/>
      <c r="Q22" s="250">
        <f t="shared" ref="Q22:Q23" si="1">+O22</f>
        <v>8.7335999999999997E-2</v>
      </c>
      <c r="R22" s="233" t="s">
        <v>24</v>
      </c>
    </row>
    <row r="23" spans="1:19">
      <c r="A23" s="277">
        <f t="shared" si="0"/>
        <v>13</v>
      </c>
      <c r="D23" s="243"/>
      <c r="F23" s="247"/>
      <c r="H23" s="247"/>
      <c r="N23" s="233" t="str">
        <f>+N16</f>
        <v>Energy - Over 600</v>
      </c>
      <c r="O23" s="250">
        <f>+'[1](JAP4)-Tariff Summary'!$D$12</f>
        <v>0.106297</v>
      </c>
      <c r="P23" s="250"/>
      <c r="Q23" s="250">
        <f t="shared" si="1"/>
        <v>0.106297</v>
      </c>
    </row>
    <row r="24" spans="1:19">
      <c r="A24" s="277">
        <f t="shared" si="0"/>
        <v>14</v>
      </c>
      <c r="B24" s="244">
        <v>800</v>
      </c>
      <c r="D24" s="243">
        <v>8.0786329905573828E-2</v>
      </c>
      <c r="F24" s="242">
        <f>ROUND((((600*O$15)+(($B24-600)*O$16)+$O$13)),2)</f>
        <v>79.66</v>
      </c>
      <c r="H24" s="242">
        <f>ROUND((((600*Q$15)+(($B24-600)*Q$16)+$Q$13)),2)</f>
        <v>80.53</v>
      </c>
      <c r="J24" s="241">
        <f>H24-F24</f>
        <v>0.87000000000000455</v>
      </c>
      <c r="L24" s="240">
        <f>(H24-F24)/F24</f>
        <v>1.0921416018076884E-2</v>
      </c>
      <c r="N24" s="252"/>
      <c r="O24" s="252"/>
      <c r="P24" s="252"/>
      <c r="Q24" s="253"/>
    </row>
    <row r="25" spans="1:19">
      <c r="A25" s="277">
        <f t="shared" si="0"/>
        <v>15</v>
      </c>
      <c r="B25" s="244">
        <v>900</v>
      </c>
      <c r="C25" s="233" t="s">
        <v>273</v>
      </c>
      <c r="D25" s="243">
        <v>6.7617321607992248E-2</v>
      </c>
      <c r="F25" s="242">
        <f>ROUND((((600*O$15)+(($B25-600)*O$16)+$O$13)),2)</f>
        <v>90.1</v>
      </c>
      <c r="H25" s="242">
        <f>ROUND((((600*Q$15)+(($B25-600)*Q$16)+$Q$13)),2)</f>
        <v>91.1</v>
      </c>
      <c r="J25" s="241">
        <f>H25-F25</f>
        <v>1</v>
      </c>
      <c r="L25" s="240">
        <f>(H25-F25)/F25</f>
        <v>1.1098779134295229E-2</v>
      </c>
    </row>
    <row r="26" spans="1:19">
      <c r="A26" s="277">
        <f t="shared" si="0"/>
        <v>16</v>
      </c>
      <c r="B26" s="244">
        <v>1000</v>
      </c>
      <c r="D26" s="243">
        <v>5.6054386745895232E-2</v>
      </c>
      <c r="F26" s="242">
        <f>ROUND((((600*O$15)+(($B26-600)*O$16)+$O$13)),2)</f>
        <v>100.54</v>
      </c>
      <c r="H26" s="242">
        <f>ROUND((((600*Q$15)+(($B26-600)*Q$16)+$Q$13)),2)</f>
        <v>101.67</v>
      </c>
      <c r="J26" s="241">
        <f>H26-F26</f>
        <v>1.1299999999999955</v>
      </c>
      <c r="L26" s="240">
        <f>(H26-F26)/F26</f>
        <v>1.12393077382136E-2</v>
      </c>
    </row>
    <row r="27" spans="1:19">
      <c r="A27" s="277">
        <f t="shared" si="0"/>
        <v>17</v>
      </c>
      <c r="B27" s="244">
        <v>1100</v>
      </c>
      <c r="D27" s="243">
        <v>4.6059014014314552E-2</v>
      </c>
      <c r="F27" s="242">
        <f>ROUND((((600*O$15)+(($B27-600)*O$16)+$O$13)),2)</f>
        <v>110.98</v>
      </c>
      <c r="H27" s="242">
        <f>ROUND((((600*Q$15)+(($B27-600)*Q$16)+$Q$13)),2)</f>
        <v>112.24</v>
      </c>
      <c r="J27" s="241">
        <f>H27-F27</f>
        <v>1.2599999999999909</v>
      </c>
      <c r="L27" s="240">
        <f>(H27-F27)/F27</f>
        <v>1.1353397008469912E-2</v>
      </c>
      <c r="N27" s="249" t="s">
        <v>276</v>
      </c>
      <c r="O27" s="250">
        <v>0</v>
      </c>
      <c r="P27" s="252"/>
      <c r="Q27" s="250">
        <v>0</v>
      </c>
    </row>
    <row r="28" spans="1:19">
      <c r="A28" s="277">
        <f t="shared" si="0"/>
        <v>18</v>
      </c>
      <c r="B28" s="244">
        <v>1200</v>
      </c>
      <c r="D28" s="243">
        <v>3.7802646284051784E-2</v>
      </c>
      <c r="F28" s="242">
        <f>ROUND((((600*O$15)+(($B28-600)*O$16)+$O$13)),2)</f>
        <v>121.43</v>
      </c>
      <c r="H28" s="242">
        <f>ROUND((((600*Q$15)+(($B28-600)*Q$16)+$Q$13)),2)</f>
        <v>122.81</v>
      </c>
      <c r="J28" s="241">
        <f>H28-F28</f>
        <v>1.3799999999999955</v>
      </c>
      <c r="L28" s="240">
        <f>(H28-F28)/F28</f>
        <v>1.1364572181503709E-2</v>
      </c>
      <c r="N28" s="249" t="s">
        <v>275</v>
      </c>
      <c r="O28" s="250">
        <f>+'Sch 95a'!$H$7</f>
        <v>-2.0720000000000001E-3</v>
      </c>
      <c r="P28" s="252"/>
      <c r="Q28" s="250">
        <f t="shared" ref="Q28:Q33" si="2">+O28</f>
        <v>-2.0720000000000001E-3</v>
      </c>
    </row>
    <row r="29" spans="1:19">
      <c r="A29" s="277">
        <f t="shared" si="0"/>
        <v>19</v>
      </c>
      <c r="B29" s="244"/>
      <c r="D29" s="243"/>
      <c r="F29" s="247"/>
      <c r="H29" s="247"/>
      <c r="L29" s="251"/>
      <c r="N29" s="249" t="s">
        <v>274</v>
      </c>
      <c r="O29" s="250">
        <f>+'Sch 120'!$H$7</f>
        <v>4.8599999999999997E-3</v>
      </c>
      <c r="P29" s="252"/>
      <c r="Q29" s="250">
        <f t="shared" si="2"/>
        <v>4.8599999999999997E-3</v>
      </c>
    </row>
    <row r="30" spans="1:19">
      <c r="A30" s="277">
        <f t="shared" si="0"/>
        <v>20</v>
      </c>
      <c r="B30" s="244">
        <v>1300</v>
      </c>
      <c r="D30" s="243">
        <v>3.093167207725165E-2</v>
      </c>
      <c r="F30" s="242">
        <f>ROUND((((600*O$15)+(($B30-600)*O$16)+$O$13)),2)</f>
        <v>131.87</v>
      </c>
      <c r="H30" s="242">
        <f>ROUND((((600*Q$15)+(($B30-600)*Q$16)+$Q$13)),2)</f>
        <v>133.37</v>
      </c>
      <c r="J30" s="241">
        <f>H30-F30</f>
        <v>1.5</v>
      </c>
      <c r="L30" s="240">
        <f>(H30-F30)/F30</f>
        <v>1.1374838856449533E-2</v>
      </c>
      <c r="N30" s="249" t="s">
        <v>209</v>
      </c>
      <c r="O30" s="250">
        <f>+'Sch 129'!$G$7</f>
        <v>8.9499999999999996E-4</v>
      </c>
      <c r="P30" s="233" t="s">
        <v>24</v>
      </c>
      <c r="Q30" s="250">
        <f t="shared" si="2"/>
        <v>8.9499999999999996E-4</v>
      </c>
    </row>
    <row r="31" spans="1:19">
      <c r="A31" s="277">
        <f t="shared" si="0"/>
        <v>21</v>
      </c>
      <c r="B31" s="244">
        <v>1400</v>
      </c>
      <c r="D31" s="243">
        <v>2.5532488466244209E-2</v>
      </c>
      <c r="F31" s="242">
        <f>ROUND((((600*O$15)+(($B31-600)*O$16)+$O$13)),2)</f>
        <v>142.31</v>
      </c>
      <c r="H31" s="242">
        <f>ROUND((((600*Q$15)+(($B31-600)*Q$16)+$Q$13)),2)</f>
        <v>143.94</v>
      </c>
      <c r="J31" s="241">
        <f>H31-F31</f>
        <v>1.6299999999999955</v>
      </c>
      <c r="L31" s="240">
        <f>(H31-F31)/F31</f>
        <v>1.1453868315648904E-2</v>
      </c>
      <c r="N31" s="252" t="s">
        <v>210</v>
      </c>
      <c r="O31" s="248">
        <f>+'Sch 132'!$E$7</f>
        <v>-3.4600000000000001E-4</v>
      </c>
      <c r="Q31" s="248">
        <f t="shared" si="2"/>
        <v>-3.4600000000000001E-4</v>
      </c>
    </row>
    <row r="32" spans="1:19">
      <c r="A32" s="277">
        <f t="shared" si="0"/>
        <v>22</v>
      </c>
      <c r="B32" s="244">
        <v>1600</v>
      </c>
      <c r="C32" s="233" t="s">
        <v>24</v>
      </c>
      <c r="D32" s="243">
        <v>3.8812385674841791E-2</v>
      </c>
      <c r="F32" s="242">
        <f>ROUND((((600*O$15)+(($B32-600)*O$16)+$O$13)),2)</f>
        <v>163.19999999999999</v>
      </c>
      <c r="H32" s="242">
        <f>ROUND((((600*Q$15)+(($B32-600)*Q$16)+$Q$13)),2)</f>
        <v>165.08</v>
      </c>
      <c r="J32" s="241">
        <f>H32-F32</f>
        <v>1.8800000000000239</v>
      </c>
      <c r="L32" s="240">
        <f>(H32-F32)/F32</f>
        <v>1.1519607843137401E-2</v>
      </c>
      <c r="N32" s="252" t="s">
        <v>272</v>
      </c>
      <c r="O32" s="248">
        <f>+'Sch 137'!$E$7</f>
        <v>-3.4999999999999997E-5</v>
      </c>
      <c r="Q32" s="248">
        <f t="shared" si="2"/>
        <v>-3.4999999999999997E-5</v>
      </c>
    </row>
    <row r="33" spans="1:17">
      <c r="A33" s="277">
        <f t="shared" si="0"/>
        <v>23</v>
      </c>
      <c r="B33" s="244">
        <v>2000</v>
      </c>
      <c r="D33" s="243">
        <v>4.6644706777373153E-2</v>
      </c>
      <c r="F33" s="242">
        <f>ROUND((((600*O$15)+(($B33-600)*O$16)+$O$13)),2)</f>
        <v>204.97</v>
      </c>
      <c r="H33" s="242">
        <f>ROUND((((600*Q$15)+(($B33-600)*Q$16)+$Q$13)),2)</f>
        <v>207.36</v>
      </c>
      <c r="J33" s="241">
        <f>H33-F33</f>
        <v>2.3900000000000148</v>
      </c>
      <c r="L33" s="240">
        <f>(H33-F33)/F33</f>
        <v>1.1660242962384812E-2</v>
      </c>
      <c r="N33" s="252" t="s">
        <v>241</v>
      </c>
      <c r="O33" s="387">
        <f>+'Sch 140'!$H$7</f>
        <v>3.4720000000000003E-3</v>
      </c>
      <c r="Q33" s="387">
        <f t="shared" si="2"/>
        <v>3.4720000000000003E-3</v>
      </c>
    </row>
    <row r="34" spans="1:17">
      <c r="A34" s="277">
        <f t="shared" si="0"/>
        <v>24</v>
      </c>
      <c r="B34" s="244">
        <v>2500</v>
      </c>
      <c r="D34" s="243">
        <v>2.8462894737708876E-2</v>
      </c>
      <c r="F34" s="242">
        <f>ROUND((((600*O$15)+(($B34-600)*O$16)+$O$13)),2)</f>
        <v>257.18</v>
      </c>
      <c r="H34" s="242">
        <f>ROUND((((600*Q$15)+(($B34-600)*Q$16)+$Q$13)),2)</f>
        <v>260.2</v>
      </c>
      <c r="J34" s="241">
        <f>H34-F34</f>
        <v>3.0199999999999818</v>
      </c>
      <c r="L34" s="240">
        <f>(H34-F34)/F34</f>
        <v>1.1742748269694306E-2</v>
      </c>
      <c r="N34" s="386" t="s">
        <v>271</v>
      </c>
      <c r="O34" s="388">
        <v>0</v>
      </c>
      <c r="P34" s="385"/>
      <c r="Q34" s="388">
        <f>+'[1](JAP4)-Tariff Summary'!$F$8</f>
        <v>0</v>
      </c>
    </row>
    <row r="35" spans="1:17">
      <c r="A35" s="277">
        <f t="shared" si="0"/>
        <v>25</v>
      </c>
      <c r="D35" s="243"/>
      <c r="F35" s="247"/>
      <c r="H35" s="247"/>
      <c r="N35" s="386" t="s">
        <v>270</v>
      </c>
      <c r="O35" s="388">
        <v>0</v>
      </c>
      <c r="P35" s="385"/>
      <c r="Q35" s="388">
        <f>+'[1](JAP4)-Tariff Summary'!$F$11</f>
        <v>1.0360000000000091E-3</v>
      </c>
    </row>
    <row r="36" spans="1:17">
      <c r="A36" s="277">
        <f t="shared" si="0"/>
        <v>26</v>
      </c>
      <c r="B36" s="244">
        <v>3000</v>
      </c>
      <c r="D36" s="243">
        <v>1.3600909204615715E-2</v>
      </c>
      <c r="F36" s="242">
        <f>ROUND((((600*O$15)+(($B36-600)*O$16)+$O$13)),2)</f>
        <v>309.39999999999998</v>
      </c>
      <c r="H36" s="242">
        <f>ROUND((((600*Q$15)+(($B36-600)*Q$16)+$Q$13)),2)</f>
        <v>313.05</v>
      </c>
      <c r="J36" s="241">
        <f>H36-F36</f>
        <v>3.6500000000000341</v>
      </c>
      <c r="L36" s="240">
        <f>(H36-F36)/F36</f>
        <v>1.1797026502908967E-2</v>
      </c>
      <c r="N36" s="386" t="s">
        <v>269</v>
      </c>
      <c r="O36" s="388">
        <v>0</v>
      </c>
      <c r="P36" s="385"/>
      <c r="Q36" s="388">
        <f>+'[1](JAP4)-Tariff Summary'!$F$12</f>
        <v>1.2609999999999982E-3</v>
      </c>
    </row>
    <row r="37" spans="1:17">
      <c r="A37" s="277">
        <f t="shared" si="0"/>
        <v>27</v>
      </c>
      <c r="B37" s="244">
        <v>4000</v>
      </c>
      <c r="D37" s="243">
        <v>1.0247638670045864E-2</v>
      </c>
      <c r="F37" s="242">
        <f>ROUND((((600*O$15)+(($B37-600)*O$16)+$O$13)),2)</f>
        <v>413.83</v>
      </c>
      <c r="H37" s="242">
        <f>ROUND((((600*Q$15)+(($B37-600)*Q$16)+$Q$13)),2)</f>
        <v>418.74</v>
      </c>
      <c r="J37" s="241">
        <f>H37-F37</f>
        <v>4.910000000000025</v>
      </c>
      <c r="L37" s="240">
        <f>(H37-F37)/F37</f>
        <v>1.1864775390861042E-2</v>
      </c>
      <c r="N37" s="252" t="s">
        <v>250</v>
      </c>
      <c r="O37" s="387">
        <f>+'Sch 142'!$G$7</f>
        <v>-1.237E-3</v>
      </c>
      <c r="Q37" s="387">
        <f t="shared" ref="Q37" si="3">+O37</f>
        <v>-1.237E-3</v>
      </c>
    </row>
    <row r="38" spans="1:17">
      <c r="A38" s="277">
        <f t="shared" si="0"/>
        <v>28</v>
      </c>
      <c r="B38" s="244">
        <v>5000</v>
      </c>
      <c r="D38" s="243">
        <v>2.9912135950987272E-3</v>
      </c>
      <c r="F38" s="242">
        <f>ROUND((((600*O$15)+(($B38-600)*O$16)+$O$13)),2)</f>
        <v>518.25</v>
      </c>
      <c r="H38" s="242">
        <f>ROUND((((600*Q$15)+(($B38-600)*Q$16)+$Q$13)),2)</f>
        <v>524.41999999999996</v>
      </c>
      <c r="J38" s="241">
        <f>H38-F38</f>
        <v>6.1699999999999591</v>
      </c>
      <c r="L38" s="240">
        <f>(H38-F38)/F38</f>
        <v>1.1905451037144157E-2</v>
      </c>
      <c r="N38" s="249"/>
      <c r="O38" s="248"/>
      <c r="Q38" s="250"/>
    </row>
    <row r="39" spans="1:17">
      <c r="A39" s="277">
        <f t="shared" si="0"/>
        <v>29</v>
      </c>
      <c r="B39" s="244" t="s">
        <v>267</v>
      </c>
      <c r="D39" s="243">
        <v>2.5809330698011489E-3</v>
      </c>
      <c r="F39" s="242"/>
      <c r="H39" s="242"/>
      <c r="J39" s="241"/>
      <c r="L39" s="240"/>
      <c r="N39" s="249" t="s">
        <v>268</v>
      </c>
      <c r="O39" s="248">
        <f>+'Sch 194'!$E$7</f>
        <v>-7.4058380000000005E-3</v>
      </c>
      <c r="Q39" s="248">
        <f>+O39</f>
        <v>-7.4058380000000005E-3</v>
      </c>
    </row>
    <row r="40" spans="1:17">
      <c r="A40" s="277">
        <f t="shared" si="0"/>
        <v>30</v>
      </c>
      <c r="B40" s="239"/>
      <c r="C40" s="237"/>
      <c r="D40" s="238"/>
      <c r="E40" s="237"/>
      <c r="F40" s="238"/>
      <c r="G40" s="237"/>
      <c r="H40" s="238"/>
      <c r="I40" s="237"/>
      <c r="J40" s="237"/>
      <c r="K40" s="237"/>
      <c r="L40" s="236"/>
    </row>
    <row r="41" spans="1:17">
      <c r="A41" s="277">
        <f t="shared" si="0"/>
        <v>31</v>
      </c>
      <c r="B41" s="235"/>
      <c r="N41" s="335" t="s">
        <v>383</v>
      </c>
      <c r="O41" s="245">
        <f>+'JAP-4 (ERF Impacts)'!V9</f>
        <v>1.1073602623476193E-2</v>
      </c>
    </row>
    <row r="42" spans="1:17">
      <c r="A42" s="277">
        <f t="shared" si="0"/>
        <v>32</v>
      </c>
      <c r="B42" s="522" t="s">
        <v>266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</row>
    <row r="43" spans="1:17">
      <c r="A43" s="277">
        <f t="shared" si="0"/>
        <v>33</v>
      </c>
      <c r="B43" s="523" t="s">
        <v>265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</row>
    <row r="44" spans="1:17" ht="15.6">
      <c r="A44" s="277">
        <f t="shared" si="0"/>
        <v>34</v>
      </c>
      <c r="B44" s="520" t="s">
        <v>384</v>
      </c>
      <c r="C44" s="520"/>
      <c r="D44" s="520"/>
      <c r="E44" s="520"/>
      <c r="F44" s="520"/>
      <c r="G44" s="520"/>
      <c r="H44" s="520"/>
      <c r="I44" s="520"/>
      <c r="J44" s="520"/>
      <c r="K44" s="520"/>
      <c r="L44" s="520"/>
    </row>
    <row r="45" spans="1:17" ht="14.4">
      <c r="A45" s="277">
        <f t="shared" si="0"/>
        <v>35</v>
      </c>
      <c r="B45" s="520" t="s">
        <v>476</v>
      </c>
      <c r="C45" s="520"/>
      <c r="D45" s="520"/>
      <c r="E45" s="520"/>
      <c r="F45" s="520"/>
      <c r="G45" s="520"/>
      <c r="H45" s="520"/>
      <c r="I45" s="520"/>
      <c r="J45" s="520"/>
      <c r="K45" s="520"/>
      <c r="L45" s="520"/>
    </row>
    <row r="46" spans="1:17" ht="14.4">
      <c r="A46" s="277">
        <f t="shared" si="0"/>
        <v>36</v>
      </c>
      <c r="B46" s="520" t="s">
        <v>509</v>
      </c>
      <c r="C46" s="520"/>
      <c r="D46" s="520"/>
      <c r="E46" s="520"/>
      <c r="F46" s="520"/>
      <c r="G46" s="520"/>
      <c r="H46" s="520"/>
      <c r="I46" s="520"/>
      <c r="J46" s="520"/>
      <c r="K46" s="520"/>
      <c r="L46" s="520"/>
    </row>
  </sheetData>
  <mergeCells count="11">
    <mergeCell ref="B1:L1"/>
    <mergeCell ref="B2:L2"/>
    <mergeCell ref="B3:L3"/>
    <mergeCell ref="B4:L4"/>
    <mergeCell ref="F6:L6"/>
    <mergeCell ref="B45:L45"/>
    <mergeCell ref="B46:L46"/>
    <mergeCell ref="B44:L44"/>
    <mergeCell ref="J7:L7"/>
    <mergeCell ref="B42:L42"/>
    <mergeCell ref="B43:L43"/>
  </mergeCells>
  <printOptions horizontalCentered="1"/>
  <pageMargins left="0.7" right="0.7" top="0.75" bottom="0.75" header="0.3" footer="0.3"/>
  <pageSetup scale="81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9"/>
  <sheetViews>
    <sheetView zoomScale="80" zoomScaleNormal="80" zoomScaleSheetLayoutView="75" workbookViewId="0">
      <pane xSplit="1" ySplit="8" topLeftCell="B42" activePane="bottomRight" state="frozen"/>
      <selection pane="topRight" activeCell="B1" sqref="B1"/>
      <selection pane="bottomLeft" activeCell="A9" sqref="A9"/>
      <selection pane="bottomRight" activeCell="B47" sqref="B47"/>
    </sheetView>
  </sheetViews>
  <sheetFormatPr defaultColWidth="9.44140625" defaultRowHeight="13.8"/>
  <cols>
    <col min="1" max="1" width="8.33203125" style="233" bestFit="1" customWidth="1"/>
    <col min="2" max="2" width="8.44140625" style="233" customWidth="1"/>
    <col min="3" max="3" width="3.6640625" style="233" customWidth="1"/>
    <col min="4" max="4" width="12.5546875" style="233" bestFit="1" customWidth="1"/>
    <col min="5" max="5" width="1.6640625" style="233" customWidth="1"/>
    <col min="6" max="6" width="12" style="233" bestFit="1" customWidth="1"/>
    <col min="7" max="7" width="1.6640625" style="233" customWidth="1"/>
    <col min="8" max="8" width="12.5546875" style="233" bestFit="1" customWidth="1"/>
    <col min="9" max="9" width="1.6640625" style="233" customWidth="1"/>
    <col min="10" max="10" width="12.6640625" style="233" customWidth="1"/>
    <col min="11" max="11" width="1.6640625" style="233" customWidth="1"/>
    <col min="12" max="12" width="10.44140625" style="233" customWidth="1"/>
    <col min="13" max="13" width="2.33203125" style="233" hidden="1" customWidth="1"/>
    <col min="14" max="14" width="8" style="233" customWidth="1"/>
    <col min="15" max="15" width="1.6640625" style="233" customWidth="1"/>
    <col min="16" max="16" width="9.6640625" style="233" customWidth="1"/>
    <col min="17" max="17" width="1.6640625" style="233" hidden="1" customWidth="1"/>
    <col min="18" max="18" width="12" style="233" bestFit="1" customWidth="1"/>
    <col min="19" max="19" width="3.44140625" style="233" customWidth="1"/>
    <col min="20" max="20" width="22.6640625" style="233" customWidth="1"/>
    <col min="21" max="21" width="11.88671875" style="233" bestFit="1" customWidth="1"/>
    <col min="22" max="22" width="11.6640625" style="233" bestFit="1" customWidth="1"/>
    <col min="23" max="23" width="12.33203125" style="233" bestFit="1" customWidth="1"/>
    <col min="24" max="24" width="11.88671875" style="233" bestFit="1" customWidth="1"/>
    <col min="25" max="25" width="11.6640625" style="233" bestFit="1" customWidth="1"/>
    <col min="26" max="26" width="2.88671875" style="280" customWidth="1"/>
    <col min="27" max="27" width="6.5546875" style="233" customWidth="1"/>
    <col min="28" max="28" width="8.6640625" style="233" customWidth="1"/>
    <col min="29" max="16384" width="9.44140625" style="233"/>
  </cols>
  <sheetData>
    <row r="1" spans="1:28" ht="20.399999999999999">
      <c r="B1" s="312" t="s">
        <v>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8" ht="20.399999999999999">
      <c r="B2" s="312" t="s">
        <v>288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</row>
    <row r="3" spans="1:28" ht="20.399999999999999">
      <c r="B3" s="312" t="s">
        <v>308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</row>
    <row r="4" spans="1:28" ht="20.399999999999999">
      <c r="B4" s="312" t="s">
        <v>307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</row>
    <row r="5" spans="1:28">
      <c r="A5" s="281"/>
    </row>
    <row r="6" spans="1:28" ht="16.2">
      <c r="A6" s="281"/>
      <c r="B6" s="285"/>
      <c r="C6" s="285"/>
      <c r="D6" s="310" t="s">
        <v>306</v>
      </c>
      <c r="E6" s="310"/>
      <c r="F6" s="310"/>
      <c r="G6" s="310"/>
      <c r="H6" s="310"/>
      <c r="I6" s="310"/>
      <c r="J6" s="310"/>
      <c r="K6" s="285"/>
      <c r="L6" s="309" t="s">
        <v>305</v>
      </c>
      <c r="M6" s="309"/>
      <c r="N6" s="309"/>
      <c r="O6" s="282"/>
      <c r="P6" s="309" t="s">
        <v>304</v>
      </c>
      <c r="Q6" s="309"/>
      <c r="R6" s="309"/>
    </row>
    <row r="7" spans="1:28" ht="15.6">
      <c r="A7" s="281"/>
      <c r="B7" s="285"/>
      <c r="C7" s="285"/>
      <c r="D7" s="307" t="s">
        <v>406</v>
      </c>
      <c r="E7" s="307"/>
      <c r="F7" s="307"/>
      <c r="G7" s="308"/>
      <c r="H7" s="307" t="s">
        <v>407</v>
      </c>
      <c r="I7" s="307"/>
      <c r="J7" s="307"/>
      <c r="K7" s="285"/>
      <c r="L7" s="307" t="s">
        <v>33</v>
      </c>
      <c r="M7" s="307"/>
      <c r="N7" s="307"/>
      <c r="O7" s="282"/>
      <c r="P7" s="307" t="s">
        <v>33</v>
      </c>
      <c r="Q7" s="307"/>
      <c r="R7" s="307"/>
    </row>
    <row r="8" spans="1:28" ht="15.6">
      <c r="A8" s="503" t="s">
        <v>3</v>
      </c>
      <c r="B8" s="306" t="s">
        <v>284</v>
      </c>
      <c r="C8" s="285"/>
      <c r="D8" s="305" t="s">
        <v>303</v>
      </c>
      <c r="E8" s="304"/>
      <c r="F8" s="303" t="s">
        <v>302</v>
      </c>
      <c r="G8" s="285"/>
      <c r="H8" s="305" t="s">
        <v>303</v>
      </c>
      <c r="I8" s="304"/>
      <c r="J8" s="303" t="s">
        <v>302</v>
      </c>
      <c r="K8" s="285"/>
      <c r="L8" s="305" t="s">
        <v>303</v>
      </c>
      <c r="M8" s="304"/>
      <c r="N8" s="303" t="s">
        <v>302</v>
      </c>
      <c r="O8" s="282"/>
      <c r="P8" s="305" t="s">
        <v>303</v>
      </c>
      <c r="Q8" s="304"/>
      <c r="R8" s="303" t="s">
        <v>302</v>
      </c>
    </row>
    <row r="9" spans="1:28" ht="15.6">
      <c r="A9" s="278"/>
      <c r="B9" s="318" t="s">
        <v>98</v>
      </c>
      <c r="C9" s="318"/>
      <c r="D9" s="318" t="s">
        <v>99</v>
      </c>
      <c r="E9" s="318"/>
      <c r="F9" s="318" t="s">
        <v>100</v>
      </c>
      <c r="G9" s="318"/>
      <c r="H9" s="318" t="s">
        <v>101</v>
      </c>
      <c r="I9" s="318"/>
      <c r="J9" s="318" t="s">
        <v>220</v>
      </c>
      <c r="K9" s="505"/>
      <c r="L9" s="505" t="s">
        <v>503</v>
      </c>
      <c r="M9" s="505"/>
      <c r="N9" s="505" t="s">
        <v>504</v>
      </c>
      <c r="O9" s="505"/>
      <c r="P9" s="505" t="s">
        <v>505</v>
      </c>
      <c r="Q9" s="505"/>
      <c r="R9" s="506" t="s">
        <v>506</v>
      </c>
      <c r="S9" s="329"/>
      <c r="T9" s="329"/>
      <c r="U9" s="329" t="s">
        <v>254</v>
      </c>
      <c r="V9" s="329" t="s">
        <v>255</v>
      </c>
      <c r="W9" s="329"/>
      <c r="X9" s="329" t="s">
        <v>491</v>
      </c>
      <c r="Y9" s="329" t="s">
        <v>507</v>
      </c>
    </row>
    <row r="10" spans="1:28" s="278" customFormat="1" ht="16.2" thickBot="1">
      <c r="B10" s="507"/>
      <c r="C10" s="507"/>
      <c r="D10" s="507"/>
      <c r="E10" s="507"/>
      <c r="F10" s="507"/>
      <c r="G10" s="507"/>
      <c r="H10" s="507"/>
      <c r="I10" s="507"/>
      <c r="J10" s="507"/>
      <c r="K10" s="508"/>
      <c r="L10" s="508"/>
      <c r="M10" s="508"/>
      <c r="N10" s="508"/>
      <c r="O10" s="508"/>
      <c r="P10" s="508"/>
      <c r="Q10" s="508"/>
      <c r="R10" s="509"/>
      <c r="Z10" s="280"/>
    </row>
    <row r="11" spans="1:28" ht="15.6">
      <c r="A11" s="277">
        <v>1</v>
      </c>
      <c r="B11" s="288">
        <v>500</v>
      </c>
      <c r="C11" s="283"/>
      <c r="D11" s="286">
        <f>ROUND($U$13+$B11*$U$17,2)</f>
        <v>57.93</v>
      </c>
      <c r="E11" s="286"/>
      <c r="F11" s="286">
        <f>ROUND($V$13+$B11*$V$17,2)</f>
        <v>73.03</v>
      </c>
      <c r="G11" s="286"/>
      <c r="H11" s="286">
        <f>ROUND($X$13+$B11*$X$17,2)</f>
        <v>58.37</v>
      </c>
      <c r="I11" s="286"/>
      <c r="J11" s="286">
        <f>ROUND($Y$13+$B11*$Y$17,2)</f>
        <v>73.59</v>
      </c>
      <c r="K11" s="285"/>
      <c r="L11" s="286">
        <f>H11-D11</f>
        <v>0.43999999999999773</v>
      </c>
      <c r="M11" s="286"/>
      <c r="N11" s="286">
        <f>J11-F11</f>
        <v>0.56000000000000227</v>
      </c>
      <c r="O11" s="282"/>
      <c r="P11" s="284">
        <f>ROUND(H11/D11-1,4)</f>
        <v>7.6E-3</v>
      </c>
      <c r="Q11" s="285"/>
      <c r="R11" s="284">
        <f>ROUND(J11/F11-1,4)</f>
        <v>7.7000000000000002E-3</v>
      </c>
      <c r="T11" s="527" t="s">
        <v>301</v>
      </c>
      <c r="U11" s="528"/>
      <c r="V11" s="529"/>
      <c r="W11" s="530" t="s">
        <v>300</v>
      </c>
      <c r="X11" s="528"/>
      <c r="Y11" s="529"/>
    </row>
    <row r="12" spans="1:28" ht="15.6">
      <c r="A12" s="277">
        <f>+A11+1</f>
        <v>2</v>
      </c>
      <c r="B12" s="288">
        <f>+B11+500</f>
        <v>1000</v>
      </c>
      <c r="C12" s="283"/>
      <c r="D12" s="286">
        <f>ROUND($U$13+$B12*$U$17,2)</f>
        <v>106.05</v>
      </c>
      <c r="E12" s="286"/>
      <c r="F12" s="286">
        <f>ROUND($V$13+$B12*$V$17,2)</f>
        <v>121.15</v>
      </c>
      <c r="G12" s="286"/>
      <c r="H12" s="286">
        <f>ROUND($X$13+$B12*$X$17,2)</f>
        <v>106.85</v>
      </c>
      <c r="I12" s="286"/>
      <c r="J12" s="286">
        <f>ROUND($Y$13+$B12*$Y$17,2)</f>
        <v>122.07</v>
      </c>
      <c r="K12" s="285"/>
      <c r="L12" s="286">
        <f>H12-D12</f>
        <v>0.79999999999999716</v>
      </c>
      <c r="M12" s="286"/>
      <c r="N12" s="286">
        <f>J12-F12</f>
        <v>0.91999999999998749</v>
      </c>
      <c r="O12" s="282"/>
      <c r="P12" s="284">
        <f>ROUND(H12/D12-1,4)</f>
        <v>7.4999999999999997E-3</v>
      </c>
      <c r="Q12" s="285"/>
      <c r="R12" s="284">
        <f>ROUND(J12/F12-1,4)</f>
        <v>7.6E-3</v>
      </c>
      <c r="T12" s="295"/>
      <c r="U12" s="301" t="s">
        <v>299</v>
      </c>
      <c r="V12" s="300" t="s">
        <v>298</v>
      </c>
      <c r="W12" s="259"/>
      <c r="X12" s="301" t="s">
        <v>299</v>
      </c>
      <c r="Y12" s="300" t="s">
        <v>298</v>
      </c>
    </row>
    <row r="13" spans="1:28" ht="15.6">
      <c r="A13" s="277">
        <f t="shared" ref="A13:A47" si="0">+A12+1</f>
        <v>3</v>
      </c>
      <c r="B13" s="288">
        <f>+B12+500</f>
        <v>1500</v>
      </c>
      <c r="C13" s="283"/>
      <c r="D13" s="286">
        <f>ROUND($U$13+$B13*$U$17,2)</f>
        <v>154.18</v>
      </c>
      <c r="E13" s="286"/>
      <c r="F13" s="286">
        <f>ROUND($V$13+$B13*$V$17,2)</f>
        <v>169.28</v>
      </c>
      <c r="G13" s="286"/>
      <c r="H13" s="286">
        <f>ROUND($X$13+$B13*$X$17,2)</f>
        <v>155.34</v>
      </c>
      <c r="I13" s="286"/>
      <c r="J13" s="286">
        <f>ROUND($Y$13+$B13*$Y$17,2)</f>
        <v>170.56</v>
      </c>
      <c r="K13" s="285"/>
      <c r="L13" s="286">
        <f>H13-D13</f>
        <v>1.1599999999999966</v>
      </c>
      <c r="M13" s="286"/>
      <c r="N13" s="286">
        <f>J13-F13</f>
        <v>1.2800000000000011</v>
      </c>
      <c r="O13" s="282"/>
      <c r="P13" s="284">
        <f>ROUND(H13/D13-1,4)</f>
        <v>7.4999999999999997E-3</v>
      </c>
      <c r="Q13" s="285"/>
      <c r="R13" s="284">
        <f>ROUND(J13/F13-1,4)</f>
        <v>7.6E-3</v>
      </c>
      <c r="T13" s="295" t="s">
        <v>297</v>
      </c>
      <c r="U13" s="266">
        <f>SUM(U20,V32)</f>
        <v>9.8000000000000007</v>
      </c>
      <c r="V13" s="265">
        <f>SUM(V20,V33)</f>
        <v>24.9</v>
      </c>
      <c r="W13" s="295" t="str">
        <f>+T13</f>
        <v>Basic Charge</v>
      </c>
      <c r="X13" s="266">
        <f>SUM(X20,Y32)</f>
        <v>9.8800000000000008</v>
      </c>
      <c r="Y13" s="265">
        <f>SUM(Y20,Y33)</f>
        <v>25.1</v>
      </c>
      <c r="Z13" s="292"/>
      <c r="AA13" s="258">
        <f>(X13-U13)/U13</f>
        <v>8.1632653061224549E-3</v>
      </c>
      <c r="AB13" s="258">
        <f>(Y13-V13)/V13</f>
        <v>8.0321285140563387E-3</v>
      </c>
    </row>
    <row r="14" spans="1:28" ht="15.6">
      <c r="A14" s="277">
        <f t="shared" si="0"/>
        <v>4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T14" s="295"/>
      <c r="U14" s="298"/>
      <c r="V14" s="297"/>
      <c r="W14" s="299"/>
      <c r="X14" s="298"/>
      <c r="Y14" s="297"/>
    </row>
    <row r="15" spans="1:28" ht="15.6">
      <c r="A15" s="277">
        <f t="shared" si="0"/>
        <v>5</v>
      </c>
      <c r="B15" s="288">
        <v>2500</v>
      </c>
      <c r="C15" s="283"/>
      <c r="D15" s="286">
        <f>ROUND($U$13+$B15*$U$17,2)</f>
        <v>250.43</v>
      </c>
      <c r="E15" s="286"/>
      <c r="F15" s="286">
        <f>ROUND($V$13+$B15*$V$17,2)</f>
        <v>265.52999999999997</v>
      </c>
      <c r="G15" s="286"/>
      <c r="H15" s="286">
        <f>ROUND($X$13+$B15*$X$17,2)</f>
        <v>252.31</v>
      </c>
      <c r="I15" s="286"/>
      <c r="J15" s="286">
        <f>ROUND($Y$13+$B15*$Y$17,2)</f>
        <v>267.52999999999997</v>
      </c>
      <c r="K15" s="285"/>
      <c r="L15" s="286">
        <f>H15-D15</f>
        <v>1.8799999999999955</v>
      </c>
      <c r="M15" s="286"/>
      <c r="N15" s="286">
        <f>J15-F15</f>
        <v>2</v>
      </c>
      <c r="O15" s="282"/>
      <c r="P15" s="284">
        <f>ROUND(H15/D15-1,4)</f>
        <v>7.4999999999999997E-3</v>
      </c>
      <c r="Q15" s="285"/>
      <c r="R15" s="284">
        <f>ROUND(J15/F15-1,4)</f>
        <v>7.4999999999999997E-3</v>
      </c>
      <c r="T15" s="296" t="s">
        <v>296</v>
      </c>
      <c r="U15" s="262">
        <f>SUM(U21,V25:V31,V34,V36:V37)</f>
        <v>9.7695000000000004E-2</v>
      </c>
      <c r="V15" s="260">
        <f>U15</f>
        <v>9.7695000000000004E-2</v>
      </c>
      <c r="W15" s="295" t="str">
        <f>+T15</f>
        <v xml:space="preserve">Winter kWh </v>
      </c>
      <c r="X15" s="262">
        <f>SUM(X21,Y25:Y31,Y34,Y36:Y37)</f>
        <v>9.8425000000000012E-2</v>
      </c>
      <c r="Y15" s="260">
        <f>X15</f>
        <v>9.8425000000000012E-2</v>
      </c>
      <c r="AA15" s="258">
        <f t="shared" ref="AA15:AB17" si="1">(X15-U15)/U15</f>
        <v>7.4722350171452824E-3</v>
      </c>
      <c r="AB15" s="258">
        <f t="shared" si="1"/>
        <v>7.4722350171452824E-3</v>
      </c>
    </row>
    <row r="16" spans="1:28" ht="15.6">
      <c r="A16" s="277">
        <f t="shared" si="0"/>
        <v>6</v>
      </c>
      <c r="B16" s="288">
        <f>+B15+500</f>
        <v>3000</v>
      </c>
      <c r="C16" s="283"/>
      <c r="D16" s="286">
        <f>ROUND($U$13+$B16*$U$17,2)</f>
        <v>298.55</v>
      </c>
      <c r="E16" s="286"/>
      <c r="F16" s="286">
        <f>ROUND($V$13+$B16*$V$17,2)</f>
        <v>313.64999999999998</v>
      </c>
      <c r="G16" s="286"/>
      <c r="H16" s="286">
        <f>ROUND($X$13+$B16*$X$17,2)</f>
        <v>300.8</v>
      </c>
      <c r="I16" s="286"/>
      <c r="J16" s="286">
        <f>ROUND($Y$13+$B16*$Y$17,2)</f>
        <v>316.02</v>
      </c>
      <c r="K16" s="285"/>
      <c r="L16" s="286">
        <f>H16-D16</f>
        <v>2.25</v>
      </c>
      <c r="M16" s="286"/>
      <c r="N16" s="286">
        <f>J16-F16</f>
        <v>2.3700000000000045</v>
      </c>
      <c r="O16" s="282"/>
      <c r="P16" s="284">
        <f>ROUND(H16/D16-1,4)</f>
        <v>7.4999999999999997E-3</v>
      </c>
      <c r="Q16" s="285"/>
      <c r="R16" s="284">
        <f>ROUND(J16/F16-1,4)</f>
        <v>7.6E-3</v>
      </c>
      <c r="T16" s="295" t="s">
        <v>295</v>
      </c>
      <c r="U16" s="262">
        <f>SUM(U22,V25:V31,V35,V36:V37)</f>
        <v>9.4558000000000017E-2</v>
      </c>
      <c r="V16" s="260">
        <f>U16</f>
        <v>9.4558000000000017E-2</v>
      </c>
      <c r="W16" s="295" t="str">
        <f>+T16</f>
        <v>Summer kWh</v>
      </c>
      <c r="X16" s="262">
        <f>SUM(X22,Y25:Y31,Y35,Y36:Y37)</f>
        <v>9.527300000000001E-2</v>
      </c>
      <c r="Y16" s="260">
        <f>X16</f>
        <v>9.527300000000001E-2</v>
      </c>
      <c r="AA16" s="258">
        <f t="shared" si="1"/>
        <v>7.5614966475601566E-3</v>
      </c>
      <c r="AB16" s="258">
        <f t="shared" si="1"/>
        <v>7.5614966475601566E-3</v>
      </c>
    </row>
    <row r="17" spans="1:28" ht="15.6">
      <c r="A17" s="277">
        <f t="shared" si="0"/>
        <v>7</v>
      </c>
      <c r="B17" s="288">
        <f>+B16+500</f>
        <v>3500</v>
      </c>
      <c r="C17" s="283"/>
      <c r="D17" s="286">
        <f>ROUND($U$13+$B17*$U$17,2)</f>
        <v>346.68</v>
      </c>
      <c r="E17" s="286"/>
      <c r="F17" s="286">
        <f>ROUND($V$13+$B17*$V$17,2)</f>
        <v>361.78</v>
      </c>
      <c r="G17" s="286"/>
      <c r="H17" s="286">
        <f>ROUND($X$13+$B17*$X$17,2)</f>
        <v>349.29</v>
      </c>
      <c r="I17" s="286"/>
      <c r="J17" s="286">
        <f>ROUND($Y$13+$B17*$Y$17,2)</f>
        <v>364.51</v>
      </c>
      <c r="K17" s="285"/>
      <c r="L17" s="286">
        <f>H17-D17</f>
        <v>2.6100000000000136</v>
      </c>
      <c r="M17" s="286"/>
      <c r="N17" s="286">
        <f>J17-F17</f>
        <v>2.7300000000000182</v>
      </c>
      <c r="O17" s="282"/>
      <c r="P17" s="284">
        <f>ROUND(H17/D17-1,4)</f>
        <v>7.4999999999999997E-3</v>
      </c>
      <c r="Q17" s="285"/>
      <c r="R17" s="284">
        <f>ROUND(J17/F17-1,4)</f>
        <v>7.4999999999999997E-3</v>
      </c>
      <c r="T17" s="295" t="s">
        <v>294</v>
      </c>
      <c r="U17" s="262">
        <f>ROUND(SUM(U23,V25:V31,V36:V37)+AVERAGE(V34:V35),6)</f>
        <v>9.6250000000000002E-2</v>
      </c>
      <c r="V17" s="260">
        <f>U17</f>
        <v>9.6250000000000002E-2</v>
      </c>
      <c r="W17" s="295" t="str">
        <f>+T17</f>
        <v>Average kWh</v>
      </c>
      <c r="X17" s="262">
        <f>ROUND(SUM(X23,Y25:Y31,Y36:Y37)+AVERAGE(Y34:Y35),6)</f>
        <v>9.6973000000000004E-2</v>
      </c>
      <c r="Y17" s="260">
        <f>X17</f>
        <v>9.6973000000000004E-2</v>
      </c>
      <c r="AA17" s="258">
        <f t="shared" si="1"/>
        <v>7.5116883116883261E-3</v>
      </c>
      <c r="AB17" s="258">
        <f t="shared" si="1"/>
        <v>7.5116883116883261E-3</v>
      </c>
    </row>
    <row r="18" spans="1:28" ht="16.2" thickBot="1">
      <c r="A18" s="277">
        <f t="shared" si="0"/>
        <v>8</v>
      </c>
      <c r="B18" s="282"/>
      <c r="C18" s="283"/>
      <c r="D18" s="291"/>
      <c r="E18" s="291"/>
      <c r="F18" s="291"/>
      <c r="G18" s="291"/>
      <c r="H18" s="291"/>
      <c r="I18" s="291"/>
      <c r="J18" s="291"/>
      <c r="K18" s="282"/>
      <c r="L18" s="286"/>
      <c r="M18" s="286"/>
      <c r="N18" s="286"/>
      <c r="O18" s="282"/>
      <c r="P18" s="284"/>
      <c r="Q18" s="282"/>
      <c r="R18" s="282"/>
      <c r="T18" s="294" t="s">
        <v>24</v>
      </c>
      <c r="U18" s="255" t="s">
        <v>24</v>
      </c>
      <c r="V18" s="293" t="s">
        <v>24</v>
      </c>
      <c r="W18" s="294" t="s">
        <v>24</v>
      </c>
      <c r="X18" s="255" t="s">
        <v>24</v>
      </c>
      <c r="Y18" s="293" t="s">
        <v>24</v>
      </c>
    </row>
    <row r="19" spans="1:28" ht="15.6">
      <c r="A19" s="277">
        <f t="shared" si="0"/>
        <v>9</v>
      </c>
      <c r="B19" s="288">
        <f>+B17+500</f>
        <v>4000</v>
      </c>
      <c r="C19" s="283"/>
      <c r="D19" s="286">
        <f>ROUND($U$13+$B19*$U$17,2)</f>
        <v>394.8</v>
      </c>
      <c r="E19" s="286"/>
      <c r="F19" s="286">
        <f>ROUND($V$13+$B19*$V$17,2)</f>
        <v>409.9</v>
      </c>
      <c r="G19" s="286"/>
      <c r="H19" s="286">
        <f>ROUND($X$13+$B19*$X$17,2)</f>
        <v>397.77</v>
      </c>
      <c r="I19" s="286"/>
      <c r="J19" s="286">
        <f>ROUND($Y$13+$B19*$Y$17,2)</f>
        <v>412.99</v>
      </c>
      <c r="K19" s="285"/>
      <c r="L19" s="286">
        <f>H19-D19</f>
        <v>2.9699999999999704</v>
      </c>
      <c r="M19" s="286"/>
      <c r="N19" s="286">
        <f>J19-F19</f>
        <v>3.0900000000000318</v>
      </c>
      <c r="O19" s="282"/>
      <c r="P19" s="284">
        <f>ROUND(H19/D19-1,4)</f>
        <v>7.4999999999999997E-3</v>
      </c>
      <c r="Q19" s="285"/>
      <c r="R19" s="284">
        <f>ROUND(J19/F19-1,4)</f>
        <v>7.4999999999999997E-3</v>
      </c>
      <c r="AA19" s="241"/>
    </row>
    <row r="20" spans="1:28" ht="15.6">
      <c r="A20" s="277">
        <f t="shared" si="0"/>
        <v>10</v>
      </c>
      <c r="B20" s="288">
        <f>+B19+500</f>
        <v>4500</v>
      </c>
      <c r="C20" s="283"/>
      <c r="D20" s="286">
        <f>ROUND($U$13+$B20*$U$17,2)</f>
        <v>442.93</v>
      </c>
      <c r="E20" s="286"/>
      <c r="F20" s="286">
        <f>ROUND($V$13+$B20*$V$17,2)</f>
        <v>458.03</v>
      </c>
      <c r="G20" s="286"/>
      <c r="H20" s="286">
        <f>ROUND($X$13+$B20*$X$17,2)</f>
        <v>446.26</v>
      </c>
      <c r="I20" s="286"/>
      <c r="J20" s="286">
        <f>ROUND($Y$13+$B20*$Y$17,2)</f>
        <v>461.48</v>
      </c>
      <c r="K20" s="285"/>
      <c r="L20" s="286">
        <f>H20-D20</f>
        <v>3.3299999999999841</v>
      </c>
      <c r="M20" s="286"/>
      <c r="N20" s="286">
        <f>J20-F20</f>
        <v>3.4500000000000455</v>
      </c>
      <c r="O20" s="282"/>
      <c r="P20" s="284">
        <f>ROUND(H20/D20-1,4)</f>
        <v>7.4999999999999997E-3</v>
      </c>
      <c r="Q20" s="285"/>
      <c r="R20" s="284">
        <f>ROUND(J20/F20-1,4)</f>
        <v>7.4999999999999997E-3</v>
      </c>
      <c r="T20" s="233" t="str">
        <f>+T13</f>
        <v>Basic Charge</v>
      </c>
      <c r="U20" s="250">
        <f>+'[1](JAP4)-Tariff Summary'!$D$15</f>
        <v>9.8000000000000007</v>
      </c>
      <c r="V20" s="250">
        <f>+'[1](JAP4)-Tariff Summary'!$D$16</f>
        <v>24.9</v>
      </c>
      <c r="X20" s="250">
        <f>+U20</f>
        <v>9.8000000000000007</v>
      </c>
      <c r="Y20" s="250">
        <f t="shared" ref="Y20:Y23" si="2">+V20</f>
        <v>24.9</v>
      </c>
      <c r="AA20" s="264"/>
    </row>
    <row r="21" spans="1:28" ht="15.6">
      <c r="A21" s="277">
        <f t="shared" si="0"/>
        <v>11</v>
      </c>
      <c r="B21" s="288">
        <f>+B20+500</f>
        <v>5000</v>
      </c>
      <c r="C21" s="283"/>
      <c r="D21" s="286">
        <f>ROUND($U$13+$B21*$U$17,2)</f>
        <v>491.05</v>
      </c>
      <c r="E21" s="286"/>
      <c r="F21" s="286">
        <f>ROUND($V$13+$B21*$V$17,2)</f>
        <v>506.15</v>
      </c>
      <c r="G21" s="286"/>
      <c r="H21" s="286">
        <f>ROUND($X$13+$B21*$X$17,2)</f>
        <v>494.75</v>
      </c>
      <c r="I21" s="286"/>
      <c r="J21" s="286">
        <f>ROUND($Y$13+$B21*$Y$17,2)</f>
        <v>509.97</v>
      </c>
      <c r="K21" s="285"/>
      <c r="L21" s="286">
        <f>H21-D21</f>
        <v>3.6999999999999886</v>
      </c>
      <c r="M21" s="286"/>
      <c r="N21" s="286">
        <f>J21-F21</f>
        <v>3.82000000000005</v>
      </c>
      <c r="O21" s="282"/>
      <c r="P21" s="284">
        <f>ROUND(H21/D21-1,4)</f>
        <v>7.4999999999999997E-3</v>
      </c>
      <c r="Q21" s="285"/>
      <c r="R21" s="284">
        <f>ROUND(J21/F21-1,4)</f>
        <v>7.4999999999999997E-3</v>
      </c>
      <c r="T21" s="233" t="str">
        <f>+T15</f>
        <v xml:space="preserve">Winter kWh </v>
      </c>
      <c r="U21" s="250">
        <f>+'[1](JAP4)-Tariff Summary'!$D$18</f>
        <v>9.071499999999999E-2</v>
      </c>
      <c r="V21" s="250">
        <f>+U21</f>
        <v>9.071499999999999E-2</v>
      </c>
      <c r="X21" s="250">
        <f t="shared" ref="X21:X23" si="3">+U21</f>
        <v>9.071499999999999E-2</v>
      </c>
      <c r="Y21" s="250">
        <f t="shared" si="2"/>
        <v>9.071499999999999E-2</v>
      </c>
      <c r="AA21" s="264"/>
    </row>
    <row r="22" spans="1:28" ht="15.6">
      <c r="A22" s="277">
        <f t="shared" si="0"/>
        <v>12</v>
      </c>
      <c r="B22" s="282"/>
      <c r="C22" s="283"/>
      <c r="D22" s="291"/>
      <c r="E22" s="291"/>
      <c r="F22" s="291"/>
      <c r="G22" s="291"/>
      <c r="H22" s="291"/>
      <c r="I22" s="291"/>
      <c r="J22" s="291"/>
      <c r="K22" s="282"/>
      <c r="L22" s="286"/>
      <c r="M22" s="286"/>
      <c r="N22" s="286"/>
      <c r="O22" s="282"/>
      <c r="P22" s="284"/>
      <c r="Q22" s="282"/>
      <c r="R22" s="282"/>
      <c r="T22" s="233" t="str">
        <f>+T16</f>
        <v>Summer kWh</v>
      </c>
      <c r="U22" s="250">
        <f>+'[1](JAP4)-Tariff Summary'!$D$19</f>
        <v>8.7578000000000003E-2</v>
      </c>
      <c r="V22" s="250">
        <f>+U22</f>
        <v>8.7578000000000003E-2</v>
      </c>
      <c r="X22" s="250">
        <f t="shared" si="3"/>
        <v>8.7578000000000003E-2</v>
      </c>
      <c r="Y22" s="250">
        <f t="shared" si="2"/>
        <v>8.7578000000000003E-2</v>
      </c>
      <c r="Z22" s="292"/>
      <c r="AA22" s="241"/>
    </row>
    <row r="23" spans="1:28" ht="15.6">
      <c r="A23" s="277">
        <f t="shared" si="0"/>
        <v>13</v>
      </c>
      <c r="B23" s="288">
        <f>+B21+1000</f>
        <v>6000</v>
      </c>
      <c r="C23" s="287"/>
      <c r="D23" s="286">
        <f>ROUND($U$13+$B23*$U$17,2)</f>
        <v>587.29999999999995</v>
      </c>
      <c r="E23" s="286"/>
      <c r="F23" s="286">
        <f>ROUND($V$13+$B23*$V$17,2)</f>
        <v>602.4</v>
      </c>
      <c r="G23" s="286"/>
      <c r="H23" s="286">
        <f>ROUND($X$13+$B23*$X$17,2)</f>
        <v>591.72</v>
      </c>
      <c r="I23" s="286"/>
      <c r="J23" s="286">
        <f>ROUND($Y$13+$B23*$Y$17,2)</f>
        <v>606.94000000000005</v>
      </c>
      <c r="K23" s="285"/>
      <c r="L23" s="286">
        <f>H23-D23</f>
        <v>4.4200000000000728</v>
      </c>
      <c r="M23" s="286"/>
      <c r="N23" s="286">
        <f>J23-F23</f>
        <v>4.5400000000000773</v>
      </c>
      <c r="O23" s="282"/>
      <c r="P23" s="284">
        <f>ROUND(H23/D23-1,4)</f>
        <v>7.4999999999999997E-3</v>
      </c>
      <c r="Q23" s="285"/>
      <c r="R23" s="284">
        <f>ROUND(J23/F23-1,4)</f>
        <v>7.4999999999999997E-3</v>
      </c>
      <c r="T23" s="233" t="str">
        <f>+T17</f>
        <v>Average kWh</v>
      </c>
      <c r="U23" s="250">
        <f>+'[1](JAP4) SecVolt RD'!$D$27</f>
        <v>8.9270000000000002E-2</v>
      </c>
      <c r="V23" s="250">
        <f>+U23</f>
        <v>8.9270000000000002E-2</v>
      </c>
      <c r="X23" s="250">
        <f t="shared" si="3"/>
        <v>8.9270000000000002E-2</v>
      </c>
      <c r="Y23" s="250">
        <f t="shared" si="2"/>
        <v>8.9270000000000002E-2</v>
      </c>
    </row>
    <row r="24" spans="1:28" ht="15.6">
      <c r="A24" s="277">
        <f t="shared" si="0"/>
        <v>14</v>
      </c>
      <c r="B24" s="288">
        <f>+B23+1000</f>
        <v>7000</v>
      </c>
      <c r="C24" s="287"/>
      <c r="D24" s="286">
        <f>ROUND($U$13+$B24*$U$17,2)</f>
        <v>683.55</v>
      </c>
      <c r="E24" s="286"/>
      <c r="F24" s="286">
        <f>ROUND($V$13+$B24*$V$17,2)</f>
        <v>698.65</v>
      </c>
      <c r="G24" s="286"/>
      <c r="H24" s="286">
        <f>ROUND($X$13+$B24*$X$17,2)</f>
        <v>688.69</v>
      </c>
      <c r="I24" s="286"/>
      <c r="J24" s="286">
        <f>ROUND($Y$13+$B24*$Y$17,2)</f>
        <v>703.91</v>
      </c>
      <c r="K24" s="285"/>
      <c r="L24" s="286">
        <f>H24-D24</f>
        <v>5.1400000000001</v>
      </c>
      <c r="M24" s="286"/>
      <c r="N24" s="286">
        <f>J24-F24</f>
        <v>5.2599999999999909</v>
      </c>
      <c r="O24" s="282"/>
      <c r="P24" s="284">
        <f>ROUND(H24/D24-1,4)</f>
        <v>7.4999999999999997E-3</v>
      </c>
      <c r="Q24" s="285"/>
      <c r="R24" s="284">
        <f>ROUND(J24/F24-1,4)</f>
        <v>7.4999999999999997E-3</v>
      </c>
    </row>
    <row r="25" spans="1:28" ht="15.6">
      <c r="A25" s="277">
        <f t="shared" si="0"/>
        <v>15</v>
      </c>
      <c r="B25" s="288">
        <f>+B24+1000</f>
        <v>8000</v>
      </c>
      <c r="C25" s="287"/>
      <c r="D25" s="286">
        <f>ROUND($U$13+$B25*$U$17,2)</f>
        <v>779.8</v>
      </c>
      <c r="E25" s="286"/>
      <c r="F25" s="286">
        <f>ROUND($V$13+$B25*$V$17,2)</f>
        <v>794.9</v>
      </c>
      <c r="G25" s="286"/>
      <c r="H25" s="286">
        <f>ROUND($X$13+$B25*$X$17,2)</f>
        <v>785.66</v>
      </c>
      <c r="I25" s="286"/>
      <c r="J25" s="286">
        <f>ROUND($Y$13+$B25*$Y$17,2)</f>
        <v>800.88</v>
      </c>
      <c r="K25" s="285"/>
      <c r="L25" s="286">
        <f>H25-D25</f>
        <v>5.8600000000000136</v>
      </c>
      <c r="M25" s="286"/>
      <c r="N25" s="286">
        <f>J25-F25</f>
        <v>5.9800000000000182</v>
      </c>
      <c r="O25" s="282"/>
      <c r="P25" s="284">
        <f>ROUND(H25/D25-1,4)</f>
        <v>7.4999999999999997E-3</v>
      </c>
      <c r="Q25" s="285"/>
      <c r="R25" s="284">
        <f>ROUND(J25/F25-1,4)</f>
        <v>7.4999999999999997E-3</v>
      </c>
      <c r="T25" s="249" t="s">
        <v>276</v>
      </c>
      <c r="V25" s="250">
        <v>0</v>
      </c>
      <c r="Y25" s="250">
        <f t="shared" ref="Y25:Y27" si="4">+V25</f>
        <v>0</v>
      </c>
    </row>
    <row r="26" spans="1:28" ht="15.6">
      <c r="A26" s="277">
        <f t="shared" si="0"/>
        <v>16</v>
      </c>
      <c r="B26" s="289"/>
      <c r="C26" s="290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T26" s="249" t="s">
        <v>275</v>
      </c>
      <c r="U26" s="278"/>
      <c r="V26" s="250">
        <f>+'Sch 95a'!$H$11</f>
        <v>-1.6739999999999999E-3</v>
      </c>
      <c r="W26" s="278"/>
      <c r="X26" s="278"/>
      <c r="Y26" s="250">
        <f t="shared" si="4"/>
        <v>-1.6739999999999999E-3</v>
      </c>
    </row>
    <row r="27" spans="1:28" ht="15.6">
      <c r="A27" s="277">
        <f t="shared" si="0"/>
        <v>17</v>
      </c>
      <c r="B27" s="288">
        <f>+B25+1000</f>
        <v>9000</v>
      </c>
      <c r="C27" s="287"/>
      <c r="D27" s="286">
        <f>ROUND($U$13+$B27*$U$17,2)</f>
        <v>876.05</v>
      </c>
      <c r="E27" s="286"/>
      <c r="F27" s="286">
        <f>ROUND($V$13+$B27*$V$17,2)</f>
        <v>891.15</v>
      </c>
      <c r="G27" s="286"/>
      <c r="H27" s="286">
        <f>ROUND($X$13+$B27*$X$17,2)</f>
        <v>882.64</v>
      </c>
      <c r="I27" s="286"/>
      <c r="J27" s="286">
        <f>ROUND($Y$13+$B27*$Y$17,2)</f>
        <v>897.86</v>
      </c>
      <c r="K27" s="285"/>
      <c r="L27" s="286">
        <f>H27-D27</f>
        <v>6.5900000000000318</v>
      </c>
      <c r="M27" s="286"/>
      <c r="N27" s="286">
        <f>J27-F27</f>
        <v>6.7100000000000364</v>
      </c>
      <c r="O27" s="282"/>
      <c r="P27" s="284">
        <f>ROUND(H27/D27-1,4)</f>
        <v>7.4999999999999997E-3</v>
      </c>
      <c r="Q27" s="285"/>
      <c r="R27" s="284">
        <f>ROUND(J27/F27-1,4)</f>
        <v>7.4999999999999997E-3</v>
      </c>
      <c r="T27" s="249" t="s">
        <v>274</v>
      </c>
      <c r="U27" s="278"/>
      <c r="V27" s="250">
        <f>+'Sch 120'!$H$11</f>
        <v>4.2079999999999999E-3</v>
      </c>
      <c r="Y27" s="250">
        <f t="shared" si="4"/>
        <v>4.2079999999999999E-3</v>
      </c>
    </row>
    <row r="28" spans="1:28" ht="15.6">
      <c r="A28" s="277">
        <f t="shared" si="0"/>
        <v>18</v>
      </c>
      <c r="B28" s="288">
        <f>+B27+1000</f>
        <v>10000</v>
      </c>
      <c r="C28" s="287"/>
      <c r="D28" s="286">
        <f>ROUND($U$13+$B28*$U$17,2)</f>
        <v>972.3</v>
      </c>
      <c r="E28" s="286"/>
      <c r="F28" s="286">
        <f>ROUND($V$13+$B28*$V$17,2)</f>
        <v>987.4</v>
      </c>
      <c r="G28" s="286"/>
      <c r="H28" s="286">
        <f>ROUND($X$13+$B28*$X$17,2)</f>
        <v>979.61</v>
      </c>
      <c r="I28" s="286"/>
      <c r="J28" s="286">
        <f>ROUND($Y$13+$B28*$Y$17,2)</f>
        <v>994.83</v>
      </c>
      <c r="K28" s="285"/>
      <c r="L28" s="286">
        <f>H28-D28</f>
        <v>7.3100000000000591</v>
      </c>
      <c r="M28" s="286"/>
      <c r="N28" s="286">
        <f>J28-F28</f>
        <v>7.4300000000000637</v>
      </c>
      <c r="O28" s="282"/>
      <c r="P28" s="284">
        <f>ROUND(H28/D28-1,4)</f>
        <v>7.4999999999999997E-3</v>
      </c>
      <c r="Q28" s="285"/>
      <c r="R28" s="284">
        <f>ROUND(J28/F28-1,4)</f>
        <v>7.4999999999999997E-3</v>
      </c>
      <c r="T28" s="249" t="s">
        <v>209</v>
      </c>
      <c r="U28" s="278"/>
      <c r="V28" s="250">
        <f>+'Sch 129'!G11</f>
        <v>8.5700000000000001E-4</v>
      </c>
      <c r="Y28" s="250">
        <f t="shared" ref="Y28:Y31" si="5">+V28</f>
        <v>8.5700000000000001E-4</v>
      </c>
    </row>
    <row r="29" spans="1:28" ht="15.6">
      <c r="A29" s="277">
        <f t="shared" si="0"/>
        <v>19</v>
      </c>
      <c r="B29" s="288">
        <f>+B28+1000</f>
        <v>11000</v>
      </c>
      <c r="C29" s="287"/>
      <c r="D29" s="286">
        <f>ROUND($U$13+$B29*$U$17,2)</f>
        <v>1068.55</v>
      </c>
      <c r="E29" s="286"/>
      <c r="F29" s="286">
        <f>ROUND($V$13+$B29*$V$17,2)</f>
        <v>1083.6500000000001</v>
      </c>
      <c r="G29" s="286"/>
      <c r="H29" s="286">
        <f>ROUND($X$13+$B29*$X$17,2)</f>
        <v>1076.58</v>
      </c>
      <c r="I29" s="286"/>
      <c r="J29" s="286">
        <f>ROUND($Y$13+$B29*$Y$17,2)</f>
        <v>1091.8</v>
      </c>
      <c r="K29" s="285"/>
      <c r="L29" s="286">
        <f>H29-D29</f>
        <v>8.0299999999999727</v>
      </c>
      <c r="M29" s="286"/>
      <c r="N29" s="286">
        <f>J29-F29</f>
        <v>8.1499999999998636</v>
      </c>
      <c r="O29" s="282"/>
      <c r="P29" s="284">
        <f>ROUND(H29/D29-1,4)</f>
        <v>7.4999999999999997E-3</v>
      </c>
      <c r="Q29" s="285"/>
      <c r="R29" s="284">
        <f>ROUND(J29/F29-1,4)</f>
        <v>7.4999999999999997E-3</v>
      </c>
      <c r="T29" s="249" t="s">
        <v>210</v>
      </c>
      <c r="U29" s="278"/>
      <c r="V29" s="250">
        <f>+'Sch 132'!E11</f>
        <v>-2.63E-4</v>
      </c>
      <c r="Y29" s="248">
        <f t="shared" si="5"/>
        <v>-2.63E-4</v>
      </c>
    </row>
    <row r="30" spans="1:28" ht="15.6">
      <c r="A30" s="277">
        <f t="shared" si="0"/>
        <v>20</v>
      </c>
      <c r="B30" s="282"/>
      <c r="C30" s="283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T30" s="249" t="s">
        <v>272</v>
      </c>
      <c r="U30" s="278"/>
      <c r="V30" s="250">
        <f>+'Sch 137'!E11</f>
        <v>-2.8E-5</v>
      </c>
      <c r="Y30" s="248">
        <f t="shared" si="5"/>
        <v>-2.8E-5</v>
      </c>
    </row>
    <row r="31" spans="1:28" ht="15.6">
      <c r="A31" s="277">
        <f t="shared" si="0"/>
        <v>21</v>
      </c>
      <c r="B31" s="288">
        <f>+B29+1000</f>
        <v>12000</v>
      </c>
      <c r="C31" s="287"/>
      <c r="D31" s="286">
        <f>ROUND($U$13+$B31*$U$17,2)</f>
        <v>1164.8</v>
      </c>
      <c r="E31" s="286"/>
      <c r="F31" s="286">
        <f>ROUND($V$13+$B31*$V$17,2)</f>
        <v>1179.9000000000001</v>
      </c>
      <c r="G31" s="286"/>
      <c r="H31" s="286">
        <f>ROUND($X$13+$B31*$X$17,2)</f>
        <v>1173.56</v>
      </c>
      <c r="I31" s="286"/>
      <c r="J31" s="286">
        <f>ROUND($Y$13+$B31*$Y$17,2)</f>
        <v>1188.78</v>
      </c>
      <c r="K31" s="285"/>
      <c r="L31" s="286">
        <f>H31-D31</f>
        <v>8.7599999999999909</v>
      </c>
      <c r="M31" s="286"/>
      <c r="N31" s="286">
        <f>J31-F31</f>
        <v>8.8799999999998818</v>
      </c>
      <c r="O31" s="282"/>
      <c r="P31" s="284">
        <f>ROUND(H31/D31-1,4)</f>
        <v>7.4999999999999997E-3</v>
      </c>
      <c r="Q31" s="285"/>
      <c r="R31" s="284">
        <f>ROUND(J31/F31-1,4)</f>
        <v>7.4999999999999997E-3</v>
      </c>
      <c r="T31" s="249" t="s">
        <v>241</v>
      </c>
      <c r="U31" s="278"/>
      <c r="V31" s="250">
        <f>+'Sch 140'!$H$11</f>
        <v>2.6289999999999998E-3</v>
      </c>
      <c r="Y31" s="387">
        <f t="shared" si="5"/>
        <v>2.6289999999999998E-3</v>
      </c>
    </row>
    <row r="32" spans="1:28" ht="15.6">
      <c r="A32" s="277">
        <f t="shared" si="0"/>
        <v>22</v>
      </c>
      <c r="B32" s="288">
        <f>+B31+1000</f>
        <v>13000</v>
      </c>
      <c r="C32" s="287"/>
      <c r="D32" s="286">
        <f>ROUND($U$13+$B32*$U$17,2)</f>
        <v>1261.05</v>
      </c>
      <c r="E32" s="286"/>
      <c r="F32" s="286">
        <f>ROUND($V$13+$B32*$V$17,2)</f>
        <v>1276.1500000000001</v>
      </c>
      <c r="G32" s="286"/>
      <c r="H32" s="286">
        <f>ROUND($X$13+$B32*$X$17,2)</f>
        <v>1270.53</v>
      </c>
      <c r="I32" s="286"/>
      <c r="J32" s="286">
        <f>ROUND($Y$13+$B32*$Y$17,2)</f>
        <v>1285.75</v>
      </c>
      <c r="K32" s="285"/>
      <c r="L32" s="286">
        <f>H32-D32</f>
        <v>9.4800000000000182</v>
      </c>
      <c r="M32" s="286"/>
      <c r="N32" s="286">
        <f>J32-F32</f>
        <v>9.5999999999999091</v>
      </c>
      <c r="O32" s="282"/>
      <c r="P32" s="284">
        <f>ROUND(H32/D32-1,4)</f>
        <v>7.4999999999999997E-3</v>
      </c>
      <c r="Q32" s="285"/>
      <c r="R32" s="284">
        <f>ROUND(J32/F32-1,4)</f>
        <v>7.4999999999999997E-3</v>
      </c>
      <c r="T32" s="383" t="s">
        <v>293</v>
      </c>
      <c r="U32" s="385"/>
      <c r="V32" s="384">
        <v>0</v>
      </c>
      <c r="W32" s="385"/>
      <c r="X32" s="385"/>
      <c r="Y32" s="388">
        <f>+'[1](JAP4)-Tariff Summary'!$F$15</f>
        <v>8.0000000000000071E-2</v>
      </c>
    </row>
    <row r="33" spans="1:25" ht="15.6">
      <c r="A33" s="277">
        <f t="shared" si="0"/>
        <v>23</v>
      </c>
      <c r="B33" s="288">
        <f>+B32+1000</f>
        <v>14000</v>
      </c>
      <c r="C33" s="287"/>
      <c r="D33" s="286">
        <f>ROUND($U$13+$B33*$U$17,2)</f>
        <v>1357.3</v>
      </c>
      <c r="E33" s="286"/>
      <c r="F33" s="286">
        <f>ROUND($V$13+$B33*$V$17,2)</f>
        <v>1372.4</v>
      </c>
      <c r="G33" s="286"/>
      <c r="H33" s="286">
        <f>ROUND($X$13+$B33*$X$17,2)</f>
        <v>1367.5</v>
      </c>
      <c r="I33" s="286"/>
      <c r="J33" s="286">
        <f>ROUND($Y$13+$B33*$Y$17,2)</f>
        <v>1382.72</v>
      </c>
      <c r="K33" s="285"/>
      <c r="L33" s="286">
        <f>H33-D33</f>
        <v>10.200000000000045</v>
      </c>
      <c r="M33" s="286"/>
      <c r="N33" s="286">
        <f>J33-F33</f>
        <v>10.319999999999936</v>
      </c>
      <c r="O33" s="282"/>
      <c r="P33" s="284">
        <f>ROUND(H33/D33-1,4)</f>
        <v>7.4999999999999997E-3</v>
      </c>
      <c r="Q33" s="285"/>
      <c r="R33" s="284">
        <f>ROUND(J33/F33-1,4)</f>
        <v>7.4999999999999997E-3</v>
      </c>
      <c r="T33" s="383" t="s">
        <v>292</v>
      </c>
      <c r="U33" s="385"/>
      <c r="V33" s="384">
        <v>0</v>
      </c>
      <c r="W33" s="385"/>
      <c r="X33" s="385"/>
      <c r="Y33" s="388">
        <f>+'[1](JAP4)-Tariff Summary'!$F$16</f>
        <v>0.20000000000000284</v>
      </c>
    </row>
    <row r="34" spans="1:25" ht="15.6">
      <c r="A34" s="277">
        <f t="shared" si="0"/>
        <v>24</v>
      </c>
      <c r="B34" s="282"/>
      <c r="C34" s="283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T34" s="383" t="s">
        <v>291</v>
      </c>
      <c r="U34" s="385"/>
      <c r="V34" s="384">
        <v>0</v>
      </c>
      <c r="W34" s="385"/>
      <c r="X34" s="385"/>
      <c r="Y34" s="388">
        <f>+'[1](JAP4)-Tariff Summary'!$F$18</f>
        <v>7.3000000000000842E-4</v>
      </c>
    </row>
    <row r="35" spans="1:25" ht="15.6">
      <c r="A35" s="277">
        <f t="shared" si="0"/>
        <v>25</v>
      </c>
      <c r="B35" s="288">
        <f>+B33+1000</f>
        <v>15000</v>
      </c>
      <c r="C35" s="287"/>
      <c r="D35" s="286">
        <f>ROUND($U$13+$B35*$U$17,2)</f>
        <v>1453.55</v>
      </c>
      <c r="E35" s="286"/>
      <c r="F35" s="286">
        <f>ROUND($V$13+$B35*$V$17,2)</f>
        <v>1468.65</v>
      </c>
      <c r="G35" s="286"/>
      <c r="H35" s="286">
        <f>ROUND($X$13+$B35*$X$17,2)</f>
        <v>1464.48</v>
      </c>
      <c r="I35" s="286"/>
      <c r="J35" s="286">
        <f>ROUND($Y$13+$B35*$Y$17,2)</f>
        <v>1479.7</v>
      </c>
      <c r="K35" s="285"/>
      <c r="L35" s="286">
        <f>H35-D35</f>
        <v>10.930000000000064</v>
      </c>
      <c r="M35" s="286"/>
      <c r="N35" s="286">
        <f>J35-F35</f>
        <v>11.049999999999955</v>
      </c>
      <c r="O35" s="282"/>
      <c r="P35" s="284">
        <f>ROUND(H35/D35-1,4)</f>
        <v>7.4999999999999997E-3</v>
      </c>
      <c r="Q35" s="285"/>
      <c r="R35" s="284">
        <f>ROUND(J35/F35-1,4)</f>
        <v>7.4999999999999997E-3</v>
      </c>
      <c r="T35" s="383" t="s">
        <v>290</v>
      </c>
      <c r="U35" s="385"/>
      <c r="V35" s="384">
        <v>0</v>
      </c>
      <c r="W35" s="385"/>
      <c r="X35" s="385"/>
      <c r="Y35" s="388">
        <f>+'[1](JAP4)-Tariff Summary'!$F$19</f>
        <v>7.1499999999999342E-4</v>
      </c>
    </row>
    <row r="36" spans="1:25" ht="15.6">
      <c r="A36" s="277">
        <f t="shared" si="0"/>
        <v>26</v>
      </c>
      <c r="B36" s="288">
        <f>+B35+1000</f>
        <v>16000</v>
      </c>
      <c r="C36" s="287"/>
      <c r="D36" s="286">
        <f>ROUND($U$13+$B36*$U$17,2)</f>
        <v>1549.8</v>
      </c>
      <c r="E36" s="286"/>
      <c r="F36" s="286">
        <f>ROUND($V$13+$B36*$V$17,2)</f>
        <v>1564.9</v>
      </c>
      <c r="G36" s="286"/>
      <c r="H36" s="286">
        <f>ROUND($X$13+$B36*$X$17,2)</f>
        <v>1561.45</v>
      </c>
      <c r="I36" s="286"/>
      <c r="J36" s="286">
        <f>ROUND($Y$13+$B36*$Y$17,2)</f>
        <v>1576.67</v>
      </c>
      <c r="K36" s="285"/>
      <c r="L36" s="286">
        <f>H36-D36</f>
        <v>11.650000000000091</v>
      </c>
      <c r="M36" s="286"/>
      <c r="N36" s="286">
        <f>J36-F36</f>
        <v>11.769999999999982</v>
      </c>
      <c r="O36" s="282"/>
      <c r="P36" s="284">
        <f>ROUND(H36/D36-1,4)</f>
        <v>7.4999999999999997E-3</v>
      </c>
      <c r="Q36" s="285"/>
      <c r="R36" s="284">
        <f>ROUND(J36/F36-1,4)</f>
        <v>7.4999999999999997E-3</v>
      </c>
      <c r="T36" s="249" t="s">
        <v>250</v>
      </c>
      <c r="U36" s="278"/>
      <c r="V36" s="250">
        <f>+'Sch 142'!$G$12</f>
        <v>1.2509999999999999E-3</v>
      </c>
      <c r="Y36" s="387">
        <f t="shared" ref="Y36" si="6">+V36</f>
        <v>1.2509999999999999E-3</v>
      </c>
    </row>
    <row r="37" spans="1:25" ht="15.6">
      <c r="A37" s="277">
        <f t="shared" si="0"/>
        <v>27</v>
      </c>
      <c r="B37" s="288">
        <f>+B36+1000</f>
        <v>17000</v>
      </c>
      <c r="C37" s="287"/>
      <c r="D37" s="286">
        <f>ROUND($U$13+$B37*$U$17,2)</f>
        <v>1646.05</v>
      </c>
      <c r="E37" s="286"/>
      <c r="F37" s="286">
        <f>ROUND($V$13+$B37*$V$17,2)</f>
        <v>1661.15</v>
      </c>
      <c r="G37" s="286"/>
      <c r="H37" s="286">
        <f>ROUND($X$13+$B37*$X$17,2)</f>
        <v>1658.42</v>
      </c>
      <c r="I37" s="286"/>
      <c r="J37" s="286">
        <f>ROUND($Y$13+$B37*$Y$17,2)</f>
        <v>1673.64</v>
      </c>
      <c r="K37" s="285"/>
      <c r="L37" s="286">
        <f>H37-D37</f>
        <v>12.370000000000118</v>
      </c>
      <c r="M37" s="286"/>
      <c r="N37" s="286">
        <f>J37-F37</f>
        <v>12.490000000000009</v>
      </c>
      <c r="O37" s="282"/>
      <c r="P37" s="284">
        <f>ROUND(H37/D37-1,4)</f>
        <v>7.4999999999999997E-3</v>
      </c>
      <c r="Q37" s="285"/>
      <c r="R37" s="284">
        <f>ROUND(J37/F37-1,4)</f>
        <v>7.4999999999999997E-3</v>
      </c>
      <c r="T37" s="249"/>
      <c r="V37" s="248"/>
      <c r="Y37" s="250"/>
    </row>
    <row r="38" spans="1:25" ht="15.6">
      <c r="A38" s="277">
        <f t="shared" si="0"/>
        <v>28</v>
      </c>
      <c r="B38" s="282"/>
      <c r="C38" s="283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U38" s="234" t="s">
        <v>24</v>
      </c>
    </row>
    <row r="39" spans="1:25" ht="15.6">
      <c r="A39" s="277">
        <f t="shared" si="0"/>
        <v>29</v>
      </c>
      <c r="B39" s="288">
        <f>+B37+1000</f>
        <v>18000</v>
      </c>
      <c r="C39" s="287"/>
      <c r="D39" s="286">
        <f>ROUND($U$13+$B39*$U$17,2)</f>
        <v>1742.3</v>
      </c>
      <c r="E39" s="286"/>
      <c r="F39" s="286">
        <f>ROUND($V$13+$B39*$V$17,2)</f>
        <v>1757.4</v>
      </c>
      <c r="G39" s="286"/>
      <c r="H39" s="286">
        <f>ROUND($X$13+$B39*$X$17,2)</f>
        <v>1755.39</v>
      </c>
      <c r="I39" s="286"/>
      <c r="J39" s="286">
        <f>ROUND($Y$13+$B39*$Y$17,2)</f>
        <v>1770.61</v>
      </c>
      <c r="K39" s="285"/>
      <c r="L39" s="286">
        <f>H39-D39</f>
        <v>13.090000000000146</v>
      </c>
      <c r="M39" s="286"/>
      <c r="N39" s="286">
        <f>J39-F39</f>
        <v>13.209999999999809</v>
      </c>
      <c r="O39" s="282"/>
      <c r="P39" s="284">
        <f>ROUND(H39/D39-1,4)</f>
        <v>7.4999999999999997E-3</v>
      </c>
      <c r="Q39" s="285"/>
      <c r="R39" s="284">
        <f>ROUND(J39/F39-1,4)</f>
        <v>7.4999999999999997E-3</v>
      </c>
      <c r="T39" s="246" t="s">
        <v>385</v>
      </c>
      <c r="U39" s="245">
        <f>+'JAP-4 (ERF Impacts)'!V12</f>
        <v>7.6620518428110723E-3</v>
      </c>
    </row>
    <row r="40" spans="1:25" ht="15.6">
      <c r="A40" s="277">
        <f t="shared" si="0"/>
        <v>30</v>
      </c>
      <c r="B40" s="288">
        <f>+B39+1000</f>
        <v>19000</v>
      </c>
      <c r="C40" s="287"/>
      <c r="D40" s="286">
        <f>ROUND($U$13+$B40*$U$17,2)</f>
        <v>1838.55</v>
      </c>
      <c r="E40" s="286"/>
      <c r="F40" s="286">
        <f>ROUND($V$13+$B40*$V$17,2)</f>
        <v>1853.65</v>
      </c>
      <c r="G40" s="286"/>
      <c r="H40" s="286">
        <f>ROUND($X$13+$B40*$X$17,2)</f>
        <v>1852.37</v>
      </c>
      <c r="I40" s="286"/>
      <c r="J40" s="286">
        <f>ROUND($Y$13+$B40*$Y$17,2)</f>
        <v>1867.59</v>
      </c>
      <c r="K40" s="285"/>
      <c r="L40" s="286">
        <f>H40-D40</f>
        <v>13.819999999999936</v>
      </c>
      <c r="M40" s="286"/>
      <c r="N40" s="286">
        <f>J40-F40</f>
        <v>13.939999999999827</v>
      </c>
      <c r="O40" s="282"/>
      <c r="P40" s="284">
        <f>ROUND(H40/D40-1,4)</f>
        <v>7.4999999999999997E-3</v>
      </c>
      <c r="Q40" s="285"/>
      <c r="R40" s="284">
        <f>ROUND(J40/F40-1,4)</f>
        <v>7.4999999999999997E-3</v>
      </c>
      <c r="V40" s="387"/>
    </row>
    <row r="41" spans="1:25" ht="15.6">
      <c r="A41" s="277">
        <f t="shared" si="0"/>
        <v>31</v>
      </c>
      <c r="B41" s="288">
        <f>+B40+1000</f>
        <v>20000</v>
      </c>
      <c r="C41" s="287"/>
      <c r="D41" s="286">
        <f>ROUND($U$13+$B41*$U$17,2)</f>
        <v>1934.8</v>
      </c>
      <c r="E41" s="286"/>
      <c r="F41" s="286">
        <f>ROUND($V$13+$B41*$V$17,2)</f>
        <v>1949.9</v>
      </c>
      <c r="G41" s="286"/>
      <c r="H41" s="286">
        <f>ROUND($X$13+$B41*$X$17,2)</f>
        <v>1949.34</v>
      </c>
      <c r="I41" s="286"/>
      <c r="J41" s="286">
        <f>ROUND($Y$13+$B41*$Y$17,2)</f>
        <v>1964.56</v>
      </c>
      <c r="K41" s="285"/>
      <c r="L41" s="286">
        <f>H41-D41</f>
        <v>14.539999999999964</v>
      </c>
      <c r="M41" s="286"/>
      <c r="N41" s="286">
        <f>J41-F41</f>
        <v>14.659999999999854</v>
      </c>
      <c r="O41" s="282"/>
      <c r="P41" s="284">
        <f>ROUND(H41/D41-1,4)</f>
        <v>7.4999999999999997E-3</v>
      </c>
      <c r="Q41" s="285"/>
      <c r="R41" s="284">
        <f>ROUND(J41/F41-1,4)</f>
        <v>7.4999999999999997E-3</v>
      </c>
    </row>
    <row r="42" spans="1:25" ht="15.6">
      <c r="A42" s="277">
        <f t="shared" si="0"/>
        <v>32</v>
      </c>
      <c r="B42" s="282"/>
      <c r="C42" s="283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</row>
    <row r="43" spans="1:25">
      <c r="A43" s="277">
        <f t="shared" si="0"/>
        <v>33</v>
      </c>
      <c r="B43" s="520" t="s">
        <v>266</v>
      </c>
      <c r="C43" s="520"/>
      <c r="D43" s="520"/>
      <c r="E43" s="520"/>
      <c r="F43" s="520"/>
      <c r="G43" s="520"/>
      <c r="H43" s="520"/>
      <c r="I43" s="520"/>
      <c r="J43" s="520"/>
      <c r="K43" s="520"/>
      <c r="L43" s="520"/>
      <c r="M43" s="520"/>
      <c r="N43" s="520"/>
      <c r="O43" s="520"/>
      <c r="P43" s="520"/>
      <c r="Q43" s="520"/>
      <c r="R43" s="520"/>
    </row>
    <row r="44" spans="1:25" ht="15.6" customHeight="1">
      <c r="A44" s="277">
        <f t="shared" si="0"/>
        <v>34</v>
      </c>
      <c r="B44" s="520" t="s">
        <v>386</v>
      </c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0"/>
      <c r="P44" s="520"/>
      <c r="Q44" s="520"/>
      <c r="R44" s="520"/>
    </row>
    <row r="45" spans="1:25">
      <c r="A45" s="277">
        <f t="shared" si="0"/>
        <v>35</v>
      </c>
      <c r="B45" s="409" t="s">
        <v>289</v>
      </c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</row>
    <row r="46" spans="1:25">
      <c r="A46" s="277">
        <f t="shared" si="0"/>
        <v>36</v>
      </c>
      <c r="B46" s="443" t="s">
        <v>477</v>
      </c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</row>
    <row r="47" spans="1:25" ht="14.4">
      <c r="A47" s="277">
        <f t="shared" si="0"/>
        <v>37</v>
      </c>
      <c r="B47" s="517" t="s">
        <v>510</v>
      </c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09"/>
      <c r="N47" s="409"/>
      <c r="O47" s="409"/>
      <c r="P47" s="409"/>
      <c r="Q47" s="409"/>
      <c r="R47" s="409"/>
    </row>
    <row r="48" spans="1:25">
      <c r="A48" s="281"/>
    </row>
    <row r="49" spans="13:13">
      <c r="M49" s="234"/>
    </row>
  </sheetData>
  <mergeCells count="4">
    <mergeCell ref="T11:V11"/>
    <mergeCell ref="W11:Y11"/>
    <mergeCell ref="B43:R43"/>
    <mergeCell ref="B44:R44"/>
  </mergeCells>
  <printOptions horizontalCentered="1"/>
  <pageMargins left="0.7" right="0.7" top="0.75" bottom="0.75" header="0.3" footer="0.3"/>
  <pageSetup scale="6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59"/>
  <sheetViews>
    <sheetView zoomScale="80" zoomScaleNormal="8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9.44140625" defaultRowHeight="13.8"/>
  <cols>
    <col min="1" max="1" width="8.33203125" style="233" bestFit="1" customWidth="1"/>
    <col min="2" max="2" width="14.33203125" style="233" customWidth="1"/>
    <col min="3" max="3" width="2.6640625" style="233" customWidth="1"/>
    <col min="4" max="4" width="14.33203125" style="233" customWidth="1"/>
    <col min="5" max="5" width="9" style="233" bestFit="1" customWidth="1"/>
    <col min="6" max="6" width="3.88671875" style="233" customWidth="1"/>
    <col min="7" max="7" width="13.109375" style="233" bestFit="1" customWidth="1"/>
    <col min="8" max="8" width="4" style="233" customWidth="1"/>
    <col min="9" max="9" width="13.109375" style="233" bestFit="1" customWidth="1"/>
    <col min="10" max="10" width="5" style="233" customWidth="1"/>
    <col min="11" max="11" width="12.44140625" style="233" bestFit="1" customWidth="1"/>
    <col min="12" max="12" width="2.6640625" style="233" customWidth="1"/>
    <col min="13" max="13" width="3.33203125" style="233" customWidth="1"/>
    <col min="14" max="14" width="49.88671875" style="233" bestFit="1" customWidth="1"/>
    <col min="15" max="15" width="11.88671875" style="233" bestFit="1" customWidth="1"/>
    <col min="16" max="16" width="24.109375" style="233" bestFit="1" customWidth="1"/>
    <col min="17" max="17" width="11.88671875" style="233" bestFit="1" customWidth="1"/>
    <col min="18" max="18" width="2.44140625" style="233" customWidth="1"/>
    <col min="19" max="19" width="5.33203125" style="233" bestFit="1" customWidth="1"/>
    <col min="20" max="16384" width="9.44140625" style="233"/>
  </cols>
  <sheetData>
    <row r="1" spans="1:25" ht="20.399999999999999">
      <c r="B1" s="312" t="s">
        <v>0</v>
      </c>
      <c r="C1" s="312"/>
      <c r="D1" s="312"/>
      <c r="E1" s="312"/>
      <c r="F1" s="312"/>
      <c r="G1" s="312"/>
      <c r="H1" s="312"/>
      <c r="I1" s="312"/>
      <c r="J1" s="312"/>
      <c r="K1" s="312"/>
      <c r="L1" s="323"/>
      <c r="M1" s="323"/>
    </row>
    <row r="2" spans="1:25" ht="20.399999999999999">
      <c r="B2" s="312" t="s">
        <v>288</v>
      </c>
      <c r="C2" s="312"/>
      <c r="D2" s="312"/>
      <c r="E2" s="312"/>
      <c r="F2" s="312"/>
      <c r="G2" s="312"/>
      <c r="H2" s="312"/>
      <c r="I2" s="312"/>
      <c r="J2" s="312"/>
      <c r="K2" s="312"/>
      <c r="L2" s="323"/>
      <c r="M2" s="323"/>
    </row>
    <row r="3" spans="1:25" ht="20.399999999999999">
      <c r="B3" s="312" t="s">
        <v>322</v>
      </c>
      <c r="C3" s="312"/>
      <c r="D3" s="312"/>
      <c r="E3" s="312"/>
      <c r="F3" s="312"/>
      <c r="G3" s="312"/>
      <c r="H3" s="312"/>
      <c r="I3" s="312"/>
      <c r="J3" s="312"/>
      <c r="K3" s="312"/>
      <c r="L3" s="323"/>
      <c r="M3" s="323"/>
    </row>
    <row r="4" spans="1:25" ht="20.399999999999999">
      <c r="B4" s="324" t="s">
        <v>330</v>
      </c>
      <c r="C4" s="312"/>
      <c r="D4" s="312"/>
      <c r="E4" s="312"/>
      <c r="F4" s="312"/>
      <c r="G4" s="312"/>
      <c r="H4" s="312"/>
      <c r="I4" s="312"/>
      <c r="J4" s="312"/>
      <c r="K4" s="312"/>
      <c r="L4" s="323"/>
      <c r="M4" s="323"/>
    </row>
    <row r="5" spans="1:25">
      <c r="A5" s="281"/>
      <c r="B5" s="322"/>
    </row>
    <row r="6" spans="1:25" ht="15.6">
      <c r="A6" s="281"/>
      <c r="B6" s="320" t="s">
        <v>329</v>
      </c>
      <c r="C6" s="285"/>
      <c r="D6" s="285"/>
      <c r="E6" s="285"/>
      <c r="F6" s="285"/>
      <c r="G6" s="531" t="s">
        <v>328</v>
      </c>
      <c r="H6" s="532"/>
      <c r="I6" s="532"/>
      <c r="J6" s="285"/>
      <c r="K6" s="282"/>
      <c r="L6" s="281"/>
      <c r="M6" s="281"/>
    </row>
    <row r="7" spans="1:25" ht="15.6">
      <c r="A7" s="281"/>
      <c r="B7" s="321" t="s">
        <v>327</v>
      </c>
      <c r="C7" s="309"/>
      <c r="D7" s="320" t="s">
        <v>326</v>
      </c>
      <c r="E7" s="285"/>
      <c r="F7" s="285"/>
      <c r="G7" s="319" t="s">
        <v>325</v>
      </c>
      <c r="H7" s="282"/>
      <c r="I7" s="319" t="s">
        <v>29</v>
      </c>
      <c r="J7" s="285"/>
      <c r="K7" s="309" t="s">
        <v>304</v>
      </c>
      <c r="L7" s="281"/>
      <c r="M7" s="281"/>
    </row>
    <row r="8" spans="1:25" ht="15.6">
      <c r="A8" s="503" t="s">
        <v>3</v>
      </c>
      <c r="B8" s="306" t="s">
        <v>324</v>
      </c>
      <c r="C8" s="302"/>
      <c r="D8" s="318" t="s">
        <v>323</v>
      </c>
      <c r="E8" s="306" t="s">
        <v>284</v>
      </c>
      <c r="F8" s="285"/>
      <c r="G8" s="317" t="s">
        <v>408</v>
      </c>
      <c r="H8" s="317"/>
      <c r="I8" s="317" t="s">
        <v>409</v>
      </c>
      <c r="J8" s="285"/>
      <c r="K8" s="307" t="s">
        <v>33</v>
      </c>
      <c r="L8" s="281"/>
      <c r="M8" s="281"/>
    </row>
    <row r="9" spans="1:25" ht="15.6">
      <c r="A9" s="278"/>
      <c r="B9" s="318" t="s">
        <v>98</v>
      </c>
      <c r="C9" s="318"/>
      <c r="D9" s="318" t="s">
        <v>99</v>
      </c>
      <c r="E9" s="318" t="s">
        <v>100</v>
      </c>
      <c r="F9" s="318"/>
      <c r="G9" s="318" t="s">
        <v>101</v>
      </c>
      <c r="H9" s="318"/>
      <c r="I9" s="318" t="s">
        <v>220</v>
      </c>
      <c r="J9" s="318"/>
      <c r="K9" s="506" t="s">
        <v>508</v>
      </c>
      <c r="L9" s="505"/>
      <c r="M9" s="505"/>
      <c r="N9" s="505"/>
      <c r="O9" s="505" t="s">
        <v>222</v>
      </c>
      <c r="P9" s="505"/>
      <c r="Q9" s="505" t="s">
        <v>252</v>
      </c>
      <c r="R9" s="506"/>
      <c r="S9" s="329"/>
      <c r="T9" s="329"/>
      <c r="U9" s="329"/>
      <c r="V9" s="329"/>
      <c r="W9" s="329"/>
      <c r="X9" s="329"/>
      <c r="Y9" s="329"/>
    </row>
    <row r="10" spans="1:25" s="278" customFormat="1" ht="16.2" thickBot="1">
      <c r="B10" s="285"/>
      <c r="C10" s="285"/>
      <c r="D10" s="285"/>
      <c r="E10" s="285"/>
      <c r="F10" s="285"/>
      <c r="G10" s="302"/>
      <c r="H10" s="302"/>
      <c r="I10" s="302"/>
      <c r="J10" s="282"/>
      <c r="K10" s="282"/>
    </row>
    <row r="11" spans="1:25" ht="15.6">
      <c r="A11" s="277">
        <v>1</v>
      </c>
      <c r="B11" s="285">
        <v>50</v>
      </c>
      <c r="C11" s="285"/>
      <c r="D11" s="285">
        <v>300</v>
      </c>
      <c r="E11" s="288">
        <f>ROUND((B$11*D11),0)</f>
        <v>15000</v>
      </c>
      <c r="F11" s="285"/>
      <c r="G11" s="286">
        <f>+O$13+IF($E11&lt;20000,$E11*O$17,20000*O$17+($E11-20000)*O$19)+IF($B11&gt;50,($B11-50)*O$25,0)</f>
        <v>1454.4999999999998</v>
      </c>
      <c r="H11" s="286"/>
      <c r="I11" s="286">
        <f>+Q$13+IF($E11&lt;20000,$E11*Q$17,20000*Q$17+($E11-20000)*Q$19)+IF($B11&gt;50,($B11-50)*Q$25,0)</f>
        <v>1463.48</v>
      </c>
      <c r="J11" s="285"/>
      <c r="K11" s="283">
        <f>ROUND((+I11-G11)/G11,3)</f>
        <v>6.0000000000000001E-3</v>
      </c>
      <c r="L11" s="281"/>
      <c r="M11" s="281"/>
      <c r="N11" s="527" t="s">
        <v>301</v>
      </c>
      <c r="O11" s="529"/>
      <c r="P11" s="530" t="s">
        <v>300</v>
      </c>
      <c r="Q11" s="529"/>
      <c r="R11" s="280"/>
    </row>
    <row r="12" spans="1:25" ht="15.6">
      <c r="A12" s="277">
        <f>+A11+1</f>
        <v>2</v>
      </c>
      <c r="B12" s="285">
        <f>+B11</f>
        <v>50</v>
      </c>
      <c r="C12" s="285"/>
      <c r="D12" s="285">
        <v>500</v>
      </c>
      <c r="E12" s="288">
        <f>ROUND((B$11*D12),0)</f>
        <v>25000</v>
      </c>
      <c r="F12" s="285"/>
      <c r="G12" s="286">
        <f>+O$13+IF($E12&lt;20000,$E12*O$17,20000*O$17+($E12-20000)*O$19)+IF($B12&gt;50,($B12-50)*O$25,0)</f>
        <v>2276.9650000000001</v>
      </c>
      <c r="H12" s="286"/>
      <c r="I12" s="286">
        <f>+Q$13+IF($E12&lt;20000,$E12*Q$17,20000*Q$17+($E12-20000)*Q$19)+IF($B12&gt;50,($B12-50)*Q$25,0)</f>
        <v>2288.8150000000001</v>
      </c>
      <c r="J12" s="285"/>
      <c r="K12" s="283">
        <f>ROUND((+I12-G12)/G12,3)</f>
        <v>5.0000000000000001E-3</v>
      </c>
      <c r="L12" s="281"/>
      <c r="M12" s="281"/>
      <c r="N12" s="295"/>
      <c r="O12" s="300"/>
      <c r="P12" s="259"/>
      <c r="Q12" s="300"/>
      <c r="R12" s="280"/>
    </row>
    <row r="13" spans="1:25" ht="15.6">
      <c r="A13" s="277">
        <f t="shared" ref="A13:A59" si="0">+A12+1</f>
        <v>3</v>
      </c>
      <c r="B13" s="285">
        <f>+B12</f>
        <v>50</v>
      </c>
      <c r="C13" s="285"/>
      <c r="D13" s="285">
        <v>700</v>
      </c>
      <c r="E13" s="288">
        <f>ROUND((B$11*D13),0)</f>
        <v>35000</v>
      </c>
      <c r="F13" s="285"/>
      <c r="G13" s="286">
        <f>+O$13+IF($E13&lt;20000,$E13*O$17,20000*O$17+($E13-20000)*O$19)+IF($B13&gt;50,($B13-50)*O$25,0)</f>
        <v>2987.0950000000003</v>
      </c>
      <c r="H13" s="286"/>
      <c r="I13" s="286">
        <f>+Q$13+IF($E13&lt;20000,$E13*Q$17,20000*Q$17+($E13-20000)*Q$19)+IF($B13&gt;50,($B13-50)*Q$25,0)</f>
        <v>2998.9450000000006</v>
      </c>
      <c r="J13" s="285"/>
      <c r="K13" s="283">
        <f>ROUND((+I13-G13)/G13,3)</f>
        <v>4.0000000000000001E-3</v>
      </c>
      <c r="N13" s="295" t="s">
        <v>297</v>
      </c>
      <c r="O13" s="265">
        <f>SUM(O30,O49)</f>
        <v>52.3</v>
      </c>
      <c r="P13" s="295" t="str">
        <f>+N13</f>
        <v>Basic Charge</v>
      </c>
      <c r="Q13" s="265">
        <f>SUM(Q30,Q49)</f>
        <v>52.67</v>
      </c>
      <c r="R13" s="292"/>
      <c r="S13" s="258">
        <f>(Q13-O13)/O13</f>
        <v>7.0745697896750399E-3</v>
      </c>
    </row>
    <row r="14" spans="1:25">
      <c r="A14" s="277">
        <f t="shared" si="0"/>
        <v>4</v>
      </c>
      <c r="L14" s="281"/>
      <c r="M14" s="281"/>
      <c r="N14" s="295"/>
      <c r="O14" s="297"/>
      <c r="P14" s="299"/>
      <c r="Q14" s="297"/>
      <c r="R14" s="280"/>
    </row>
    <row r="15" spans="1:25" ht="15.6">
      <c r="A15" s="277">
        <f t="shared" si="0"/>
        <v>5</v>
      </c>
      <c r="B15" s="285">
        <v>100</v>
      </c>
      <c r="C15" s="285"/>
      <c r="D15" s="285">
        <v>300</v>
      </c>
      <c r="E15" s="288">
        <f>ROUND((B$15*D15),0)</f>
        <v>30000</v>
      </c>
      <c r="F15" s="285"/>
      <c r="G15" s="286">
        <f>+O$13+IF($E15&lt;20000,$E15*O$17,20000*O$17+($E15-20000)*O$19)+IF($B15&gt;50,($B15-50)*O$25,0)</f>
        <v>3026.53</v>
      </c>
      <c r="H15" s="286"/>
      <c r="I15" s="286">
        <f>+Q$13+IF($E15&lt;20000,$E15*Q$17,20000*Q$17+($E15-20000)*Q$19)+IF($B15&gt;50,($B15-50)*Q$25,0)</f>
        <v>3048.38</v>
      </c>
      <c r="J15" s="285"/>
      <c r="K15" s="283">
        <f>ROUND((+I15-G15)/G15,3)</f>
        <v>7.0000000000000001E-3</v>
      </c>
      <c r="L15" s="281"/>
      <c r="M15" s="281"/>
      <c r="N15" s="296" t="s">
        <v>321</v>
      </c>
      <c r="O15" s="260">
        <f>SUM(O31,O42:O48,O53,O58:O58)</f>
        <v>9.7694000000000003E-2</v>
      </c>
      <c r="P15" s="295" t="str">
        <f>+N15</f>
        <v>Winter kWh - First 20,000</v>
      </c>
      <c r="Q15" s="260">
        <f>SUM(Q31,Q42:Q48,Q53,Q58:Q58)</f>
        <v>9.8375000000000004E-2</v>
      </c>
      <c r="R15" s="280"/>
      <c r="S15" s="258">
        <f>(Q15-O15)/O15</f>
        <v>6.9707453886625687E-3</v>
      </c>
    </row>
    <row r="16" spans="1:25" ht="15.6">
      <c r="A16" s="277">
        <f t="shared" si="0"/>
        <v>6</v>
      </c>
      <c r="B16" s="285">
        <f>+B15</f>
        <v>100</v>
      </c>
      <c r="C16" s="285"/>
      <c r="D16" s="285">
        <v>500</v>
      </c>
      <c r="E16" s="288">
        <f>ROUND((B$15*D16),0)</f>
        <v>50000</v>
      </c>
      <c r="F16" s="285"/>
      <c r="G16" s="286">
        <f>+O$13+IF($E16&lt;20000,$E16*O$17,20000*O$17+($E16-20000)*O$19)+IF($B16&gt;50,($B16-50)*O$25,0)</f>
        <v>4446.7900000000009</v>
      </c>
      <c r="H16" s="286"/>
      <c r="I16" s="286">
        <f>+Q$13+IF($E16&lt;20000,$E16*Q$17,20000*Q$17+($E16-20000)*Q$19)+IF($B16&gt;50,($B16-50)*Q$25,0)</f>
        <v>4468.6400000000012</v>
      </c>
      <c r="J16" s="285"/>
      <c r="K16" s="283">
        <f>ROUND((+I16-G16)/G16,3)</f>
        <v>5.0000000000000001E-3</v>
      </c>
      <c r="L16" s="281"/>
      <c r="M16" s="281"/>
      <c r="N16" s="296" t="s">
        <v>320</v>
      </c>
      <c r="O16" s="260">
        <f>SUM(O32,O42:O48,O54,O58:O58)</f>
        <v>8.9166999999999996E-2</v>
      </c>
      <c r="P16" s="295" t="str">
        <f>+N16</f>
        <v>Summer kWh - First 20,000</v>
      </c>
      <c r="Q16" s="260">
        <f>SUM(Q32,Q42:Q48,Q54,Q58:Q58)</f>
        <v>8.9631000000000002E-2</v>
      </c>
      <c r="R16" s="280"/>
      <c r="S16" s="258">
        <f>(Q16-O16)/O16</f>
        <v>5.2037188646024439E-3</v>
      </c>
    </row>
    <row r="17" spans="1:19" ht="15.6">
      <c r="A17" s="277">
        <f t="shared" si="0"/>
        <v>7</v>
      </c>
      <c r="B17" s="285">
        <f>+B16</f>
        <v>100</v>
      </c>
      <c r="C17" s="285"/>
      <c r="D17" s="285">
        <v>700</v>
      </c>
      <c r="E17" s="288">
        <f>ROUND((B$15*D17),0)</f>
        <v>70000</v>
      </c>
      <c r="F17" s="285"/>
      <c r="G17" s="286">
        <f>+O$13+IF($E17&lt;20000,$E17*O$17,20000*O$17+($E17-20000)*O$19)+IF($B17&gt;50,($B17-50)*O$25,0)</f>
        <v>5867.0500000000011</v>
      </c>
      <c r="H17" s="286"/>
      <c r="I17" s="286">
        <f>+Q$13+IF($E17&lt;20000,$E17*Q$17,20000*Q$17+($E17-20000)*Q$19)+IF($B17&gt;50,($B17-50)*Q$25,0)</f>
        <v>5888.9000000000015</v>
      </c>
      <c r="J17" s="285"/>
      <c r="K17" s="283">
        <f>ROUND((+I17-G17)/G17,3)</f>
        <v>4.0000000000000001E-3</v>
      </c>
      <c r="N17" s="296" t="s">
        <v>371</v>
      </c>
      <c r="O17" s="260">
        <f>ROUND(SUM(O33,O42:O48,O58:O58)+O55,6)</f>
        <v>9.3479999999999994E-2</v>
      </c>
      <c r="P17" s="295" t="str">
        <f>+N17</f>
        <v>Average kWh - First 20,000</v>
      </c>
      <c r="Q17" s="260">
        <f>ROUND(SUM(Q33,Q42:Q48,Q58:Q58)+Q55,6)</f>
        <v>9.4053999999999999E-2</v>
      </c>
      <c r="R17" s="280"/>
      <c r="S17" s="258">
        <f>(Q17-O17)/O17</f>
        <v>6.1403508771930371E-3</v>
      </c>
    </row>
    <row r="18" spans="1:19" ht="15.6">
      <c r="A18" s="277">
        <f t="shared" si="0"/>
        <v>8</v>
      </c>
      <c r="B18" s="285"/>
      <c r="C18" s="285"/>
      <c r="D18" s="285"/>
      <c r="E18" s="285"/>
      <c r="F18" s="285"/>
      <c r="G18" s="286"/>
      <c r="H18" s="286"/>
      <c r="I18" s="286"/>
      <c r="J18" s="282"/>
      <c r="K18" s="284"/>
      <c r="L18" s="281"/>
      <c r="M18" s="281"/>
      <c r="N18" s="295"/>
      <c r="O18" s="260"/>
      <c r="P18" s="295"/>
      <c r="Q18" s="260"/>
      <c r="R18" s="280"/>
    </row>
    <row r="19" spans="1:19" ht="15.6">
      <c r="A19" s="277">
        <f t="shared" si="0"/>
        <v>9</v>
      </c>
      <c r="B19" s="285">
        <v>150</v>
      </c>
      <c r="C19" s="285"/>
      <c r="D19" s="285">
        <v>300</v>
      </c>
      <c r="E19" s="288">
        <f>ROUND((B$19*D19),0)</f>
        <v>45000</v>
      </c>
      <c r="F19" s="285"/>
      <c r="G19" s="286">
        <f>+O$13+IF($E19&lt;20000,$E19*O$17,20000*O$17+($E19-20000)*O$19)+IF($B19&gt;50,($B19-50)*O$25,0)</f>
        <v>4486.2250000000004</v>
      </c>
      <c r="H19" s="286"/>
      <c r="I19" s="286">
        <f>+Q$13+IF($E19&lt;20000,$E19*Q$17,20000*Q$17+($E19-20000)*Q$19)+IF($B19&gt;50,($B19-50)*Q$25,0)</f>
        <v>4518.0750000000007</v>
      </c>
      <c r="J19" s="285"/>
      <c r="K19" s="283">
        <f>ROUND((+I19-G19)/G19,3)</f>
        <v>7.0000000000000001E-3</v>
      </c>
      <c r="L19" s="281"/>
      <c r="M19" s="281"/>
      <c r="N19" s="296" t="s">
        <v>319</v>
      </c>
      <c r="O19" s="260">
        <f>SUM(O34,O42:O48,O56,O58)</f>
        <v>7.1013000000000021E-2</v>
      </c>
      <c r="P19" s="295" t="str">
        <f>+N19</f>
        <v>kWh - All Over 20,000</v>
      </c>
      <c r="Q19" s="260">
        <f>SUM(Q34,Q42:Q48,Q56,Q58)</f>
        <v>7.1013000000000021E-2</v>
      </c>
      <c r="R19" s="280"/>
      <c r="S19" s="258">
        <f>(Q19-O19)/O19</f>
        <v>0</v>
      </c>
    </row>
    <row r="20" spans="1:19" ht="15.6">
      <c r="A20" s="277">
        <f t="shared" si="0"/>
        <v>10</v>
      </c>
      <c r="B20" s="285">
        <f>+B19</f>
        <v>150</v>
      </c>
      <c r="C20" s="285"/>
      <c r="D20" s="285">
        <v>500</v>
      </c>
      <c r="E20" s="288">
        <f>ROUND((B$19*D20),0)</f>
        <v>75000</v>
      </c>
      <c r="F20" s="285"/>
      <c r="G20" s="286">
        <f>+O$13+IF($E20&lt;20000,$E20*O$17,20000*O$17+($E20-20000)*O$19)+IF($B20&gt;50,($B20-50)*O$25,0)</f>
        <v>6616.6150000000007</v>
      </c>
      <c r="H20" s="286"/>
      <c r="I20" s="286">
        <f>+Q$13+IF($E20&lt;20000,$E20*Q$17,20000*Q$17+($E20-20000)*Q$19)+IF($B20&gt;50,($B20-50)*Q$25,0)</f>
        <v>6648.4650000000011</v>
      </c>
      <c r="J20" s="285"/>
      <c r="K20" s="283">
        <f>ROUND((+I20-G20)/G20,3)</f>
        <v>5.0000000000000001E-3</v>
      </c>
      <c r="L20" s="281"/>
      <c r="M20" s="281"/>
      <c r="N20" s="296"/>
      <c r="O20" s="260"/>
      <c r="P20" s="296"/>
      <c r="Q20" s="260"/>
      <c r="R20" s="280"/>
      <c r="S20" s="264"/>
    </row>
    <row r="21" spans="1:19" ht="15.6">
      <c r="A21" s="277">
        <f t="shared" si="0"/>
        <v>11</v>
      </c>
      <c r="B21" s="285">
        <f>+B20</f>
        <v>150</v>
      </c>
      <c r="C21" s="285"/>
      <c r="D21" s="285">
        <v>700</v>
      </c>
      <c r="E21" s="288">
        <f>ROUND((B$19*D21),0)</f>
        <v>105000</v>
      </c>
      <c r="F21" s="285"/>
      <c r="G21" s="286">
        <f>+O$13+IF($E21&lt;20000,$E21*O$17,20000*O$17+($E21-20000)*O$19)+IF($B21&gt;50,($B21-50)*O$25,0)</f>
        <v>8747.005000000001</v>
      </c>
      <c r="H21" s="286"/>
      <c r="I21" s="286">
        <f>+Q$13+IF($E21&lt;20000,$E21*Q$17,20000*Q$17+($E21-20000)*Q$19)+IF($B21&gt;50,($B21-50)*Q$25,0)</f>
        <v>8778.8550000000014</v>
      </c>
      <c r="J21" s="285"/>
      <c r="K21" s="283">
        <f>ROUND((+I21-G21)/G21,3)</f>
        <v>4.0000000000000001E-3</v>
      </c>
      <c r="N21" s="296" t="s">
        <v>318</v>
      </c>
      <c r="O21" s="260">
        <v>0</v>
      </c>
      <c r="P21" s="295" t="str">
        <f>+N21</f>
        <v>kW - First 50</v>
      </c>
      <c r="Q21" s="260">
        <v>0</v>
      </c>
      <c r="R21" s="280"/>
      <c r="S21" s="264"/>
    </row>
    <row r="22" spans="1:19" ht="15.6">
      <c r="A22" s="277">
        <f t="shared" si="0"/>
        <v>12</v>
      </c>
      <c r="B22" s="285"/>
      <c r="C22" s="285"/>
      <c r="D22" s="285"/>
      <c r="E22" s="285"/>
      <c r="F22" s="285"/>
      <c r="G22" s="286"/>
      <c r="H22" s="286"/>
      <c r="I22" s="286"/>
      <c r="J22" s="282"/>
      <c r="K22" s="284"/>
      <c r="L22" s="281"/>
      <c r="M22" s="281"/>
      <c r="N22" s="296"/>
      <c r="O22" s="260"/>
      <c r="P22" s="296"/>
      <c r="Q22" s="260"/>
      <c r="R22" s="292"/>
      <c r="S22" s="241"/>
    </row>
    <row r="23" spans="1:19" ht="15.6">
      <c r="A23" s="277">
        <f t="shared" si="0"/>
        <v>13</v>
      </c>
      <c r="B23" s="285">
        <v>200</v>
      </c>
      <c r="C23" s="285"/>
      <c r="D23" s="285">
        <v>300</v>
      </c>
      <c r="E23" s="288">
        <f>ROUND((B$23*D23),0)</f>
        <v>60000</v>
      </c>
      <c r="F23" s="285"/>
      <c r="G23" s="286">
        <f>+O$13+IF($E23&lt;20000,$E23*O$17,20000*O$17+($E23-20000)*O$19)+IF($B23&gt;50,($B23-50)*O$25,0)</f>
        <v>5945.920000000001</v>
      </c>
      <c r="H23" s="286"/>
      <c r="I23" s="286">
        <f>+Q$13+IF($E23&lt;20000,$E23*Q$17,20000*Q$17+($E23-20000)*Q$19)+IF($B23&gt;50,($B23-50)*Q$25,0)</f>
        <v>5987.77</v>
      </c>
      <c r="J23" s="285"/>
      <c r="K23" s="283">
        <f>ROUND((+I23-G23)/G23,3)</f>
        <v>7.0000000000000001E-3</v>
      </c>
      <c r="L23" s="281"/>
      <c r="M23" s="281"/>
      <c r="N23" s="296" t="s">
        <v>317</v>
      </c>
      <c r="O23" s="316">
        <f>SUM(O36,O50)</f>
        <v>9.42</v>
      </c>
      <c r="P23" s="295" t="str">
        <f>+N23</f>
        <v>Winter kW - Over 50</v>
      </c>
      <c r="Q23" s="316">
        <f>SUM(Q36,Q50)</f>
        <v>9.66</v>
      </c>
      <c r="R23" s="280"/>
      <c r="S23" s="258">
        <f>(Q23-O23)/O23</f>
        <v>2.5477707006369449E-2</v>
      </c>
    </row>
    <row r="24" spans="1:19" ht="15.6">
      <c r="A24" s="277">
        <f t="shared" si="0"/>
        <v>14</v>
      </c>
      <c r="B24" s="285">
        <f>+B23</f>
        <v>200</v>
      </c>
      <c r="C24" s="285"/>
      <c r="D24" s="285">
        <v>500</v>
      </c>
      <c r="E24" s="288">
        <f>ROUND((B$23*D24),0)</f>
        <v>100000</v>
      </c>
      <c r="F24" s="285"/>
      <c r="G24" s="286">
        <f>+O$13+IF($E24&lt;20000,$E24*O$17,20000*O$17+($E24-20000)*O$19)+IF($B24&gt;50,($B24-50)*O$25,0)</f>
        <v>8786.4400000000023</v>
      </c>
      <c r="H24" s="286"/>
      <c r="I24" s="286">
        <f>+Q$13+IF($E24&lt;20000,$E24*Q$17,20000*Q$17+($E24-20000)*Q$19)+IF($B24&gt;50,($B24-50)*Q$25,0)</f>
        <v>8828.2900000000009</v>
      </c>
      <c r="J24" s="285"/>
      <c r="K24" s="283">
        <f>ROUND((+I24-G24)/G24,3)</f>
        <v>5.0000000000000001E-3</v>
      </c>
      <c r="L24" s="281"/>
      <c r="M24" s="281"/>
      <c r="N24" s="296" t="s">
        <v>316</v>
      </c>
      <c r="O24" s="316">
        <f>SUM(O37,O51)</f>
        <v>6.29</v>
      </c>
      <c r="P24" s="295" t="str">
        <f>+N24</f>
        <v>Summer kW - Over 50</v>
      </c>
      <c r="Q24" s="316">
        <f>SUM(Q37,Q51)</f>
        <v>6.45</v>
      </c>
      <c r="R24" s="280"/>
      <c r="S24" s="258">
        <f>(Q24-O24)/O24</f>
        <v>2.5437201907790166E-2</v>
      </c>
    </row>
    <row r="25" spans="1:19" ht="15.6">
      <c r="A25" s="277">
        <f t="shared" si="0"/>
        <v>15</v>
      </c>
      <c r="B25" s="285">
        <f>+B24</f>
        <v>200</v>
      </c>
      <c r="C25" s="285"/>
      <c r="D25" s="285">
        <v>700</v>
      </c>
      <c r="E25" s="288">
        <f>ROUND((B$23*D25),0)</f>
        <v>140000</v>
      </c>
      <c r="F25" s="285"/>
      <c r="G25" s="286">
        <f>+O$13+IF($E25&lt;20000,$E25*O$17,20000*O$17+($E25-20000)*O$19)+IF($B25&gt;50,($B25-50)*O$25,0)</f>
        <v>11626.960000000003</v>
      </c>
      <c r="H25" s="286"/>
      <c r="I25" s="286">
        <f>+Q$13+IF($E25&lt;20000,$E25*Q$17,20000*Q$17+($E25-20000)*Q$19)+IF($B25&gt;50,($B25-50)*Q$25,0)</f>
        <v>11668.810000000003</v>
      </c>
      <c r="J25" s="285"/>
      <c r="K25" s="283">
        <f>ROUND((+I25-G25)/G25,3)</f>
        <v>4.0000000000000001E-3</v>
      </c>
      <c r="N25" s="296" t="s">
        <v>315</v>
      </c>
      <c r="O25" s="316">
        <f>SUM(O38,O52)</f>
        <v>7.89</v>
      </c>
      <c r="P25" s="295" t="str">
        <f>+N25</f>
        <v>Average kW - Over 50</v>
      </c>
      <c r="Q25" s="316">
        <f>SUM(Q38,Q52)</f>
        <v>8.09</v>
      </c>
      <c r="R25" s="280"/>
      <c r="S25" s="258">
        <f>(Q25-O25)/O25</f>
        <v>2.5348542458808642E-2</v>
      </c>
    </row>
    <row r="26" spans="1:19" ht="15.6">
      <c r="A26" s="277">
        <f t="shared" si="0"/>
        <v>16</v>
      </c>
      <c r="B26" s="285"/>
      <c r="C26" s="285"/>
      <c r="D26" s="285"/>
      <c r="E26" s="285"/>
      <c r="F26" s="285"/>
      <c r="G26" s="286"/>
      <c r="H26" s="286"/>
      <c r="I26" s="286"/>
      <c r="J26" s="282"/>
      <c r="K26" s="284"/>
      <c r="L26" s="281"/>
      <c r="M26" s="281"/>
      <c r="N26" s="295"/>
      <c r="O26" s="260"/>
      <c r="P26" s="295"/>
      <c r="Q26" s="260"/>
      <c r="R26" s="280"/>
    </row>
    <row r="27" spans="1:19" ht="15.6">
      <c r="A27" s="277">
        <f t="shared" si="0"/>
        <v>17</v>
      </c>
      <c r="B27" s="285">
        <v>250</v>
      </c>
      <c r="C27" s="285"/>
      <c r="D27" s="285">
        <v>300</v>
      </c>
      <c r="E27" s="288">
        <f>ROUND((B$27*D27),0)</f>
        <v>75000</v>
      </c>
      <c r="F27" s="285"/>
      <c r="G27" s="286">
        <f>+O$13+IF($E27&lt;20000,$E27*O$17,20000*O$17+($E27-20000)*O$19)+IF($B27&gt;50,($B27-50)*O$25,0)</f>
        <v>7405.6150000000007</v>
      </c>
      <c r="H27" s="286"/>
      <c r="I27" s="286">
        <f>+Q$13+IF($E27&lt;20000,$E27*Q$17,20000*Q$17+($E27-20000)*Q$19)+IF($B27&gt;50,($B27-50)*Q$25,0)</f>
        <v>7457.4650000000011</v>
      </c>
      <c r="J27" s="285"/>
      <c r="K27" s="283">
        <f>ROUND((+I27-G27)/G27,3)</f>
        <v>7.0000000000000001E-3</v>
      </c>
      <c r="L27" s="281"/>
      <c r="M27" s="281"/>
      <c r="N27" s="295" t="s">
        <v>314</v>
      </c>
      <c r="O27" s="315">
        <f>+O39+O57</f>
        <v>2.96E-3</v>
      </c>
      <c r="P27" s="295" t="str">
        <f>+N27</f>
        <v>kVarh</v>
      </c>
      <c r="Q27" s="315">
        <f>+Q39+Q57</f>
        <v>3.0400000000000002E-3</v>
      </c>
      <c r="R27" s="280"/>
      <c r="S27" s="258">
        <f>(Q27-O27)/O27</f>
        <v>2.7027027027027098E-2</v>
      </c>
    </row>
    <row r="28" spans="1:19" ht="16.2" thickBot="1">
      <c r="A28" s="277">
        <f t="shared" si="0"/>
        <v>18</v>
      </c>
      <c r="B28" s="285">
        <f>+B27</f>
        <v>250</v>
      </c>
      <c r="C28" s="285"/>
      <c r="D28" s="285">
        <v>500</v>
      </c>
      <c r="E28" s="288">
        <f>ROUND((B$27*D28),0)</f>
        <v>125000</v>
      </c>
      <c r="F28" s="285"/>
      <c r="G28" s="286">
        <f>+O$13+IF($E28&lt;20000,$E28*O$17,20000*O$17+($E28-20000)*O$19)+IF($B28&gt;50,($B28-50)*O$25,0)</f>
        <v>10956.265000000001</v>
      </c>
      <c r="H28" s="286"/>
      <c r="I28" s="286">
        <f>+Q$13+IF($E28&lt;20000,$E28*Q$17,20000*Q$17+($E28-20000)*Q$19)+IF($B28&gt;50,($B28-50)*Q$25,0)</f>
        <v>11008.115000000003</v>
      </c>
      <c r="J28" s="285"/>
      <c r="K28" s="283">
        <f>ROUND((+I28-G28)/G28,3)</f>
        <v>5.0000000000000001E-3</v>
      </c>
      <c r="L28" s="281"/>
      <c r="M28" s="281"/>
      <c r="N28" s="294" t="s">
        <v>24</v>
      </c>
      <c r="O28" s="293" t="s">
        <v>24</v>
      </c>
      <c r="P28" s="294" t="s">
        <v>24</v>
      </c>
      <c r="Q28" s="293" t="s">
        <v>24</v>
      </c>
      <c r="R28" s="280"/>
    </row>
    <row r="29" spans="1:19" ht="15.6">
      <c r="A29" s="277">
        <f t="shared" si="0"/>
        <v>19</v>
      </c>
      <c r="B29" s="285">
        <f>+B28</f>
        <v>250</v>
      </c>
      <c r="C29" s="285"/>
      <c r="D29" s="285">
        <v>700</v>
      </c>
      <c r="E29" s="288">
        <f>ROUND((B$27*D29),0)</f>
        <v>175000</v>
      </c>
      <c r="F29" s="285"/>
      <c r="G29" s="286">
        <f>+O$13+IF($E29&lt;20000,$E29*O$17,20000*O$17+($E29-20000)*O$19)+IF($B29&gt;50,($B29-50)*O$25,0)</f>
        <v>14506.915000000003</v>
      </c>
      <c r="H29" s="286"/>
      <c r="I29" s="286">
        <f>+Q$13+IF($E29&lt;20000,$E29*Q$17,20000*Q$17+($E29-20000)*Q$19)+IF($B29&gt;50,($B29-50)*Q$25,0)</f>
        <v>14558.765000000003</v>
      </c>
      <c r="J29" s="285"/>
      <c r="K29" s="283">
        <f>ROUND((+I29-G29)/G29,3)</f>
        <v>4.0000000000000001E-3</v>
      </c>
      <c r="R29" s="280"/>
    </row>
    <row r="30" spans="1:19" ht="15.6">
      <c r="A30" s="277">
        <f t="shared" si="0"/>
        <v>20</v>
      </c>
      <c r="B30" s="285"/>
      <c r="C30" s="285"/>
      <c r="D30" s="285"/>
      <c r="E30" s="285"/>
      <c r="F30" s="285"/>
      <c r="G30" s="286"/>
      <c r="H30" s="286"/>
      <c r="I30" s="286"/>
      <c r="J30" s="282"/>
      <c r="K30" s="284"/>
      <c r="L30" s="281"/>
      <c r="M30" s="281"/>
      <c r="N30" s="233" t="str">
        <f>+N13</f>
        <v>Basic Charge</v>
      </c>
      <c r="O30" s="250">
        <f>+'[1](JAP4)-Tariff Summary'!$D$22</f>
        <v>52.3</v>
      </c>
      <c r="Q30" s="250">
        <f>+O30</f>
        <v>52.3</v>
      </c>
      <c r="R30" s="280"/>
    </row>
    <row r="31" spans="1:19" ht="15.6">
      <c r="A31" s="277">
        <f t="shared" si="0"/>
        <v>21</v>
      </c>
      <c r="B31" s="285">
        <v>300</v>
      </c>
      <c r="C31" s="285"/>
      <c r="D31" s="285">
        <v>300</v>
      </c>
      <c r="E31" s="288">
        <f>ROUND((B$31*D31),0)</f>
        <v>90000</v>
      </c>
      <c r="F31" s="285"/>
      <c r="G31" s="286">
        <f>+O$13+IF($E31&lt;20000,$E31*O$17,20000*O$17+($E31-20000)*O$19)+IF($B31&gt;50,($B31-50)*O$25,0)</f>
        <v>8865.3100000000013</v>
      </c>
      <c r="H31" s="286"/>
      <c r="I31" s="286">
        <f>+Q$13+IF($E31&lt;20000,$E31*Q$17,20000*Q$17+($E31-20000)*Q$19)+IF($B31&gt;50,($B31-50)*Q$25,0)</f>
        <v>8927.1600000000017</v>
      </c>
      <c r="J31" s="285"/>
      <c r="K31" s="283">
        <f>ROUND((+I31-G31)/G31,3)</f>
        <v>7.0000000000000001E-3</v>
      </c>
      <c r="L31" s="281"/>
      <c r="M31" s="281"/>
      <c r="N31" s="233" t="str">
        <f>+N15</f>
        <v>Winter kWh - First 20,000</v>
      </c>
      <c r="O31" s="250">
        <f>+'[1](JAP4)-Tariff Summary'!$D$24</f>
        <v>9.0753E-2</v>
      </c>
      <c r="Q31" s="250">
        <f t="shared" ref="Q31:Q39" si="1">+O31</f>
        <v>9.0753E-2</v>
      </c>
      <c r="R31" s="280"/>
    </row>
    <row r="32" spans="1:19" ht="15.6">
      <c r="A32" s="277">
        <f t="shared" si="0"/>
        <v>22</v>
      </c>
      <c r="B32" s="285">
        <f>+B31</f>
        <v>300</v>
      </c>
      <c r="C32" s="285"/>
      <c r="D32" s="285">
        <v>500</v>
      </c>
      <c r="E32" s="288">
        <f>ROUND((B$31*D32),0)</f>
        <v>150000</v>
      </c>
      <c r="F32" s="285"/>
      <c r="G32" s="286">
        <f>+O$13+IF($E32&lt;20000,$E32*O$17,20000*O$17+($E32-20000)*O$19)+IF($B32&gt;50,($B32-50)*O$25,0)</f>
        <v>13126.090000000002</v>
      </c>
      <c r="H32" s="286"/>
      <c r="I32" s="286">
        <f>+Q$13+IF($E32&lt;20000,$E32*Q$17,20000*Q$17+($E32-20000)*Q$19)+IF($B32&gt;50,($B32-50)*Q$25,0)</f>
        <v>13187.940000000002</v>
      </c>
      <c r="J32" s="285"/>
      <c r="K32" s="283">
        <f>ROUND((+I32-G32)/G32,3)</f>
        <v>5.0000000000000001E-3</v>
      </c>
      <c r="L32" s="281"/>
      <c r="M32" s="281"/>
      <c r="N32" s="233" t="str">
        <f>+N16</f>
        <v>Summer kWh - First 20,000</v>
      </c>
      <c r="O32" s="250">
        <f>+'[1](JAP4)-Tariff Summary'!$D$25</f>
        <v>8.2225999999999994E-2</v>
      </c>
      <c r="Q32" s="250">
        <f t="shared" si="1"/>
        <v>8.2225999999999994E-2</v>
      </c>
      <c r="R32" s="280"/>
    </row>
    <row r="33" spans="1:18" ht="15.6">
      <c r="A33" s="277">
        <f t="shared" si="0"/>
        <v>23</v>
      </c>
      <c r="B33" s="285">
        <f>+B32</f>
        <v>300</v>
      </c>
      <c r="C33" s="285"/>
      <c r="D33" s="285">
        <v>700</v>
      </c>
      <c r="E33" s="288">
        <f>ROUND((B$31*D33),0)</f>
        <v>210000</v>
      </c>
      <c r="F33" s="285"/>
      <c r="G33" s="286">
        <f>+O$13+IF($E33&lt;20000,$E33*O$17,20000*O$17+($E33-20000)*O$19)+IF($B33&gt;50,($B33-50)*O$25,0)</f>
        <v>17386.870000000003</v>
      </c>
      <c r="H33" s="286"/>
      <c r="I33" s="286">
        <f>+Q$13+IF($E33&lt;20000,$E33*Q$17,20000*Q$17+($E33-20000)*Q$19)+IF($B33&gt;50,($B33-50)*Q$25,0)</f>
        <v>17448.720000000005</v>
      </c>
      <c r="J33" s="285"/>
      <c r="K33" s="283">
        <f>ROUND((+I33-G33)/G33,3)</f>
        <v>4.0000000000000001E-3</v>
      </c>
      <c r="N33" s="233" t="str">
        <f>+N17</f>
        <v>Average kWh - First 20,000</v>
      </c>
      <c r="O33" s="250">
        <f>+'[1](JAP4) SecVolt RD'!$D$59</f>
        <v>8.6539000000000005E-2</v>
      </c>
      <c r="Q33" s="250">
        <f t="shared" si="1"/>
        <v>8.6539000000000005E-2</v>
      </c>
      <c r="R33" s="280"/>
    </row>
    <row r="34" spans="1:18" ht="15.6">
      <c r="A34" s="277">
        <f t="shared" si="0"/>
        <v>24</v>
      </c>
      <c r="B34" s="285"/>
      <c r="C34" s="285"/>
      <c r="D34" s="285"/>
      <c r="E34" s="285"/>
      <c r="F34" s="285"/>
      <c r="G34" s="286"/>
      <c r="H34" s="286"/>
      <c r="I34" s="286"/>
      <c r="J34" s="282"/>
      <c r="K34" s="284"/>
      <c r="L34" s="281"/>
      <c r="M34" s="281"/>
      <c r="N34" s="233" t="str">
        <f>+N19</f>
        <v>kWh - All Over 20,000</v>
      </c>
      <c r="O34" s="250">
        <f>+'[1](JAP4)-Tariff Summary'!$D$26</f>
        <v>6.4072000000000004E-2</v>
      </c>
      <c r="Q34" s="250">
        <f t="shared" si="1"/>
        <v>6.4072000000000004E-2</v>
      </c>
      <c r="R34" s="280"/>
    </row>
    <row r="35" spans="1:18" ht="15.6">
      <c r="A35" s="277">
        <f t="shared" si="0"/>
        <v>25</v>
      </c>
      <c r="B35" s="285">
        <v>350</v>
      </c>
      <c r="C35" s="285"/>
      <c r="D35" s="285">
        <v>300</v>
      </c>
      <c r="E35" s="288">
        <f>ROUND((B$35*D35),0)</f>
        <v>105000</v>
      </c>
      <c r="F35" s="285"/>
      <c r="G35" s="286">
        <f>+O$13+IF($E35&lt;20000,$E35*O$17,20000*O$17+($E35-20000)*O$19)+IF($B35&gt;50,($B35-50)*O$25,0)</f>
        <v>10325.005000000001</v>
      </c>
      <c r="H35" s="286"/>
      <c r="I35" s="286">
        <f>+Q$13+IF($E35&lt;20000,$E35*Q$17,20000*Q$17+($E35-20000)*Q$19)+IF($B35&gt;50,($B35-50)*Q$25,0)</f>
        <v>10396.855000000001</v>
      </c>
      <c r="J35" s="285"/>
      <c r="K35" s="283">
        <f>ROUND((+I35-G35)/G35,3)</f>
        <v>7.0000000000000001E-3</v>
      </c>
      <c r="L35" s="281"/>
      <c r="M35" s="281"/>
      <c r="N35" s="233" t="str">
        <f>+N21</f>
        <v>kW - First 50</v>
      </c>
      <c r="O35" s="250">
        <f>+'[1](JAP4)-Tariff Summary'!$D$28</f>
        <v>0</v>
      </c>
      <c r="Q35" s="250">
        <f t="shared" si="1"/>
        <v>0</v>
      </c>
      <c r="R35" s="280"/>
    </row>
    <row r="36" spans="1:18" ht="15.6">
      <c r="A36" s="277">
        <f t="shared" si="0"/>
        <v>26</v>
      </c>
      <c r="B36" s="285">
        <f>+B35</f>
        <v>350</v>
      </c>
      <c r="C36" s="285"/>
      <c r="D36" s="285">
        <v>500</v>
      </c>
      <c r="E36" s="288">
        <f>ROUND((B$35*D36),0)</f>
        <v>175000</v>
      </c>
      <c r="F36" s="285"/>
      <c r="G36" s="286">
        <f>+O$13+IF($E36&lt;20000,$E36*O$17,20000*O$17+($E36-20000)*O$19)+IF($B36&gt;50,($B36-50)*O$25,0)</f>
        <v>15295.915000000003</v>
      </c>
      <c r="H36" s="286"/>
      <c r="I36" s="286">
        <f>+Q$13+IF($E36&lt;20000,$E36*Q$17,20000*Q$17+($E36-20000)*Q$19)+IF($B36&gt;50,($B36-50)*Q$25,0)</f>
        <v>15367.765000000003</v>
      </c>
      <c r="J36" s="285"/>
      <c r="K36" s="283">
        <f>ROUND((+I36-G36)/G36,3)</f>
        <v>5.0000000000000001E-3</v>
      </c>
      <c r="L36" s="281"/>
      <c r="M36" s="281"/>
      <c r="N36" s="233" t="str">
        <f>+N23</f>
        <v>Winter kW - Over 50</v>
      </c>
      <c r="O36" s="250">
        <f>+'[1](JAP4)-Tariff Summary'!$D$29</f>
        <v>9.42</v>
      </c>
      <c r="Q36" s="250">
        <f t="shared" si="1"/>
        <v>9.42</v>
      </c>
    </row>
    <row r="37" spans="1:18" ht="15.6">
      <c r="A37" s="277">
        <f t="shared" si="0"/>
        <v>27</v>
      </c>
      <c r="B37" s="285">
        <f>+B36</f>
        <v>350</v>
      </c>
      <c r="C37" s="285"/>
      <c r="D37" s="285">
        <v>700</v>
      </c>
      <c r="E37" s="288">
        <f>ROUND((B$35*D37),0)</f>
        <v>245000</v>
      </c>
      <c r="F37" s="285"/>
      <c r="G37" s="286">
        <f>+O$13+IF($E37&lt;20000,$E37*O$17,20000*O$17+($E37-20000)*O$19)+IF($B37&gt;50,($B37-50)*O$25,0)</f>
        <v>20266.825000000004</v>
      </c>
      <c r="H37" s="286"/>
      <c r="I37" s="286">
        <f>+Q$13+IF($E37&lt;20000,$E37*Q$17,20000*Q$17+($E37-20000)*Q$19)+IF($B37&gt;50,($B37-50)*Q$25,0)</f>
        <v>20338.675000000003</v>
      </c>
      <c r="J37" s="285"/>
      <c r="K37" s="283">
        <f>ROUND((+I37-G37)/G37,3)</f>
        <v>4.0000000000000001E-3</v>
      </c>
      <c r="N37" s="233" t="str">
        <f t="shared" ref="N37:N38" si="2">+N24</f>
        <v>Summer kW - Over 50</v>
      </c>
      <c r="O37" s="250">
        <f>+'[1](JAP4)-Tariff Summary'!$D$30</f>
        <v>6.29</v>
      </c>
      <c r="Q37" s="250">
        <f t="shared" si="1"/>
        <v>6.29</v>
      </c>
    </row>
    <row r="38" spans="1:18" ht="15.6">
      <c r="A38" s="277">
        <f t="shared" si="0"/>
        <v>28</v>
      </c>
      <c r="B38" s="314"/>
      <c r="C38" s="314"/>
      <c r="D38" s="314"/>
      <c r="E38" s="314"/>
      <c r="F38" s="314"/>
      <c r="G38" s="314"/>
      <c r="H38" s="314"/>
      <c r="I38" s="314"/>
      <c r="J38" s="313"/>
      <c r="K38" s="313"/>
      <c r="L38" s="281"/>
      <c r="M38" s="281"/>
      <c r="N38" s="233" t="str">
        <f t="shared" si="2"/>
        <v>Average kW - Over 50</v>
      </c>
      <c r="O38" s="250">
        <f>+'[1](JAP4) SecVolt RD'!$D$60</f>
        <v>7.89</v>
      </c>
      <c r="Q38" s="250">
        <f t="shared" si="1"/>
        <v>7.89</v>
      </c>
    </row>
    <row r="39" spans="1:18" ht="15.6">
      <c r="A39" s="277">
        <f t="shared" si="0"/>
        <v>29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N39" s="233" t="str">
        <f>+N27</f>
        <v>kVarh</v>
      </c>
      <c r="O39" s="250">
        <f>+'[1](JAP4)-Tariff Summary'!$D$32</f>
        <v>2.96E-3</v>
      </c>
      <c r="Q39" s="250">
        <f t="shared" si="1"/>
        <v>2.96E-3</v>
      </c>
    </row>
    <row r="40" spans="1:18" ht="15.6">
      <c r="A40" s="277">
        <f t="shared" si="0"/>
        <v>30</v>
      </c>
      <c r="B40" s="282" t="s">
        <v>266</v>
      </c>
      <c r="C40" s="282"/>
      <c r="D40" s="282"/>
      <c r="E40" s="282"/>
      <c r="F40" s="282"/>
      <c r="G40" s="282"/>
      <c r="H40" s="282"/>
      <c r="I40" s="282"/>
      <c r="J40" s="282"/>
      <c r="K40" s="282"/>
    </row>
    <row r="41" spans="1:18" ht="16.2">
      <c r="A41" s="277">
        <f t="shared" si="0"/>
        <v>31</v>
      </c>
      <c r="B41" s="409" t="s">
        <v>410</v>
      </c>
      <c r="C41" s="282"/>
      <c r="D41" s="282"/>
      <c r="E41" s="282"/>
      <c r="F41" s="282"/>
      <c r="G41" s="282"/>
      <c r="H41" s="282"/>
      <c r="I41" s="282"/>
      <c r="J41" s="282"/>
      <c r="K41" s="282"/>
    </row>
    <row r="42" spans="1:18" ht="15.6">
      <c r="A42" s="277">
        <f t="shared" si="0"/>
        <v>32</v>
      </c>
      <c r="B42" s="409" t="s">
        <v>309</v>
      </c>
      <c r="N42" s="249" t="s">
        <v>276</v>
      </c>
      <c r="O42" s="250">
        <v>0</v>
      </c>
      <c r="Q42" s="250">
        <v>0</v>
      </c>
    </row>
    <row r="43" spans="1:18" ht="15.6">
      <c r="A43" s="277">
        <f t="shared" si="0"/>
        <v>33</v>
      </c>
      <c r="B43" s="443" t="s">
        <v>420</v>
      </c>
      <c r="N43" s="249" t="s">
        <v>275</v>
      </c>
      <c r="O43" s="250">
        <f>+'Sch 95a'!$H$14</f>
        <v>-1.7129999999999999E-3</v>
      </c>
      <c r="P43" s="278"/>
      <c r="Q43" s="250">
        <f t="shared" ref="Q43:Q48" si="3">+O43</f>
        <v>-1.7129999999999999E-3</v>
      </c>
    </row>
    <row r="44" spans="1:18" ht="15.6">
      <c r="A44" s="277">
        <f t="shared" si="0"/>
        <v>34</v>
      </c>
      <c r="B44" s="517" t="s">
        <v>511</v>
      </c>
      <c r="N44" s="249" t="s">
        <v>274</v>
      </c>
      <c r="O44" s="250">
        <f>+'Sch 120'!$H$14</f>
        <v>4.2570000000000004E-3</v>
      </c>
      <c r="P44" s="278"/>
      <c r="Q44" s="250">
        <f t="shared" si="3"/>
        <v>4.2570000000000004E-3</v>
      </c>
    </row>
    <row r="45" spans="1:18">
      <c r="A45" s="277">
        <f t="shared" si="0"/>
        <v>35</v>
      </c>
      <c r="B45" s="443"/>
      <c r="N45" s="249" t="s">
        <v>209</v>
      </c>
      <c r="O45" s="250">
        <f>+'Sch 129'!G13</f>
        <v>7.9600000000000005E-4</v>
      </c>
      <c r="P45" s="278"/>
      <c r="Q45" s="250">
        <f t="shared" si="3"/>
        <v>7.9600000000000005E-4</v>
      </c>
    </row>
    <row r="46" spans="1:18">
      <c r="A46" s="277">
        <f t="shared" si="0"/>
        <v>36</v>
      </c>
      <c r="B46" s="409"/>
      <c r="N46" s="249" t="s">
        <v>210</v>
      </c>
      <c r="O46" s="250">
        <f>+'Sch 132'!E14</f>
        <v>-2.4499999999999999E-4</v>
      </c>
      <c r="P46" s="278"/>
      <c r="Q46" s="250">
        <f t="shared" si="3"/>
        <v>-2.4499999999999999E-4</v>
      </c>
    </row>
    <row r="47" spans="1:18">
      <c r="A47" s="277">
        <f t="shared" si="0"/>
        <v>37</v>
      </c>
      <c r="N47" s="249" t="s">
        <v>272</v>
      </c>
      <c r="O47" s="250">
        <f>+'Sch 137'!E14</f>
        <v>-2.9E-5</v>
      </c>
      <c r="P47" s="278"/>
      <c r="Q47" s="250">
        <f t="shared" si="3"/>
        <v>-2.9E-5</v>
      </c>
    </row>
    <row r="48" spans="1:18">
      <c r="A48" s="277">
        <f t="shared" si="0"/>
        <v>38</v>
      </c>
      <c r="N48" s="249" t="s">
        <v>241</v>
      </c>
      <c r="O48" s="250">
        <f>+'Sch 140'!$H$14</f>
        <v>2.467E-3</v>
      </c>
      <c r="P48" s="278"/>
      <c r="Q48" s="250">
        <f t="shared" si="3"/>
        <v>2.467E-3</v>
      </c>
    </row>
    <row r="49" spans="1:17">
      <c r="A49" s="277">
        <f t="shared" si="0"/>
        <v>39</v>
      </c>
      <c r="N49" s="383" t="s">
        <v>313</v>
      </c>
      <c r="O49" s="384">
        <v>0</v>
      </c>
      <c r="P49" s="385"/>
      <c r="Q49" s="384">
        <f>+'[1](JAP4)-Tariff Summary'!$F$22</f>
        <v>0.37000000000000455</v>
      </c>
    </row>
    <row r="50" spans="1:17">
      <c r="A50" s="277">
        <f t="shared" si="0"/>
        <v>40</v>
      </c>
      <c r="N50" s="383" t="s">
        <v>478</v>
      </c>
      <c r="O50" s="384">
        <v>0</v>
      </c>
      <c r="P50" s="385"/>
      <c r="Q50" s="384">
        <f>+'[1](JAP4)-Tariff Summary'!$F$29</f>
        <v>0.24000000000000021</v>
      </c>
    </row>
    <row r="51" spans="1:17">
      <c r="A51" s="277">
        <f t="shared" si="0"/>
        <v>41</v>
      </c>
      <c r="N51" s="383" t="s">
        <v>479</v>
      </c>
      <c r="O51" s="384">
        <v>0</v>
      </c>
      <c r="P51" s="385"/>
      <c r="Q51" s="384">
        <f>+'[1](JAP4)-Tariff Summary'!$F$30</f>
        <v>0.16000000000000014</v>
      </c>
    </row>
    <row r="52" spans="1:17">
      <c r="A52" s="277">
        <f t="shared" si="0"/>
        <v>42</v>
      </c>
      <c r="N52" s="383" t="s">
        <v>480</v>
      </c>
      <c r="O52" s="384">
        <v>0</v>
      </c>
      <c r="P52" s="385"/>
      <c r="Q52" s="384">
        <f>+'[1](JAP4) SecVolt RD'!$G$60-'[1](JAP4) SecVolt RD'!$D$60</f>
        <v>0.20000000000000018</v>
      </c>
    </row>
    <row r="53" spans="1:17">
      <c r="A53" s="277">
        <f t="shared" si="0"/>
        <v>43</v>
      </c>
      <c r="N53" s="383" t="s">
        <v>312</v>
      </c>
      <c r="O53" s="384">
        <v>0</v>
      </c>
      <c r="P53" s="385"/>
      <c r="Q53" s="384">
        <f>+'[1](JAP4)-Tariff Summary'!$F$24</f>
        <v>6.8100000000000105E-4</v>
      </c>
    </row>
    <row r="54" spans="1:17">
      <c r="A54" s="277">
        <f t="shared" si="0"/>
        <v>44</v>
      </c>
      <c r="N54" s="383" t="s">
        <v>311</v>
      </c>
      <c r="O54" s="384">
        <v>0</v>
      </c>
      <c r="P54" s="385"/>
      <c r="Q54" s="384">
        <f>+'[1](JAP4)-Tariff Summary'!$F$25</f>
        <v>4.6400000000000607E-4</v>
      </c>
    </row>
    <row r="55" spans="1:17">
      <c r="A55" s="277">
        <f t="shared" si="0"/>
        <v>45</v>
      </c>
      <c r="N55" s="383" t="s">
        <v>481</v>
      </c>
      <c r="O55" s="384">
        <v>0</v>
      </c>
      <c r="P55" s="385"/>
      <c r="Q55" s="384">
        <f>+'[1](JAP4) SecVolt RD'!$G$59-'[1](JAP4) SecVolt RD'!$D$59</f>
        <v>5.7399999999999118E-4</v>
      </c>
    </row>
    <row r="56" spans="1:17">
      <c r="A56" s="277">
        <f t="shared" si="0"/>
        <v>46</v>
      </c>
      <c r="N56" s="383" t="s">
        <v>310</v>
      </c>
      <c r="O56" s="384">
        <v>0</v>
      </c>
      <c r="P56" s="385"/>
      <c r="Q56" s="384">
        <f>+'[1](JAP4)-Tariff Summary'!$F$26</f>
        <v>0</v>
      </c>
    </row>
    <row r="57" spans="1:17">
      <c r="A57" s="277">
        <f t="shared" si="0"/>
        <v>47</v>
      </c>
      <c r="N57" s="383" t="s">
        <v>332</v>
      </c>
      <c r="O57" s="384">
        <v>0</v>
      </c>
      <c r="P57" s="385"/>
      <c r="Q57" s="384">
        <f>+'[1](JAP4)-Tariff Summary'!$F$32</f>
        <v>8.000000000000021E-5</v>
      </c>
    </row>
    <row r="58" spans="1:17">
      <c r="A58" s="277">
        <f t="shared" si="0"/>
        <v>48</v>
      </c>
      <c r="N58" s="249" t="s">
        <v>250</v>
      </c>
      <c r="O58" s="250">
        <f>+'Sch 142'!$G$14</f>
        <v>1.408E-3</v>
      </c>
      <c r="P58" s="278"/>
      <c r="Q58" s="250">
        <f t="shared" ref="Q58" si="4">+O58</f>
        <v>1.408E-3</v>
      </c>
    </row>
    <row r="59" spans="1:17">
      <c r="A59" s="277">
        <f t="shared" si="0"/>
        <v>49</v>
      </c>
      <c r="N59" s="246" t="s">
        <v>385</v>
      </c>
      <c r="O59" s="245">
        <f>+'JAP-4 (ERF Impacts)'!V13</f>
        <v>6.5952266300886358E-3</v>
      </c>
    </row>
  </sheetData>
  <mergeCells count="3">
    <mergeCell ref="N11:O11"/>
    <mergeCell ref="P11:Q11"/>
    <mergeCell ref="G6:I6"/>
  </mergeCells>
  <printOptions horizontalCentered="1"/>
  <pageMargins left="0.7" right="0.7" top="0.75" bottom="0.75" header="0.3" footer="0.3"/>
  <pageSetup scale="59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0"/>
  <sheetViews>
    <sheetView zoomScale="90" zoomScaleNormal="90" zoomScaleSheetLayoutView="75" workbookViewId="0">
      <pane xSplit="1" ySplit="8" topLeftCell="B38" activePane="bottomRight" state="frozen"/>
      <selection pane="topRight" activeCell="B1" sqref="B1"/>
      <selection pane="bottomLeft" activeCell="A9" sqref="A9"/>
      <selection pane="bottomRight" activeCell="B44" sqref="B44"/>
    </sheetView>
  </sheetViews>
  <sheetFormatPr defaultColWidth="9.44140625" defaultRowHeight="13.8"/>
  <cols>
    <col min="1" max="1" width="7.6640625" style="233" customWidth="1"/>
    <col min="2" max="2" width="11.5546875" style="233" customWidth="1"/>
    <col min="3" max="3" width="2.6640625" style="233" customWidth="1"/>
    <col min="4" max="4" width="13.6640625" style="233" bestFit="1" customWidth="1"/>
    <col min="5" max="5" width="9" style="233" bestFit="1" customWidth="1"/>
    <col min="6" max="6" width="3.88671875" style="233" customWidth="1"/>
    <col min="7" max="7" width="13" style="233" bestFit="1" customWidth="1"/>
    <col min="8" max="8" width="4" style="233" customWidth="1"/>
    <col min="9" max="9" width="14.33203125" style="233" bestFit="1" customWidth="1"/>
    <col min="10" max="10" width="5" style="233" customWidth="1"/>
    <col min="11" max="11" width="13.6640625" style="233" customWidth="1"/>
    <col min="12" max="12" width="2.6640625" style="233" customWidth="1"/>
    <col min="13" max="13" width="3.33203125" style="233" customWidth="1"/>
    <col min="14" max="14" width="41.109375" style="233" bestFit="1" customWidth="1"/>
    <col min="15" max="15" width="16.88671875" style="233" customWidth="1"/>
    <col min="16" max="17" width="14.33203125" style="233" bestFit="1" customWidth="1"/>
    <col min="18" max="18" width="2.44140625" style="233" customWidth="1"/>
    <col min="19" max="21" width="9.44140625" style="233"/>
    <col min="22" max="22" width="12.6640625" style="233" bestFit="1" customWidth="1"/>
    <col min="23" max="16384" width="9.44140625" style="233"/>
  </cols>
  <sheetData>
    <row r="1" spans="1:22" ht="20.399999999999999">
      <c r="B1" s="312" t="s">
        <v>0</v>
      </c>
      <c r="C1" s="312"/>
      <c r="D1" s="312"/>
      <c r="E1" s="312"/>
      <c r="F1" s="312"/>
      <c r="G1" s="312"/>
      <c r="H1" s="312"/>
      <c r="I1" s="312"/>
      <c r="J1" s="312"/>
      <c r="K1" s="312"/>
      <c r="L1" s="323"/>
      <c r="M1" s="323"/>
    </row>
    <row r="2" spans="1:22" ht="20.399999999999999">
      <c r="B2" s="312" t="s">
        <v>288</v>
      </c>
      <c r="C2" s="312"/>
      <c r="D2" s="312"/>
      <c r="E2" s="312"/>
      <c r="F2" s="312"/>
      <c r="G2" s="312"/>
      <c r="H2" s="312"/>
      <c r="I2" s="312"/>
      <c r="J2" s="312"/>
      <c r="K2" s="312"/>
      <c r="L2" s="323"/>
      <c r="M2" s="323"/>
    </row>
    <row r="3" spans="1:22" ht="20.399999999999999">
      <c r="B3" s="312" t="s">
        <v>339</v>
      </c>
      <c r="C3" s="312"/>
      <c r="D3" s="312"/>
      <c r="E3" s="312"/>
      <c r="F3" s="312"/>
      <c r="G3" s="312"/>
      <c r="H3" s="312"/>
      <c r="I3" s="312"/>
      <c r="J3" s="312"/>
      <c r="K3" s="312"/>
      <c r="L3" s="323"/>
      <c r="M3" s="323"/>
    </row>
    <row r="4" spans="1:22" ht="20.399999999999999">
      <c r="B4" s="324" t="s">
        <v>340</v>
      </c>
      <c r="C4" s="312"/>
      <c r="D4" s="312"/>
      <c r="E4" s="312"/>
      <c r="F4" s="312"/>
      <c r="G4" s="312"/>
      <c r="H4" s="312"/>
      <c r="I4" s="312"/>
      <c r="J4" s="312"/>
      <c r="K4" s="312"/>
      <c r="L4" s="323"/>
      <c r="M4" s="323"/>
    </row>
    <row r="5" spans="1:22">
      <c r="A5" s="281"/>
      <c r="B5" s="322"/>
    </row>
    <row r="6" spans="1:22" ht="15.6">
      <c r="A6" s="281"/>
      <c r="B6" s="320" t="s">
        <v>329</v>
      </c>
      <c r="C6" s="285"/>
      <c r="D6" s="285"/>
      <c r="E6" s="285"/>
      <c r="F6" s="285"/>
      <c r="G6" s="531" t="s">
        <v>328</v>
      </c>
      <c r="H6" s="532"/>
      <c r="I6" s="532"/>
      <c r="J6" s="285"/>
      <c r="K6" s="282"/>
      <c r="L6" s="281"/>
      <c r="M6" s="281"/>
    </row>
    <row r="7" spans="1:22" ht="15.6">
      <c r="A7" s="281"/>
      <c r="B7" s="321" t="s">
        <v>327</v>
      </c>
      <c r="C7" s="309"/>
      <c r="D7" s="320" t="s">
        <v>326</v>
      </c>
      <c r="E7" s="285"/>
      <c r="F7" s="285"/>
      <c r="G7" s="319" t="s">
        <v>325</v>
      </c>
      <c r="H7" s="282"/>
      <c r="I7" s="319" t="s">
        <v>29</v>
      </c>
      <c r="J7" s="285"/>
      <c r="K7" s="309" t="s">
        <v>304</v>
      </c>
      <c r="L7" s="281"/>
      <c r="M7" s="281"/>
    </row>
    <row r="8" spans="1:22" ht="15.6">
      <c r="A8" s="503" t="s">
        <v>3</v>
      </c>
      <c r="B8" s="306" t="s">
        <v>324</v>
      </c>
      <c r="C8" s="302"/>
      <c r="D8" s="318" t="s">
        <v>323</v>
      </c>
      <c r="E8" s="306" t="s">
        <v>284</v>
      </c>
      <c r="F8" s="285"/>
      <c r="G8" s="317" t="s">
        <v>411</v>
      </c>
      <c r="H8" s="317"/>
      <c r="I8" s="317" t="s">
        <v>412</v>
      </c>
      <c r="J8" s="285"/>
      <c r="K8" s="307" t="s">
        <v>33</v>
      </c>
      <c r="L8" s="281"/>
      <c r="M8" s="281"/>
    </row>
    <row r="9" spans="1:22" ht="15.6">
      <c r="A9" s="278"/>
      <c r="B9" s="318" t="s">
        <v>98</v>
      </c>
      <c r="C9" s="318"/>
      <c r="D9" s="318" t="s">
        <v>99</v>
      </c>
      <c r="E9" s="318" t="s">
        <v>100</v>
      </c>
      <c r="F9" s="318"/>
      <c r="G9" s="318" t="s">
        <v>101</v>
      </c>
      <c r="H9" s="318"/>
      <c r="I9" s="318" t="s">
        <v>220</v>
      </c>
      <c r="J9" s="318"/>
      <c r="K9" s="506" t="s">
        <v>508</v>
      </c>
      <c r="L9" s="505"/>
      <c r="M9" s="505"/>
      <c r="N9" s="505"/>
      <c r="O9" s="505" t="s">
        <v>222</v>
      </c>
      <c r="P9" s="505"/>
      <c r="Q9" s="505" t="s">
        <v>252</v>
      </c>
    </row>
    <row r="10" spans="1:22" s="278" customFormat="1" ht="16.2" thickBot="1">
      <c r="B10" s="285"/>
      <c r="C10" s="285"/>
      <c r="D10" s="285"/>
      <c r="E10" s="285"/>
      <c r="F10" s="285"/>
      <c r="G10" s="302"/>
      <c r="H10" s="302"/>
      <c r="I10" s="302"/>
      <c r="J10" s="282"/>
      <c r="K10" s="282"/>
    </row>
    <row r="11" spans="1:22" ht="15.6">
      <c r="A11" s="277">
        <v>1</v>
      </c>
      <c r="B11" s="285">
        <v>350</v>
      </c>
      <c r="C11" s="285"/>
      <c r="D11" s="285">
        <v>300</v>
      </c>
      <c r="E11" s="288">
        <f>ROUND((B$11*D11),0)</f>
        <v>105000</v>
      </c>
      <c r="F11" s="285"/>
      <c r="G11" s="286">
        <f>+O$13+$B11*O$19+$E11*O$15</f>
        <v>10111.014999999999</v>
      </c>
      <c r="H11" s="286"/>
      <c r="I11" s="286">
        <f>+Q$13+$B11*Q$19+$E11*Q$15</f>
        <v>10172.35</v>
      </c>
      <c r="J11" s="285"/>
      <c r="K11" s="283">
        <f>ROUND((+I11-G11)/G11,3)</f>
        <v>6.0000000000000001E-3</v>
      </c>
      <c r="L11" s="281"/>
      <c r="M11" s="281"/>
      <c r="N11" s="527" t="s">
        <v>301</v>
      </c>
      <c r="O11" s="529"/>
      <c r="P11" s="530" t="s">
        <v>300</v>
      </c>
      <c r="Q11" s="529"/>
      <c r="R11" s="280"/>
      <c r="V11" s="280"/>
    </row>
    <row r="12" spans="1:22" ht="15.6">
      <c r="A12" s="277">
        <f>+A11+1</f>
        <v>2</v>
      </c>
      <c r="B12" s="285">
        <f>+B11</f>
        <v>350</v>
      </c>
      <c r="C12" s="285"/>
      <c r="D12" s="285">
        <v>500</v>
      </c>
      <c r="E12" s="288">
        <f>ROUND((B$11*D12),0)</f>
        <v>175000</v>
      </c>
      <c r="F12" s="285"/>
      <c r="G12" s="286">
        <f>+O$13+$B12*O$19+$E12*O$15</f>
        <v>14489.865</v>
      </c>
      <c r="H12" s="286"/>
      <c r="I12" s="286">
        <f>+Q$13+$B12*Q$19+$E12*Q$15</f>
        <v>14577.590000000002</v>
      </c>
      <c r="J12" s="285"/>
      <c r="K12" s="283">
        <f>ROUND((+I12-G12)/G12,3)</f>
        <v>6.0000000000000001E-3</v>
      </c>
      <c r="L12" s="281"/>
      <c r="M12" s="281"/>
      <c r="N12" s="295"/>
      <c r="O12" s="300"/>
      <c r="P12" s="259"/>
      <c r="Q12" s="300"/>
      <c r="R12" s="280"/>
    </row>
    <row r="13" spans="1:22" ht="15.6">
      <c r="A13" s="277">
        <f t="shared" ref="A13:A47" si="0">+A12+1</f>
        <v>3</v>
      </c>
      <c r="B13" s="285">
        <f>+B12</f>
        <v>350</v>
      </c>
      <c r="C13" s="285"/>
      <c r="D13" s="285">
        <v>700</v>
      </c>
      <c r="E13" s="288">
        <f>ROUND((B$11*D13),0)</f>
        <v>245000</v>
      </c>
      <c r="F13" s="285"/>
      <c r="G13" s="286">
        <f>+O$13+$B13*O$19+$E13*O$15</f>
        <v>18868.715</v>
      </c>
      <c r="H13" s="286"/>
      <c r="I13" s="286">
        <f>+Q$13+$B13*Q$19+$E13*Q$15</f>
        <v>18982.830000000002</v>
      </c>
      <c r="J13" s="285"/>
      <c r="K13" s="283">
        <f>ROUND((+I13-G13)/G13,3)</f>
        <v>6.0000000000000001E-3</v>
      </c>
      <c r="N13" s="295" t="s">
        <v>297</v>
      </c>
      <c r="O13" s="265">
        <f>SUM(O24,O38)</f>
        <v>105.74</v>
      </c>
      <c r="P13" s="295" t="str">
        <f>+N13</f>
        <v>Basic Charge</v>
      </c>
      <c r="Q13" s="265">
        <f>SUM(Q24,Q38)</f>
        <v>106.49</v>
      </c>
      <c r="R13" s="292"/>
      <c r="S13" s="258">
        <f>(Q13-O13)/O13</f>
        <v>7.0928693020616612E-3</v>
      </c>
      <c r="V13" s="490"/>
    </row>
    <row r="14" spans="1:22">
      <c r="A14" s="277">
        <f t="shared" si="0"/>
        <v>4</v>
      </c>
      <c r="L14" s="281"/>
      <c r="M14" s="281"/>
      <c r="N14" s="295"/>
      <c r="O14" s="297"/>
      <c r="P14" s="299"/>
      <c r="Q14" s="297"/>
      <c r="R14" s="280"/>
    </row>
    <row r="15" spans="1:22" ht="15.6">
      <c r="A15" s="277">
        <f t="shared" si="0"/>
        <v>5</v>
      </c>
      <c r="B15" s="285">
        <f>+B13+50</f>
        <v>400</v>
      </c>
      <c r="C15" s="285"/>
      <c r="D15" s="285">
        <v>300</v>
      </c>
      <c r="E15" s="288">
        <f>ROUND((B$15*D15),0)</f>
        <v>120000</v>
      </c>
      <c r="F15" s="285"/>
      <c r="G15" s="286">
        <f>+O$13+$B15*O$19+$E15*O$15</f>
        <v>11540.34</v>
      </c>
      <c r="H15" s="286"/>
      <c r="I15" s="286">
        <f>+Q$13+$B15*Q$19+$E15*Q$15</f>
        <v>11610.330000000002</v>
      </c>
      <c r="J15" s="285"/>
      <c r="K15" s="283">
        <f>ROUND((+I15-G15)/G15,3)</f>
        <v>6.0000000000000001E-3</v>
      </c>
      <c r="L15" s="281"/>
      <c r="M15" s="281"/>
      <c r="N15" s="296" t="s">
        <v>338</v>
      </c>
      <c r="O15" s="260">
        <f>SUM(O25,O31:O37,O44,O39)</f>
        <v>6.2554999999999999E-2</v>
      </c>
      <c r="P15" s="295" t="str">
        <f>+N15</f>
        <v>kWh - All</v>
      </c>
      <c r="Q15" s="260">
        <f>SUM(Q25,Q31:Q37,Q44,Q39)</f>
        <v>6.2932000000000016E-2</v>
      </c>
      <c r="R15" s="280"/>
      <c r="S15" s="258">
        <f>(Q15-O15)/O15</f>
        <v>6.0266965070740345E-3</v>
      </c>
      <c r="V15" s="280"/>
    </row>
    <row r="16" spans="1:22" ht="15.6">
      <c r="A16" s="277">
        <f t="shared" si="0"/>
        <v>6</v>
      </c>
      <c r="B16" s="285">
        <f>+B15</f>
        <v>400</v>
      </c>
      <c r="C16" s="285"/>
      <c r="D16" s="285">
        <v>500</v>
      </c>
      <c r="E16" s="288">
        <f>ROUND((B$15*D16),0)</f>
        <v>200000</v>
      </c>
      <c r="F16" s="285"/>
      <c r="G16" s="286">
        <f>+O$13+$B16*O$19+$E16*O$15</f>
        <v>16544.739999999998</v>
      </c>
      <c r="H16" s="286"/>
      <c r="I16" s="286">
        <f>+Q$13+$B16*Q$19+$E16*Q$15</f>
        <v>16644.890000000003</v>
      </c>
      <c r="J16" s="285"/>
      <c r="K16" s="283">
        <f>ROUND((+I16-G16)/G16,3)</f>
        <v>6.0000000000000001E-3</v>
      </c>
      <c r="L16" s="281"/>
      <c r="M16" s="281"/>
      <c r="N16" s="296"/>
      <c r="O16" s="260"/>
      <c r="P16" s="296"/>
      <c r="Q16" s="260"/>
      <c r="R16" s="280"/>
      <c r="S16" s="264"/>
      <c r="U16" s="278"/>
      <c r="V16" s="280"/>
    </row>
    <row r="17" spans="1:22" ht="15.6">
      <c r="A17" s="277">
        <f t="shared" si="0"/>
        <v>7</v>
      </c>
      <c r="B17" s="285">
        <f>+B16</f>
        <v>400</v>
      </c>
      <c r="C17" s="285"/>
      <c r="D17" s="285">
        <v>700</v>
      </c>
      <c r="E17" s="288">
        <f>ROUND((B$15*D17),0)</f>
        <v>280000</v>
      </c>
      <c r="F17" s="285"/>
      <c r="G17" s="286">
        <f>+O$13+$B17*O$19+$E17*O$15</f>
        <v>21549.14</v>
      </c>
      <c r="H17" s="286"/>
      <c r="I17" s="286">
        <f>+Q$13+$B17*Q$19+$E17*Q$15</f>
        <v>21679.45</v>
      </c>
      <c r="J17" s="285"/>
      <c r="K17" s="283">
        <f>ROUND((+I17-G17)/G17,3)</f>
        <v>6.0000000000000001E-3</v>
      </c>
      <c r="N17" s="296" t="s">
        <v>337</v>
      </c>
      <c r="O17" s="316">
        <f>SUM(O26,O40,O45)</f>
        <v>11.85</v>
      </c>
      <c r="P17" s="295" t="str">
        <f>+N17</f>
        <v>Winter kW</v>
      </c>
      <c r="Q17" s="316">
        <f>SUM(Q26,Q40,Q45)</f>
        <v>11.93</v>
      </c>
      <c r="R17" s="280"/>
      <c r="S17" s="258">
        <f>(Q17-O17)/O17</f>
        <v>6.7510548523206813E-3</v>
      </c>
    </row>
    <row r="18" spans="1:22" ht="15.6">
      <c r="A18" s="277">
        <f t="shared" si="0"/>
        <v>8</v>
      </c>
      <c r="B18" s="285"/>
      <c r="C18" s="285"/>
      <c r="D18" s="285"/>
      <c r="E18" s="285"/>
      <c r="F18" s="285"/>
      <c r="G18" s="286"/>
      <c r="H18" s="286"/>
      <c r="I18" s="286"/>
      <c r="J18" s="282"/>
      <c r="K18" s="284"/>
      <c r="L18" s="281"/>
      <c r="M18" s="281"/>
      <c r="N18" s="296" t="s">
        <v>336</v>
      </c>
      <c r="O18" s="316">
        <f>SUM(O27,O41,O45)</f>
        <v>7.8800000000000008</v>
      </c>
      <c r="P18" s="295" t="str">
        <f>+N18</f>
        <v>Summer kW</v>
      </c>
      <c r="Q18" s="316">
        <f>SUM(Q27,Q41,Q45)</f>
        <v>7.9300000000000006</v>
      </c>
      <c r="R18" s="280"/>
      <c r="S18" s="258">
        <f>(Q18-O18)/O18</f>
        <v>6.3451776649745958E-3</v>
      </c>
    </row>
    <row r="19" spans="1:22" ht="15.6">
      <c r="A19" s="277">
        <f t="shared" si="0"/>
        <v>9</v>
      </c>
      <c r="B19" s="285">
        <f>+B17+100</f>
        <v>500</v>
      </c>
      <c r="C19" s="285"/>
      <c r="D19" s="285">
        <v>300</v>
      </c>
      <c r="E19" s="288">
        <f>ROUND((B$19*D19),0)</f>
        <v>150000</v>
      </c>
      <c r="F19" s="285"/>
      <c r="G19" s="286">
        <f>+O$13+$B19*O$19+$E19*O$15</f>
        <v>14398.99</v>
      </c>
      <c r="H19" s="286"/>
      <c r="I19" s="286">
        <f>+Q$13+$B19*Q$19+$E19*Q$15</f>
        <v>14486.29</v>
      </c>
      <c r="J19" s="285"/>
      <c r="K19" s="283">
        <f>ROUND((+I19-G19)/G19,3)</f>
        <v>6.0000000000000001E-3</v>
      </c>
      <c r="L19" s="281"/>
      <c r="M19" s="281"/>
      <c r="N19" s="296" t="s">
        <v>335</v>
      </c>
      <c r="O19" s="316">
        <f>SUM(O28,O42,O45)</f>
        <v>9.82</v>
      </c>
      <c r="P19" s="295" t="str">
        <f>+N19</f>
        <v>Average kW</v>
      </c>
      <c r="Q19" s="316">
        <f>SUM(Q28,Q42,Q45)</f>
        <v>9.879999999999999</v>
      </c>
      <c r="R19" s="280"/>
      <c r="S19" s="258">
        <f>(Q19-O19)/O19</f>
        <v>6.1099796334010918E-3</v>
      </c>
      <c r="U19" s="490"/>
      <c r="V19" s="490"/>
    </row>
    <row r="20" spans="1:22" ht="15.6">
      <c r="A20" s="277">
        <f t="shared" si="0"/>
        <v>10</v>
      </c>
      <c r="B20" s="285">
        <f>+B19</f>
        <v>500</v>
      </c>
      <c r="C20" s="285"/>
      <c r="D20" s="285">
        <v>500</v>
      </c>
      <c r="E20" s="288">
        <f>ROUND((B$19*D20),0)</f>
        <v>250000</v>
      </c>
      <c r="F20" s="285"/>
      <c r="G20" s="286">
        <f>+O$13+$B20*O$19+$E20*O$15</f>
        <v>20654.489999999998</v>
      </c>
      <c r="H20" s="286"/>
      <c r="I20" s="286">
        <f>+Q$13+$B20*Q$19+$E20*Q$15</f>
        <v>20779.490000000002</v>
      </c>
      <c r="J20" s="285"/>
      <c r="K20" s="283">
        <f>ROUND((+I20-G20)/G20,3)</f>
        <v>6.0000000000000001E-3</v>
      </c>
      <c r="L20" s="281"/>
      <c r="M20" s="281"/>
      <c r="N20" s="295"/>
      <c r="O20" s="260"/>
      <c r="P20" s="295"/>
      <c r="Q20" s="260"/>
      <c r="R20" s="280"/>
    </row>
    <row r="21" spans="1:22" ht="15.6">
      <c r="A21" s="277">
        <f t="shared" si="0"/>
        <v>11</v>
      </c>
      <c r="B21" s="285">
        <f>+B20</f>
        <v>500</v>
      </c>
      <c r="C21" s="285"/>
      <c r="D21" s="285">
        <v>700</v>
      </c>
      <c r="E21" s="288">
        <f>ROUND((B$19*D21),0)</f>
        <v>350000</v>
      </c>
      <c r="F21" s="285"/>
      <c r="G21" s="286">
        <f>+O$13+$B21*O$19+$E21*O$15</f>
        <v>26909.989999999998</v>
      </c>
      <c r="H21" s="286"/>
      <c r="I21" s="286">
        <f>+Q$13+$B21*Q$19+$E21*Q$15</f>
        <v>27072.690000000002</v>
      </c>
      <c r="J21" s="285"/>
      <c r="K21" s="283">
        <f>ROUND((+I21-G21)/G21,3)</f>
        <v>6.0000000000000001E-3</v>
      </c>
      <c r="N21" s="295" t="s">
        <v>314</v>
      </c>
      <c r="O21" s="315">
        <f>SUM(O29,O43)</f>
        <v>1.2600000000000001E-3</v>
      </c>
      <c r="P21" s="295" t="str">
        <f>+N21</f>
        <v>kVarh</v>
      </c>
      <c r="Q21" s="315">
        <f>SUM(Q29,Q43)</f>
        <v>1.2700000000000001E-3</v>
      </c>
      <c r="R21" s="280"/>
      <c r="S21" s="258">
        <f>(Q21-O21)/O21</f>
        <v>7.9365079365079569E-3</v>
      </c>
    </row>
    <row r="22" spans="1:22" ht="16.2" thickBot="1">
      <c r="A22" s="277">
        <f t="shared" si="0"/>
        <v>12</v>
      </c>
      <c r="B22" s="285"/>
      <c r="C22" s="285"/>
      <c r="D22" s="285"/>
      <c r="E22" s="285"/>
      <c r="F22" s="285"/>
      <c r="G22" s="286"/>
      <c r="H22" s="286"/>
      <c r="I22" s="286"/>
      <c r="J22" s="282"/>
      <c r="K22" s="284"/>
      <c r="L22" s="281"/>
      <c r="M22" s="281"/>
      <c r="N22" s="294" t="s">
        <v>24</v>
      </c>
      <c r="O22" s="293" t="s">
        <v>24</v>
      </c>
      <c r="P22" s="294" t="s">
        <v>24</v>
      </c>
      <c r="Q22" s="293" t="s">
        <v>24</v>
      </c>
      <c r="R22" s="280"/>
    </row>
    <row r="23" spans="1:22" ht="15.6">
      <c r="A23" s="277">
        <f t="shared" si="0"/>
        <v>13</v>
      </c>
      <c r="B23" s="285">
        <f>+B21+100</f>
        <v>600</v>
      </c>
      <c r="C23" s="285"/>
      <c r="D23" s="285">
        <v>300</v>
      </c>
      <c r="E23" s="288">
        <f>ROUND((B$23*D23),0)</f>
        <v>180000</v>
      </c>
      <c r="F23" s="285"/>
      <c r="G23" s="286">
        <f>+O$13+$B23*O$19+$E23*O$15</f>
        <v>17257.64</v>
      </c>
      <c r="H23" s="286"/>
      <c r="I23" s="286">
        <f>+Q$13+$B23*Q$19+$E23*Q$15</f>
        <v>17362.25</v>
      </c>
      <c r="J23" s="285"/>
      <c r="K23" s="283">
        <f>ROUND((+I23-G23)/G23,3)</f>
        <v>6.0000000000000001E-3</v>
      </c>
      <c r="L23" s="281"/>
      <c r="M23" s="281"/>
      <c r="R23" s="280"/>
    </row>
    <row r="24" spans="1:22" ht="15.6">
      <c r="A24" s="277">
        <f t="shared" si="0"/>
        <v>14</v>
      </c>
      <c r="B24" s="285">
        <f>+B23</f>
        <v>600</v>
      </c>
      <c r="C24" s="285"/>
      <c r="D24" s="285">
        <v>500</v>
      </c>
      <c r="E24" s="288">
        <f>ROUND((B$23*D24),0)</f>
        <v>300000</v>
      </c>
      <c r="F24" s="285"/>
      <c r="G24" s="286">
        <f>+O$13+$B24*O$19+$E24*O$15</f>
        <v>24764.239999999998</v>
      </c>
      <c r="H24" s="286"/>
      <c r="I24" s="286">
        <f>+Q$13+$B24*Q$19+$E24*Q$15</f>
        <v>24914.090000000004</v>
      </c>
      <c r="J24" s="285"/>
      <c r="K24" s="283">
        <f>ROUND((+I24-G24)/G24,3)</f>
        <v>6.0000000000000001E-3</v>
      </c>
      <c r="L24" s="281"/>
      <c r="M24" s="281"/>
      <c r="N24" s="233" t="str">
        <f>+N13</f>
        <v>Basic Charge</v>
      </c>
      <c r="O24" s="250">
        <f>+'[1](JAP4)-Tariff Summary'!$D$35</f>
        <v>105.74</v>
      </c>
      <c r="P24" s="250"/>
      <c r="Q24" s="250">
        <f>+O24</f>
        <v>105.74</v>
      </c>
      <c r="R24" s="280"/>
    </row>
    <row r="25" spans="1:22" ht="15.6">
      <c r="A25" s="277">
        <f t="shared" si="0"/>
        <v>15</v>
      </c>
      <c r="B25" s="285">
        <f>+B24</f>
        <v>600</v>
      </c>
      <c r="C25" s="285"/>
      <c r="D25" s="285">
        <v>700</v>
      </c>
      <c r="E25" s="288">
        <f>ROUND((B$23*D25),0)</f>
        <v>420000</v>
      </c>
      <c r="F25" s="285"/>
      <c r="G25" s="286">
        <f>+O$13+$B25*O$19+$E25*O$15</f>
        <v>32270.839999999997</v>
      </c>
      <c r="H25" s="286"/>
      <c r="I25" s="286">
        <f>+Q$13+$B25*Q$19+$E25*Q$15</f>
        <v>32465.930000000004</v>
      </c>
      <c r="J25" s="285"/>
      <c r="K25" s="283">
        <f>ROUND((+I25-G25)/G25,3)</f>
        <v>6.0000000000000001E-3</v>
      </c>
      <c r="N25" s="233" t="str">
        <f>+N15</f>
        <v>kWh - All</v>
      </c>
      <c r="O25" s="250">
        <f>+'[1](JAP4)-Tariff Summary'!$D$37</f>
        <v>5.7180999999999996E-2</v>
      </c>
      <c r="P25" s="250"/>
      <c r="Q25" s="250">
        <f t="shared" ref="Q25:Q37" si="1">+O25</f>
        <v>5.7180999999999996E-2</v>
      </c>
      <c r="R25" s="280"/>
    </row>
    <row r="26" spans="1:22" ht="15.6">
      <c r="A26" s="277">
        <f t="shared" si="0"/>
        <v>16</v>
      </c>
      <c r="B26" s="285"/>
      <c r="C26" s="285"/>
      <c r="D26" s="285"/>
      <c r="E26" s="285"/>
      <c r="F26" s="285"/>
      <c r="G26" s="286"/>
      <c r="H26" s="286"/>
      <c r="I26" s="286"/>
      <c r="J26" s="282"/>
      <c r="K26" s="284"/>
      <c r="L26" s="281"/>
      <c r="M26" s="281"/>
      <c r="N26" s="233" t="str">
        <f>+N17</f>
        <v>Winter kW</v>
      </c>
      <c r="O26" s="250">
        <f>+'[1](JAP4)-Tariff Summary'!$D$39</f>
        <v>11.91</v>
      </c>
      <c r="P26" s="250"/>
      <c r="Q26" s="250">
        <f t="shared" si="1"/>
        <v>11.91</v>
      </c>
      <c r="R26" s="280"/>
    </row>
    <row r="27" spans="1:22" ht="15.6">
      <c r="A27" s="277">
        <f t="shared" si="0"/>
        <v>17</v>
      </c>
      <c r="B27" s="285">
        <f>+B25+100</f>
        <v>700</v>
      </c>
      <c r="C27" s="285"/>
      <c r="D27" s="285">
        <v>300</v>
      </c>
      <c r="E27" s="288">
        <f>ROUND((B$27*D27),0)</f>
        <v>210000</v>
      </c>
      <c r="F27" s="285"/>
      <c r="G27" s="286">
        <f>+O$13+$B27*O$19+$E27*O$15</f>
        <v>20116.29</v>
      </c>
      <c r="H27" s="286"/>
      <c r="I27" s="286">
        <f>+Q$13+$B27*Q$19+$E27*Q$15</f>
        <v>20238.210000000003</v>
      </c>
      <c r="J27" s="285"/>
      <c r="K27" s="283">
        <f>ROUND((+I27-G27)/G27,3)</f>
        <v>6.0000000000000001E-3</v>
      </c>
      <c r="L27" s="281"/>
      <c r="M27" s="281"/>
      <c r="N27" s="233" t="str">
        <f>+N18</f>
        <v>Summer kW</v>
      </c>
      <c r="O27" s="250">
        <f>+'[1](JAP4)-Tariff Summary'!$D$40</f>
        <v>7.94</v>
      </c>
      <c r="P27" s="250"/>
      <c r="Q27" s="250">
        <f t="shared" si="1"/>
        <v>7.94</v>
      </c>
      <c r="R27" s="280"/>
    </row>
    <row r="28" spans="1:22" ht="15.6">
      <c r="A28" s="277">
        <f t="shared" si="0"/>
        <v>18</v>
      </c>
      <c r="B28" s="285">
        <f>+B27</f>
        <v>700</v>
      </c>
      <c r="C28" s="285"/>
      <c r="D28" s="285">
        <v>500</v>
      </c>
      <c r="E28" s="288">
        <f>ROUND((B$27*D28),0)</f>
        <v>350000</v>
      </c>
      <c r="F28" s="285"/>
      <c r="G28" s="286">
        <f>+O$13+$B28*O$19+$E28*O$15</f>
        <v>28873.989999999998</v>
      </c>
      <c r="H28" s="286"/>
      <c r="I28" s="286">
        <f>+Q$13+$B28*Q$19+$E28*Q$15</f>
        <v>29048.690000000002</v>
      </c>
      <c r="J28" s="285"/>
      <c r="K28" s="283">
        <f>ROUND((+I28-G28)/G28,3)</f>
        <v>6.0000000000000001E-3</v>
      </c>
      <c r="L28" s="281"/>
      <c r="M28" s="281"/>
      <c r="N28" s="233" t="str">
        <f>+N19</f>
        <v>Average kW</v>
      </c>
      <c r="O28" s="250">
        <f>+'[1](JAP4) SecVolt RD'!$D$81</f>
        <v>9.8800000000000008</v>
      </c>
      <c r="P28" s="250"/>
      <c r="Q28" s="250">
        <f t="shared" si="1"/>
        <v>9.8800000000000008</v>
      </c>
      <c r="R28" s="280"/>
    </row>
    <row r="29" spans="1:22" ht="15.6">
      <c r="A29" s="277">
        <f t="shared" si="0"/>
        <v>19</v>
      </c>
      <c r="B29" s="285">
        <f>+B28</f>
        <v>700</v>
      </c>
      <c r="C29" s="285"/>
      <c r="D29" s="285">
        <v>700</v>
      </c>
      <c r="E29" s="288">
        <f>ROUND((B$27*D29),0)</f>
        <v>490000</v>
      </c>
      <c r="F29" s="285"/>
      <c r="G29" s="286">
        <f>+O$13+$B29*O$19+$E29*O$15</f>
        <v>37631.69</v>
      </c>
      <c r="H29" s="286"/>
      <c r="I29" s="286">
        <f>+Q$13+$B29*Q$19+$E29*Q$15</f>
        <v>37859.170000000006</v>
      </c>
      <c r="J29" s="285"/>
      <c r="K29" s="283">
        <f>ROUND((+I29-G29)/G29,3)</f>
        <v>6.0000000000000001E-3</v>
      </c>
      <c r="N29" s="233" t="str">
        <f>+N21</f>
        <v>kVarh</v>
      </c>
      <c r="O29" s="250">
        <f>+'[1](JAP4)-Tariff Summary'!$D$42</f>
        <v>1.2600000000000001E-3</v>
      </c>
      <c r="P29" s="250"/>
      <c r="Q29" s="250">
        <f t="shared" si="1"/>
        <v>1.2600000000000001E-3</v>
      </c>
      <c r="R29" s="280"/>
    </row>
    <row r="30" spans="1:22" ht="15.6">
      <c r="A30" s="277">
        <f t="shared" si="0"/>
        <v>20</v>
      </c>
      <c r="B30" s="285"/>
      <c r="C30" s="285"/>
      <c r="D30" s="285"/>
      <c r="E30" s="285"/>
      <c r="F30" s="285"/>
      <c r="G30" s="286"/>
      <c r="H30" s="286"/>
      <c r="I30" s="286"/>
      <c r="J30" s="282"/>
      <c r="K30" s="284"/>
      <c r="L30" s="281"/>
      <c r="M30" s="281"/>
      <c r="Q30" s="250">
        <f t="shared" si="1"/>
        <v>0</v>
      </c>
    </row>
    <row r="31" spans="1:22" ht="15.6">
      <c r="A31" s="277">
        <f t="shared" si="0"/>
        <v>21</v>
      </c>
      <c r="B31" s="285">
        <f>+B29+100</f>
        <v>800</v>
      </c>
      <c r="C31" s="285"/>
      <c r="D31" s="285">
        <v>300</v>
      </c>
      <c r="E31" s="288">
        <f>ROUND((B$31*D31),0)</f>
        <v>240000</v>
      </c>
      <c r="F31" s="285"/>
      <c r="G31" s="286">
        <f>+O$13+$B31*O$19+$E31*O$15</f>
        <v>22974.940000000002</v>
      </c>
      <c r="H31" s="286"/>
      <c r="I31" s="286">
        <f>+Q$13+$B31*Q$19+$E31*Q$15</f>
        <v>23114.170000000002</v>
      </c>
      <c r="J31" s="285"/>
      <c r="K31" s="283">
        <f>ROUND((+I31-G31)/G31,3)</f>
        <v>6.0000000000000001E-3</v>
      </c>
      <c r="L31" s="281"/>
      <c r="M31" s="281"/>
      <c r="N31" s="249" t="s">
        <v>276</v>
      </c>
      <c r="O31" s="250">
        <v>0</v>
      </c>
      <c r="Q31" s="250">
        <f t="shared" si="1"/>
        <v>0</v>
      </c>
    </row>
    <row r="32" spans="1:22" ht="15.6">
      <c r="A32" s="277">
        <f t="shared" si="0"/>
        <v>22</v>
      </c>
      <c r="B32" s="285">
        <f>+B31</f>
        <v>800</v>
      </c>
      <c r="C32" s="285"/>
      <c r="D32" s="285">
        <v>500</v>
      </c>
      <c r="E32" s="288">
        <f>ROUND((B$31*D32),0)</f>
        <v>400000</v>
      </c>
      <c r="F32" s="285"/>
      <c r="G32" s="286">
        <f>+O$13+$B32*O$19+$E32*O$15</f>
        <v>32983.74</v>
      </c>
      <c r="H32" s="286"/>
      <c r="I32" s="286">
        <f>+Q$13+$B32*Q$19+$E32*Q$15</f>
        <v>33183.290000000008</v>
      </c>
      <c r="J32" s="285"/>
      <c r="K32" s="283">
        <f>ROUND((+I32-G32)/G32,3)</f>
        <v>6.0000000000000001E-3</v>
      </c>
      <c r="L32" s="281"/>
      <c r="M32" s="281"/>
      <c r="N32" s="249" t="s">
        <v>275</v>
      </c>
      <c r="O32" s="250">
        <f>+'Sch 95a'!$H$16</f>
        <v>-1.786E-3</v>
      </c>
      <c r="P32" s="278"/>
      <c r="Q32" s="250">
        <f t="shared" si="1"/>
        <v>-1.786E-3</v>
      </c>
    </row>
    <row r="33" spans="1:17" ht="15.6">
      <c r="A33" s="277">
        <f t="shared" si="0"/>
        <v>23</v>
      </c>
      <c r="B33" s="285">
        <f>+B32</f>
        <v>800</v>
      </c>
      <c r="C33" s="285"/>
      <c r="D33" s="285">
        <v>700</v>
      </c>
      <c r="E33" s="288">
        <f>ROUND((B$31*D33),0)</f>
        <v>560000</v>
      </c>
      <c r="F33" s="285"/>
      <c r="G33" s="286">
        <f>+O$13+$B33*O$19+$E33*O$15</f>
        <v>42992.54</v>
      </c>
      <c r="H33" s="286"/>
      <c r="I33" s="286">
        <f>+Q$13+$B33*Q$19+$E33*Q$15</f>
        <v>43252.41</v>
      </c>
      <c r="J33" s="285"/>
      <c r="K33" s="283">
        <f>ROUND((+I33-G33)/G33,3)</f>
        <v>6.0000000000000001E-3</v>
      </c>
      <c r="N33" s="249" t="s">
        <v>274</v>
      </c>
      <c r="O33" s="250">
        <f>+'Sch 120'!$H$15</f>
        <v>4.3249999999999999E-3</v>
      </c>
      <c r="P33" s="278"/>
      <c r="Q33" s="250">
        <f t="shared" si="1"/>
        <v>4.3249999999999999E-3</v>
      </c>
    </row>
    <row r="34" spans="1:17" ht="15.6">
      <c r="A34" s="277">
        <f t="shared" si="0"/>
        <v>24</v>
      </c>
      <c r="B34" s="285"/>
      <c r="C34" s="285"/>
      <c r="D34" s="285"/>
      <c r="E34" s="285"/>
      <c r="F34" s="285"/>
      <c r="G34" s="286"/>
      <c r="H34" s="286"/>
      <c r="I34" s="286"/>
      <c r="J34" s="282"/>
      <c r="K34" s="284"/>
      <c r="L34" s="281"/>
      <c r="M34" s="281"/>
      <c r="N34" s="249" t="s">
        <v>209</v>
      </c>
      <c r="O34" s="250">
        <f>+'Sch 129'!G16</f>
        <v>7.1699999999999997E-4</v>
      </c>
      <c r="P34" s="278"/>
      <c r="Q34" s="250">
        <f t="shared" si="1"/>
        <v>7.1699999999999997E-4</v>
      </c>
    </row>
    <row r="35" spans="1:17" ht="15.6">
      <c r="A35" s="277">
        <f t="shared" si="0"/>
        <v>25</v>
      </c>
      <c r="B35" s="285">
        <f>+B33+200</f>
        <v>1000</v>
      </c>
      <c r="C35" s="285"/>
      <c r="D35" s="285">
        <v>300</v>
      </c>
      <c r="E35" s="288">
        <f>ROUND((B$35*D35),0)</f>
        <v>300000</v>
      </c>
      <c r="F35" s="285"/>
      <c r="G35" s="286">
        <f>+O$13+$B35*O$19+$E35*O$15</f>
        <v>28692.239999999998</v>
      </c>
      <c r="H35" s="286"/>
      <c r="I35" s="286">
        <f>+Q$13+$B35*Q$19+$E35*Q$15</f>
        <v>28866.090000000004</v>
      </c>
      <c r="J35" s="285"/>
      <c r="K35" s="283">
        <f>ROUND((+I35-G35)/G35,3)</f>
        <v>6.0000000000000001E-3</v>
      </c>
      <c r="L35" s="281"/>
      <c r="M35" s="281"/>
      <c r="N35" s="249" t="s">
        <v>210</v>
      </c>
      <c r="O35" s="250">
        <f>+'Sch 132'!E16</f>
        <v>-2.02E-4</v>
      </c>
      <c r="P35" s="278"/>
      <c r="Q35" s="250">
        <f t="shared" si="1"/>
        <v>-2.02E-4</v>
      </c>
    </row>
    <row r="36" spans="1:17" ht="15.6">
      <c r="A36" s="277">
        <f t="shared" si="0"/>
        <v>26</v>
      </c>
      <c r="B36" s="285">
        <f>+B35</f>
        <v>1000</v>
      </c>
      <c r="C36" s="285"/>
      <c r="D36" s="285">
        <v>500</v>
      </c>
      <c r="E36" s="288">
        <f>ROUND((B$35*D36),0)</f>
        <v>500000</v>
      </c>
      <c r="F36" s="285"/>
      <c r="G36" s="286">
        <f>+O$13+$B36*O$19+$E36*O$15</f>
        <v>41203.24</v>
      </c>
      <c r="H36" s="286"/>
      <c r="I36" s="286">
        <f>+Q$13+$B36*Q$19+$E36*Q$15</f>
        <v>41452.490000000005</v>
      </c>
      <c r="J36" s="285"/>
      <c r="K36" s="283">
        <f>ROUND((+I36-G36)/G36,3)</f>
        <v>6.0000000000000001E-3</v>
      </c>
      <c r="L36" s="281"/>
      <c r="M36" s="281"/>
      <c r="N36" s="249" t="s">
        <v>272</v>
      </c>
      <c r="O36" s="250">
        <f>+'Sch 137'!E16</f>
        <v>-3.0000000000000001E-5</v>
      </c>
      <c r="P36" s="278"/>
      <c r="Q36" s="250">
        <f t="shared" si="1"/>
        <v>-3.0000000000000001E-5</v>
      </c>
    </row>
    <row r="37" spans="1:17" ht="15.6">
      <c r="A37" s="277">
        <f t="shared" si="0"/>
        <v>27</v>
      </c>
      <c r="B37" s="285">
        <f>+B36</f>
        <v>1000</v>
      </c>
      <c r="C37" s="285"/>
      <c r="D37" s="285">
        <v>700</v>
      </c>
      <c r="E37" s="288">
        <f>ROUND((B$35*D37),0)</f>
        <v>700000</v>
      </c>
      <c r="F37" s="285"/>
      <c r="G37" s="286">
        <f>+O$13+$B37*O$19+$E37*O$15</f>
        <v>53714.239999999998</v>
      </c>
      <c r="H37" s="286"/>
      <c r="I37" s="286">
        <f>+Q$13+$B37*Q$19+$E37*Q$15</f>
        <v>54038.890000000007</v>
      </c>
      <c r="J37" s="285"/>
      <c r="K37" s="283">
        <f>ROUND((+I37-G37)/G37,3)</f>
        <v>6.0000000000000001E-3</v>
      </c>
      <c r="N37" s="249" t="s">
        <v>241</v>
      </c>
      <c r="O37" s="250">
        <f>+'Sch 140'!$H$15</f>
        <v>2.2649999999999997E-3</v>
      </c>
      <c r="P37" s="278"/>
      <c r="Q37" s="250">
        <f t="shared" si="1"/>
        <v>2.2649999999999997E-3</v>
      </c>
    </row>
    <row r="38" spans="1:17" ht="15.6">
      <c r="A38" s="277">
        <f t="shared" si="0"/>
        <v>28</v>
      </c>
      <c r="B38" s="314"/>
      <c r="C38" s="314"/>
      <c r="D38" s="314"/>
      <c r="E38" s="314"/>
      <c r="F38" s="314"/>
      <c r="G38" s="314"/>
      <c r="H38" s="314"/>
      <c r="I38" s="314"/>
      <c r="J38" s="313"/>
      <c r="K38" s="313"/>
      <c r="L38" s="281"/>
      <c r="M38" s="281"/>
      <c r="N38" s="383" t="s">
        <v>313</v>
      </c>
      <c r="O38" s="392">
        <v>0</v>
      </c>
      <c r="P38" s="385"/>
      <c r="Q38" s="388">
        <f>+'[1](JAP4)-Tariff Summary'!$F$35</f>
        <v>0.75</v>
      </c>
    </row>
    <row r="39" spans="1:17" ht="15.6">
      <c r="A39" s="277">
        <f t="shared" si="0"/>
        <v>29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N39" s="383" t="s">
        <v>355</v>
      </c>
      <c r="O39" s="392">
        <v>0</v>
      </c>
      <c r="P39" s="385"/>
      <c r="Q39" s="388">
        <f>+'[1](JAP4)-Tariff Summary'!$F$37</f>
        <v>3.7700000000000927E-4</v>
      </c>
    </row>
    <row r="40" spans="1:17" ht="15.6">
      <c r="A40" s="277">
        <f t="shared" si="0"/>
        <v>30</v>
      </c>
      <c r="B40" s="282" t="s">
        <v>266</v>
      </c>
      <c r="C40" s="282"/>
      <c r="D40" s="282"/>
      <c r="E40" s="282"/>
      <c r="F40" s="282"/>
      <c r="G40" s="282"/>
      <c r="H40" s="282"/>
      <c r="I40" s="282"/>
      <c r="J40" s="282"/>
      <c r="K40" s="282"/>
      <c r="N40" s="383" t="s">
        <v>334</v>
      </c>
      <c r="O40" s="392">
        <v>0</v>
      </c>
      <c r="P40" s="385"/>
      <c r="Q40" s="388">
        <f>+'[1](JAP4)-Tariff Summary'!$F$39</f>
        <v>8.0000000000000071E-2</v>
      </c>
    </row>
    <row r="41" spans="1:17" ht="16.2">
      <c r="A41" s="277">
        <f t="shared" si="0"/>
        <v>31</v>
      </c>
      <c r="B41" s="409" t="s">
        <v>410</v>
      </c>
      <c r="C41" s="282"/>
      <c r="D41" s="282"/>
      <c r="E41" s="282"/>
      <c r="F41" s="282"/>
      <c r="G41" s="282"/>
      <c r="H41" s="282"/>
      <c r="I41" s="282"/>
      <c r="J41" s="282"/>
      <c r="K41" s="282"/>
      <c r="N41" s="383" t="s">
        <v>333</v>
      </c>
      <c r="O41" s="388">
        <v>0</v>
      </c>
      <c r="P41" s="385"/>
      <c r="Q41" s="388">
        <f>+'[1](JAP4)-Tariff Summary'!$F$40</f>
        <v>4.9999999999999822E-2</v>
      </c>
    </row>
    <row r="42" spans="1:17" ht="15.6">
      <c r="A42" s="277">
        <f t="shared" si="0"/>
        <v>32</v>
      </c>
      <c r="B42" s="409" t="s">
        <v>413</v>
      </c>
      <c r="N42" s="383" t="s">
        <v>482</v>
      </c>
      <c r="O42" s="388">
        <v>0</v>
      </c>
      <c r="P42" s="385"/>
      <c r="Q42" s="388">
        <f>+'[1](JAP4) SecVolt RD'!$G$81-'[1](JAP4) SecVolt RD'!$D$81</f>
        <v>5.9999999999998721E-2</v>
      </c>
    </row>
    <row r="43" spans="1:17" ht="15.6">
      <c r="A43" s="277">
        <f t="shared" si="0"/>
        <v>33</v>
      </c>
      <c r="B43" s="443" t="s">
        <v>420</v>
      </c>
      <c r="N43" s="383" t="s">
        <v>332</v>
      </c>
      <c r="O43" s="388">
        <v>0</v>
      </c>
      <c r="P43" s="385"/>
      <c r="Q43" s="388">
        <f>+'[1](JAP4)-Tariff Summary'!$F$42</f>
        <v>1.0000000000000026E-5</v>
      </c>
    </row>
    <row r="44" spans="1:17" ht="15.6">
      <c r="A44" s="277">
        <f t="shared" si="0"/>
        <v>34</v>
      </c>
      <c r="B44" s="517" t="s">
        <v>511</v>
      </c>
      <c r="N44" s="249" t="s">
        <v>428</v>
      </c>
      <c r="O44" s="250">
        <f>+'Sch 142'!$G$16</f>
        <v>8.5000000000000006E-5</v>
      </c>
      <c r="P44" s="278"/>
      <c r="Q44" s="250">
        <f t="shared" ref="Q44:Q45" si="2">+O44</f>
        <v>8.5000000000000006E-5</v>
      </c>
    </row>
    <row r="45" spans="1:17">
      <c r="A45" s="277">
        <f t="shared" si="0"/>
        <v>35</v>
      </c>
      <c r="N45" s="249" t="s">
        <v>387</v>
      </c>
      <c r="O45" s="250">
        <f>+'Sch 142'!$H$16</f>
        <v>-0.06</v>
      </c>
      <c r="P45" s="278"/>
      <c r="Q45" s="250">
        <f t="shared" si="2"/>
        <v>-0.06</v>
      </c>
    </row>
    <row r="46" spans="1:17">
      <c r="A46" s="277">
        <f t="shared" si="0"/>
        <v>36</v>
      </c>
    </row>
    <row r="47" spans="1:17">
      <c r="A47" s="277">
        <f t="shared" si="0"/>
        <v>37</v>
      </c>
      <c r="N47" s="246" t="s">
        <v>385</v>
      </c>
      <c r="O47" s="245">
        <f>+'JAP-4 (ERF Impacts)'!V14</f>
        <v>6.6557025926666912E-3</v>
      </c>
    </row>
    <row r="48" spans="1:17">
      <c r="A48" s="281"/>
    </row>
    <row r="49" spans="1:1">
      <c r="A49" s="281"/>
    </row>
    <row r="50" spans="1:1">
      <c r="A50" s="281"/>
    </row>
  </sheetData>
  <mergeCells count="3">
    <mergeCell ref="G6:I6"/>
    <mergeCell ref="N11:O11"/>
    <mergeCell ref="P11:Q11"/>
  </mergeCells>
  <printOptions horizontalCentered="1"/>
  <pageMargins left="0.7" right="0.7" top="0.75" bottom="0.75" header="0.3" footer="0.3"/>
  <pageSetup scale="6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70"/>
  <sheetViews>
    <sheetView zoomScaleNormal="100" zoomScaleSheetLayoutView="75" workbookViewId="0">
      <pane xSplit="1" ySplit="8" topLeftCell="B37" activePane="bottomRight" state="frozen"/>
      <selection pane="topRight" activeCell="B1" sqref="B1"/>
      <selection pane="bottomLeft" activeCell="A9" sqref="A9"/>
      <selection pane="bottomRight" activeCell="B47" sqref="B47"/>
    </sheetView>
  </sheetViews>
  <sheetFormatPr defaultColWidth="9.44140625" defaultRowHeight="13.8"/>
  <cols>
    <col min="1" max="1" width="8.109375" style="233" bestFit="1" customWidth="1"/>
    <col min="2" max="2" width="10.5546875" style="233" customWidth="1"/>
    <col min="3" max="3" width="1.88671875" style="233" customWidth="1"/>
    <col min="4" max="4" width="12.44140625" style="233" bestFit="1" customWidth="1"/>
    <col min="5" max="5" width="8.33203125" style="233" bestFit="1" customWidth="1"/>
    <col min="6" max="6" width="3.5546875" style="233" customWidth="1"/>
    <col min="7" max="7" width="13.109375" style="233" bestFit="1" customWidth="1"/>
    <col min="8" max="8" width="2.33203125" style="233" customWidth="1"/>
    <col min="9" max="9" width="13.109375" style="233" bestFit="1" customWidth="1"/>
    <col min="10" max="10" width="1.88671875" style="233" customWidth="1"/>
    <col min="11" max="11" width="12.44140625" style="233" bestFit="1" customWidth="1"/>
    <col min="12" max="12" width="3.33203125" style="233" customWidth="1"/>
    <col min="13" max="13" width="2.109375" style="233" customWidth="1"/>
    <col min="14" max="14" width="41.109375" style="233" bestFit="1" customWidth="1"/>
    <col min="15" max="15" width="12.33203125" style="233" customWidth="1"/>
    <col min="16" max="16" width="25.6640625" style="233" customWidth="1"/>
    <col min="17" max="17" width="14.33203125" style="233" customWidth="1"/>
    <col min="18" max="18" width="2.44140625" style="233" customWidth="1"/>
    <col min="19" max="19" width="6.88671875" style="233" bestFit="1" customWidth="1"/>
    <col min="20" max="16384" width="9.44140625" style="233"/>
  </cols>
  <sheetData>
    <row r="1" spans="1:19" ht="20.399999999999999">
      <c r="B1" s="312" t="s">
        <v>0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9" ht="20.399999999999999">
      <c r="B2" s="312" t="s">
        <v>288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9" ht="20.399999999999999">
      <c r="B3" s="312" t="s">
        <v>350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</row>
    <row r="4" spans="1:19" ht="17.399999999999999">
      <c r="B4" s="333" t="s">
        <v>351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</row>
    <row r="5" spans="1:19">
      <c r="G5" s="276"/>
      <c r="H5" s="276"/>
      <c r="I5" s="276"/>
      <c r="J5" s="276"/>
      <c r="K5" s="277"/>
      <c r="L5" s="277"/>
    </row>
    <row r="6" spans="1:19" ht="15.6">
      <c r="B6" s="332" t="s">
        <v>329</v>
      </c>
      <c r="G6" s="531" t="s">
        <v>328</v>
      </c>
      <c r="H6" s="532"/>
      <c r="I6" s="532"/>
      <c r="J6" s="276"/>
      <c r="K6" s="277"/>
      <c r="L6" s="277"/>
    </row>
    <row r="7" spans="1:19">
      <c r="B7" s="331" t="s">
        <v>327</v>
      </c>
      <c r="C7" s="277"/>
      <c r="D7" s="277" t="s">
        <v>326</v>
      </c>
      <c r="G7" s="277" t="s">
        <v>325</v>
      </c>
      <c r="H7" s="276"/>
      <c r="I7" s="277" t="s">
        <v>29</v>
      </c>
      <c r="J7" s="276"/>
      <c r="K7" s="276"/>
      <c r="L7" s="276"/>
    </row>
    <row r="8" spans="1:19" ht="15.6">
      <c r="A8" s="503" t="s">
        <v>3</v>
      </c>
      <c r="B8" s="330" t="s">
        <v>324</v>
      </c>
      <c r="C8" s="277"/>
      <c r="D8" s="329" t="s">
        <v>323</v>
      </c>
      <c r="E8" s="272" t="s">
        <v>284</v>
      </c>
      <c r="G8" s="317" t="s">
        <v>414</v>
      </c>
      <c r="H8" s="317"/>
      <c r="I8" s="317" t="s">
        <v>415</v>
      </c>
      <c r="J8" s="276"/>
      <c r="K8" s="272" t="s">
        <v>349</v>
      </c>
      <c r="L8" s="276"/>
      <c r="M8" s="276"/>
    </row>
    <row r="9" spans="1:19" ht="15.6">
      <c r="A9" s="278"/>
      <c r="B9" s="318" t="s">
        <v>98</v>
      </c>
      <c r="C9" s="318"/>
      <c r="D9" s="318" t="s">
        <v>99</v>
      </c>
      <c r="E9" s="318" t="s">
        <v>100</v>
      </c>
      <c r="F9" s="318"/>
      <c r="G9" s="318" t="s">
        <v>101</v>
      </c>
      <c r="H9" s="318"/>
      <c r="I9" s="318" t="s">
        <v>220</v>
      </c>
      <c r="J9" s="318"/>
      <c r="K9" s="506" t="s">
        <v>508</v>
      </c>
      <c r="L9" s="505"/>
      <c r="M9" s="505"/>
      <c r="N9" s="505"/>
      <c r="O9" s="505" t="s">
        <v>222</v>
      </c>
      <c r="P9" s="505"/>
      <c r="Q9" s="505" t="s">
        <v>252</v>
      </c>
    </row>
    <row r="10" spans="1:19" s="278" customFormat="1">
      <c r="B10" s="276"/>
      <c r="C10" s="277"/>
      <c r="D10" s="329"/>
      <c r="E10" s="276"/>
      <c r="G10" s="276"/>
      <c r="H10" s="276"/>
      <c r="I10" s="276"/>
      <c r="J10" s="276"/>
      <c r="K10" s="276"/>
      <c r="L10" s="276"/>
      <c r="M10" s="276"/>
    </row>
    <row r="11" spans="1:19" ht="14.4" thickBot="1">
      <c r="A11" s="277">
        <v>1</v>
      </c>
      <c r="B11" s="328" t="s">
        <v>299</v>
      </c>
      <c r="C11" s="327"/>
      <c r="G11" s="327"/>
      <c r="H11" s="327"/>
    </row>
    <row r="12" spans="1:19">
      <c r="A12" s="277">
        <f>+A11+1</f>
        <v>2</v>
      </c>
      <c r="B12" s="233">
        <v>25</v>
      </c>
      <c r="D12" s="244">
        <v>200</v>
      </c>
      <c r="E12" s="244">
        <f>ROUND((B$12*D12),0)</f>
        <v>5000</v>
      </c>
      <c r="G12" s="326">
        <f>ROUND(+O$14+IF(E12&gt;20000,20000*O$19+(E12-20000)*O$23,E12*O$19)+IF(B12&gt;50,(B12-50)*O$29,0),0)</f>
        <v>333</v>
      </c>
      <c r="H12" s="326"/>
      <c r="I12" s="326">
        <f>ROUND(+Q$14+IF(E12&gt;20000,20000*Q$19+(E12-20000)*Q$23,E12*Q$19)+IF(B12&gt;50,(B12-50)*Q$29,0),0)</f>
        <v>336</v>
      </c>
      <c r="J12" s="326"/>
      <c r="K12" s="240">
        <f>ROUND((I12-G12)/G12,4)</f>
        <v>8.9999999999999993E-3</v>
      </c>
      <c r="L12" s="240"/>
      <c r="M12" s="240"/>
      <c r="N12" s="527" t="s">
        <v>301</v>
      </c>
      <c r="O12" s="529"/>
      <c r="P12" s="530" t="s">
        <v>300</v>
      </c>
      <c r="Q12" s="529"/>
      <c r="R12" s="280"/>
    </row>
    <row r="13" spans="1:19">
      <c r="A13" s="277">
        <f t="shared" ref="A13:A70" si="0">+A12+1</f>
        <v>3</v>
      </c>
      <c r="B13" s="233">
        <f>+B12</f>
        <v>25</v>
      </c>
      <c r="D13" s="244">
        <v>300</v>
      </c>
      <c r="E13" s="244">
        <f>ROUND((B$12*D13),0)</f>
        <v>7500</v>
      </c>
      <c r="G13" s="326">
        <f>ROUND(+O$14+IF(E13&gt;20000,20000*O$19+(E13-20000)*O$23,E13*O$19)+IF(B13&gt;50,(B13-50)*O$29,0),0)</f>
        <v>495</v>
      </c>
      <c r="H13" s="326"/>
      <c r="I13" s="326">
        <f>ROUND(+Q$14+IF(E13&gt;20000,20000*Q$19+(E13-20000)*Q$23,E13*Q$19)+IF(B13&gt;50,(B13-50)*Q$29,0),0)</f>
        <v>499</v>
      </c>
      <c r="J13" s="326"/>
      <c r="K13" s="240">
        <f>ROUND((I13-G13)/G13,4)</f>
        <v>8.0999999999999996E-3</v>
      </c>
      <c r="L13" s="240"/>
      <c r="M13" s="240"/>
      <c r="N13" s="295"/>
      <c r="O13" s="300"/>
      <c r="P13" s="259"/>
      <c r="Q13" s="300"/>
      <c r="R13" s="280"/>
    </row>
    <row r="14" spans="1:19">
      <c r="A14" s="277">
        <f t="shared" si="0"/>
        <v>4</v>
      </c>
      <c r="B14" s="233">
        <f>+B13</f>
        <v>25</v>
      </c>
      <c r="D14" s="244">
        <v>500</v>
      </c>
      <c r="E14" s="244">
        <f>ROUND((B$12*D14),0)</f>
        <v>12500</v>
      </c>
      <c r="G14" s="326">
        <f>ROUND(+O$14+IF(E14&gt;20000,20000*O$19+(E14-20000)*O$23,E14*O$19)+IF(B14&gt;50,(B14-50)*O$29,0),0)</f>
        <v>819</v>
      </c>
      <c r="H14" s="326"/>
      <c r="I14" s="326">
        <f>ROUND(+Q$14+IF(E14&gt;20000,20000*Q$19+(E14-20000)*Q$23,E14*Q$19)+IF(B14&gt;50,(B14-50)*Q$29,0),0)</f>
        <v>825</v>
      </c>
      <c r="J14" s="326"/>
      <c r="K14" s="240">
        <f>ROUND((I14-G14)/G14,4)</f>
        <v>7.3000000000000001E-3</v>
      </c>
      <c r="L14" s="240"/>
      <c r="M14" s="240"/>
      <c r="N14" s="296" t="s">
        <v>348</v>
      </c>
      <c r="O14" s="265">
        <f>SUM(O34,O55)</f>
        <v>9.68</v>
      </c>
      <c r="P14" s="295" t="str">
        <f>+N14</f>
        <v>Basic Charge (1 Phase)</v>
      </c>
      <c r="Q14" s="265">
        <f>SUM(Q34,Q55)</f>
        <v>9.75</v>
      </c>
      <c r="R14" s="292"/>
      <c r="S14" s="258">
        <f>(Q14-O14)/O14</f>
        <v>7.2314049586777156E-3</v>
      </c>
    </row>
    <row r="15" spans="1:19">
      <c r="A15" s="277">
        <f t="shared" si="0"/>
        <v>5</v>
      </c>
      <c r="G15" s="326"/>
      <c r="H15" s="326"/>
      <c r="I15" s="326"/>
      <c r="J15" s="326"/>
      <c r="N15" s="296" t="s">
        <v>347</v>
      </c>
      <c r="O15" s="265">
        <f>SUM(O35,O56)</f>
        <v>24.58</v>
      </c>
      <c r="P15" s="295" t="str">
        <f>+N15</f>
        <v>Basic Charge (3 Phase)</v>
      </c>
      <c r="Q15" s="265">
        <f>SUM(Q35,Q56)</f>
        <v>24.75</v>
      </c>
      <c r="R15" s="280"/>
      <c r="S15" s="258">
        <f>(Q15-O15)/O15</f>
        <v>6.9161920260374984E-3</v>
      </c>
    </row>
    <row r="16" spans="1:19">
      <c r="A16" s="277">
        <f t="shared" si="0"/>
        <v>6</v>
      </c>
      <c r="B16" s="233">
        <v>50</v>
      </c>
      <c r="D16" s="244">
        <v>200</v>
      </c>
      <c r="E16" s="244">
        <f>ROUND((B$16*D16),0)</f>
        <v>10000</v>
      </c>
      <c r="G16" s="326">
        <f>ROUND(+O$14+IF(E16&gt;20000,20000*O$19+(E16-20000)*O$23,E16*O$19)+IF(B16&gt;50,(B16-50)*O$29,0),0)</f>
        <v>657</v>
      </c>
      <c r="H16" s="326"/>
      <c r="I16" s="326">
        <f>ROUND(+Q$14+IF(E16&gt;20000,20000*Q$19+(E16-20000)*Q$23,E16*Q$19)+IF(B16&gt;50,(B16-50)*Q$29,0),0)</f>
        <v>662</v>
      </c>
      <c r="J16" s="326"/>
      <c r="K16" s="240">
        <f>ROUND((I16-G16)/G16,4)</f>
        <v>7.6E-3</v>
      </c>
      <c r="L16" s="240"/>
      <c r="M16" s="240"/>
      <c r="N16" s="295"/>
      <c r="O16" s="260"/>
      <c r="P16" s="295"/>
      <c r="Q16" s="260"/>
    </row>
    <row r="17" spans="1:19">
      <c r="A17" s="277">
        <f t="shared" si="0"/>
        <v>7</v>
      </c>
      <c r="B17" s="233">
        <f>+B16</f>
        <v>50</v>
      </c>
      <c r="D17" s="244">
        <v>300</v>
      </c>
      <c r="E17" s="244">
        <f>ROUND((B$16*D17),0)</f>
        <v>15000</v>
      </c>
      <c r="G17" s="326">
        <f>ROUND(+O$14+IF(E17&gt;20000,20000*O$19+(E17-20000)*O$23,E17*O$19)+IF(B17&gt;50,(B17-50)*O$29,0),0)</f>
        <v>981</v>
      </c>
      <c r="H17" s="326"/>
      <c r="I17" s="326">
        <f>ROUND(+Q$14+IF(E17&gt;20000,20000*Q$19+(E17-20000)*Q$23,E17*Q$19)+IF(B17&gt;50,(B17-50)*Q$29,0),0)</f>
        <v>988</v>
      </c>
      <c r="J17" s="326"/>
      <c r="K17" s="240">
        <f>ROUND((I17-G17)/G17,4)</f>
        <v>7.1000000000000004E-3</v>
      </c>
      <c r="L17" s="240"/>
      <c r="M17" s="240"/>
      <c r="N17" s="296" t="s">
        <v>321</v>
      </c>
      <c r="O17" s="260">
        <f>SUM(O36,O48:O54,O57,O67:O69)</f>
        <v>8.9222162000000022E-2</v>
      </c>
      <c r="P17" s="295" t="str">
        <f>+N17</f>
        <v>Winter kWh - First 20,000</v>
      </c>
      <c r="Q17" s="260">
        <f>SUM(Q36,Q48:Q54,Q57,Q67:Q69)</f>
        <v>8.9863162000000024E-2</v>
      </c>
      <c r="R17" s="280"/>
      <c r="S17" s="258">
        <f>(Q17-O17)/O17</f>
        <v>7.1843136910311875E-3</v>
      </c>
    </row>
    <row r="18" spans="1:19">
      <c r="A18" s="277">
        <f t="shared" si="0"/>
        <v>8</v>
      </c>
      <c r="B18" s="233">
        <f>+B17</f>
        <v>50</v>
      </c>
      <c r="D18" s="244">
        <v>500</v>
      </c>
      <c r="E18" s="244">
        <f>ROUND((B$16*D18),0)</f>
        <v>25000</v>
      </c>
      <c r="G18" s="326">
        <f>ROUND(+O$14+IF(E18&gt;20000,20000*O$19+(E18-20000)*O$23,E18*O$19)+IF(B18&gt;50,(B18-50)*O$29,0),0)</f>
        <v>1568</v>
      </c>
      <c r="H18" s="326"/>
      <c r="I18" s="326">
        <f>ROUND(+Q$14+IF(E18&gt;20000,20000*Q$19+(E18-20000)*Q$23,E18*Q$19)+IF(B18&gt;50,(B18-50)*Q$29,0),0)</f>
        <v>1579</v>
      </c>
      <c r="J18" s="326"/>
      <c r="K18" s="240">
        <f>ROUND((I18-G18)/G18,4)</f>
        <v>7.0000000000000001E-3</v>
      </c>
      <c r="L18" s="240"/>
      <c r="M18" s="240"/>
      <c r="N18" s="296" t="s">
        <v>320</v>
      </c>
      <c r="O18" s="260">
        <f>SUM(O37,O48:O54,O58,O67:O69)</f>
        <v>6.1379162000000015E-2</v>
      </c>
      <c r="P18" s="295" t="str">
        <f>+N18</f>
        <v>Summer kWh - First 20,000</v>
      </c>
      <c r="Q18" s="260">
        <f>SUM(Q37,Q48:Q54,Q58,Q67:Q69)</f>
        <v>6.1823162000000015E-2</v>
      </c>
      <c r="R18" s="280"/>
      <c r="S18" s="258">
        <f>(Q18-O18)/O18</f>
        <v>7.2337253480260913E-3</v>
      </c>
    </row>
    <row r="19" spans="1:19">
      <c r="A19" s="277">
        <f t="shared" si="0"/>
        <v>9</v>
      </c>
      <c r="G19" s="326"/>
      <c r="H19" s="326"/>
      <c r="I19" s="326"/>
      <c r="J19" s="326"/>
      <c r="N19" s="295" t="s">
        <v>294</v>
      </c>
      <c r="O19" s="260">
        <f>SUM(O38,O48:O54,O67:O69,O59)</f>
        <v>6.4737162000000029E-2</v>
      </c>
      <c r="P19" s="295" t="str">
        <f>+N19</f>
        <v>Average kWh</v>
      </c>
      <c r="Q19" s="260">
        <f>SUM(Q38,Q48:Q54,Q67:Q69,Q59)</f>
        <v>6.5204162000000024E-2</v>
      </c>
      <c r="R19" s="280"/>
      <c r="S19" s="258">
        <f>(Q19-O19)/O19</f>
        <v>7.2137854915542169E-3</v>
      </c>
    </row>
    <row r="20" spans="1:19">
      <c r="A20" s="277">
        <f t="shared" si="0"/>
        <v>10</v>
      </c>
      <c r="B20" s="233">
        <v>75</v>
      </c>
      <c r="D20" s="244">
        <v>200</v>
      </c>
      <c r="E20" s="244">
        <f>ROUND((B$16*D20),0)</f>
        <v>10000</v>
      </c>
      <c r="G20" s="326">
        <f>ROUND(+O$14+IF(E20&gt;20000,20000*O$19+(E20-20000)*O$23,E20*O$19)+IF(B20&gt;50,(B20-50)*O$29,0),0)</f>
        <v>803</v>
      </c>
      <c r="H20" s="326"/>
      <c r="I20" s="326">
        <f>ROUND(+Q$14+IF(E20&gt;20000,20000*Q$19+(E20-20000)*Q$23,E20*Q$19)+IF(B20&gt;50,(B20-50)*Q$29,0),0)</f>
        <v>808</v>
      </c>
      <c r="J20" s="326"/>
      <c r="K20" s="240">
        <f>ROUND((I20-G20)/G20,4)</f>
        <v>6.1999999999999998E-3</v>
      </c>
      <c r="L20" s="240"/>
      <c r="M20" s="240"/>
      <c r="N20" s="295"/>
      <c r="O20" s="260"/>
      <c r="P20" s="295"/>
      <c r="Q20" s="260"/>
      <c r="R20" s="280"/>
    </row>
    <row r="21" spans="1:19">
      <c r="A21" s="277">
        <f t="shared" si="0"/>
        <v>11</v>
      </c>
      <c r="B21" s="233">
        <f>+B20</f>
        <v>75</v>
      </c>
      <c r="D21" s="244">
        <v>300</v>
      </c>
      <c r="E21" s="244">
        <f>ROUND((B$16*D21),0)</f>
        <v>15000</v>
      </c>
      <c r="G21" s="326">
        <f>ROUND(+O$14+IF(E21&gt;20000,20000*O$19+(E21-20000)*O$23,E21*O$19)+IF(B21&gt;50,(B21-50)*O$29,0),0)</f>
        <v>1127</v>
      </c>
      <c r="H21" s="326"/>
      <c r="I21" s="326">
        <f>ROUND(+Q$14+IF(E21&gt;20000,20000*Q$19+(E21-20000)*Q$23,E21*Q$19)+IF(B21&gt;50,(B21-50)*Q$29,0),0)</f>
        <v>1134</v>
      </c>
      <c r="J21" s="326"/>
      <c r="K21" s="240">
        <f>ROUND((I21-G21)/G21,4)</f>
        <v>6.1999999999999998E-3</v>
      </c>
      <c r="L21" s="240"/>
      <c r="M21" s="240"/>
      <c r="N21" s="296" t="s">
        <v>346</v>
      </c>
      <c r="O21" s="260">
        <f>SUM(O39,O48:O54,O60,O67:O69)</f>
        <v>6.7412162000000025E-2</v>
      </c>
      <c r="P21" s="295" t="str">
        <f>+N21</f>
        <v>Winter kWh - Over 20,000</v>
      </c>
      <c r="Q21" s="260">
        <f>SUM(Q39,Q48:Q54,Q60,Q67:Q69)</f>
        <v>6.7899162000000027E-2</v>
      </c>
      <c r="R21" s="280"/>
      <c r="S21" s="258">
        <f>(Q21-O21)/O21</f>
        <v>7.2242157134791369E-3</v>
      </c>
    </row>
    <row r="22" spans="1:19">
      <c r="A22" s="277">
        <f t="shared" si="0"/>
        <v>12</v>
      </c>
      <c r="B22" s="233">
        <f>+B21</f>
        <v>75</v>
      </c>
      <c r="D22" s="244">
        <v>500</v>
      </c>
      <c r="E22" s="244">
        <f>ROUND((B$16*D22),0)</f>
        <v>25000</v>
      </c>
      <c r="G22" s="326">
        <f>ROUND(+O$14+IF(E22&gt;20000,20000*O$19+(E22-20000)*O$23,E22*O$19)+IF(B22&gt;50,(B22-50)*O$29,0),0)</f>
        <v>1714</v>
      </c>
      <c r="H22" s="326"/>
      <c r="I22" s="326">
        <f>ROUND(+Q$14+IF(E22&gt;20000,20000*Q$19+(E22-20000)*Q$23,E22*Q$19)+IF(B22&gt;50,(B22-50)*Q$29,0),0)</f>
        <v>1726</v>
      </c>
      <c r="J22" s="326"/>
      <c r="K22" s="240">
        <f>ROUND((I22-G22)/G22,4)</f>
        <v>7.0000000000000001E-3</v>
      </c>
      <c r="L22" s="240"/>
      <c r="M22" s="240"/>
      <c r="N22" s="296" t="s">
        <v>345</v>
      </c>
      <c r="O22" s="260">
        <f>SUM(O40,O48:O54,O61,O67:O69)</f>
        <v>5.238316199999999E-2</v>
      </c>
      <c r="P22" s="295" t="str">
        <f>+N22</f>
        <v>Summer kWh - Over 20,000</v>
      </c>
      <c r="Q22" s="260">
        <f>SUM(Q40,Q48:Q54,Q61,Q67:Q69)</f>
        <v>5.2764161999999989E-2</v>
      </c>
      <c r="R22" s="280"/>
      <c r="S22" s="258">
        <f>(Q22-O22)/O22</f>
        <v>7.2733295481475415E-3</v>
      </c>
    </row>
    <row r="23" spans="1:19">
      <c r="A23" s="277">
        <f t="shared" si="0"/>
        <v>13</v>
      </c>
      <c r="N23" s="296" t="s">
        <v>319</v>
      </c>
      <c r="O23" s="260">
        <f>SUM(O41,O48:O54,O67:O69,O62)</f>
        <v>5.275116199999999E-2</v>
      </c>
      <c r="P23" s="295" t="str">
        <f>+N23</f>
        <v>kWh - All Over 20,000</v>
      </c>
      <c r="Q23" s="260">
        <f>SUM(Q41,Q48:Q54,Q67:Q69,Q62)</f>
        <v>5.3133161999999991E-2</v>
      </c>
      <c r="R23" s="280"/>
      <c r="S23" s="258">
        <f>(Q23-O23)/O23</f>
        <v>7.2415466411905856E-3</v>
      </c>
    </row>
    <row r="24" spans="1:19">
      <c r="A24" s="277">
        <f t="shared" si="0"/>
        <v>14</v>
      </c>
      <c r="B24" s="328" t="s">
        <v>298</v>
      </c>
      <c r="C24" s="327"/>
      <c r="G24" s="326"/>
      <c r="H24" s="326"/>
      <c r="I24" s="326"/>
      <c r="J24" s="326"/>
      <c r="N24" s="296"/>
      <c r="O24" s="260"/>
      <c r="P24" s="296"/>
      <c r="Q24" s="260"/>
      <c r="R24" s="280"/>
      <c r="S24" s="264"/>
    </row>
    <row r="25" spans="1:19">
      <c r="A25" s="277">
        <f t="shared" si="0"/>
        <v>15</v>
      </c>
      <c r="B25" s="233">
        <v>100</v>
      </c>
      <c r="D25" s="244">
        <v>200</v>
      </c>
      <c r="E25" s="244">
        <f>ROUND((B$25*D25),0)</f>
        <v>20000</v>
      </c>
      <c r="G25" s="326">
        <f>ROUND(+O$15+IF(E25&gt;20000,20000*O$19+(E25-20000)*O$23,E25*O$19)+IF(B25&gt;50,(B25-50)*O$29,0),0)</f>
        <v>1612</v>
      </c>
      <c r="H25" s="326"/>
      <c r="I25" s="326">
        <f>ROUND(+Q$15+IF(E25&gt;20000,20000*Q$19+(E25-20000)*Q$23,E25*Q$19)+IF(B25&gt;50,(B25-50)*Q$29,0),0)</f>
        <v>1621</v>
      </c>
      <c r="J25" s="326"/>
      <c r="K25" s="240">
        <f>ROUND((I25-G25)/G25,4)</f>
        <v>5.5999999999999999E-3</v>
      </c>
      <c r="L25" s="240"/>
      <c r="M25" s="240"/>
      <c r="N25" s="296" t="s">
        <v>318</v>
      </c>
      <c r="O25" s="260">
        <v>0</v>
      </c>
      <c r="P25" s="295" t="str">
        <f>+N25</f>
        <v>kW - First 50</v>
      </c>
      <c r="Q25" s="260">
        <v>0</v>
      </c>
      <c r="R25" s="280"/>
      <c r="S25" s="264"/>
    </row>
    <row r="26" spans="1:19">
      <c r="A26" s="277">
        <f t="shared" si="0"/>
        <v>16</v>
      </c>
      <c r="B26" s="233">
        <f>+B25</f>
        <v>100</v>
      </c>
      <c r="D26" s="244">
        <v>300</v>
      </c>
      <c r="E26" s="244">
        <f>ROUND((B$25*D26),0)</f>
        <v>30000</v>
      </c>
      <c r="G26" s="326">
        <f>ROUND(+O$15+IF(E26&gt;20000,20000*O$19+(E26-20000)*O$23,E26*O$19)+IF(B26&gt;50,(B26-50)*O$29,0),0)</f>
        <v>2139</v>
      </c>
      <c r="H26" s="326"/>
      <c r="I26" s="326">
        <f>ROUND(+Q$15+IF(E26&gt;20000,20000*Q$19+(E26-20000)*Q$23,E26*Q$19)+IF(B26&gt;50,(B26-50)*Q$29,0),0)</f>
        <v>2153</v>
      </c>
      <c r="J26" s="326"/>
      <c r="K26" s="240">
        <f>ROUND((I26-G26)/G26,4)</f>
        <v>6.4999999999999997E-3</v>
      </c>
      <c r="L26" s="240"/>
      <c r="M26" s="240"/>
      <c r="N26" s="296"/>
      <c r="O26" s="260"/>
      <c r="P26" s="296"/>
      <c r="Q26" s="260"/>
      <c r="R26" s="292"/>
      <c r="S26" s="241"/>
    </row>
    <row r="27" spans="1:19">
      <c r="A27" s="277">
        <f t="shared" si="0"/>
        <v>17</v>
      </c>
      <c r="B27" s="233">
        <f>+B26</f>
        <v>100</v>
      </c>
      <c r="D27" s="244">
        <v>500</v>
      </c>
      <c r="E27" s="244">
        <f>ROUND((B$25*D27),0)</f>
        <v>50000</v>
      </c>
      <c r="G27" s="326">
        <f>ROUND(+O$15+IF(E27&gt;20000,20000*O$19+(E27-20000)*O$23,E27*O$19)+IF(B27&gt;50,(B27-50)*O$29,0),0)</f>
        <v>3194</v>
      </c>
      <c r="H27" s="326"/>
      <c r="I27" s="326">
        <f>ROUND(+Q$15+IF(E27&gt;20000,20000*Q$19+(E27-20000)*Q$23,E27*Q$19)+IF(B27&gt;50,(B27-50)*Q$29,0),0)</f>
        <v>3215</v>
      </c>
      <c r="J27" s="326"/>
      <c r="K27" s="240">
        <f>ROUND((I27-G27)/G27,4)</f>
        <v>6.6E-3</v>
      </c>
      <c r="L27" s="240"/>
      <c r="M27" s="240"/>
      <c r="N27" s="296" t="s">
        <v>317</v>
      </c>
      <c r="O27" s="316">
        <f>SUM(O43,O63)</f>
        <v>8.94</v>
      </c>
      <c r="P27" s="295" t="str">
        <f>+N27</f>
        <v>Winter kW - Over 50</v>
      </c>
      <c r="Q27" s="316">
        <f>SUM(Q43,Q63)</f>
        <v>9</v>
      </c>
      <c r="R27" s="280"/>
      <c r="S27" s="258">
        <f>(Q27-O27)/O27</f>
        <v>6.7114093959732106E-3</v>
      </c>
    </row>
    <row r="28" spans="1:19">
      <c r="A28" s="277">
        <f t="shared" si="0"/>
        <v>18</v>
      </c>
      <c r="N28" s="296" t="s">
        <v>316</v>
      </c>
      <c r="O28" s="316">
        <f>SUM(O44,O64)</f>
        <v>4.4000000000000004</v>
      </c>
      <c r="P28" s="295" t="str">
        <f>+N28</f>
        <v>Summer kW - Over 50</v>
      </c>
      <c r="Q28" s="316">
        <f>SUM(Q44,Q64)</f>
        <v>4.43</v>
      </c>
      <c r="R28" s="280"/>
      <c r="S28" s="258">
        <f>(Q28-O28)/O28</f>
        <v>6.8181818181816721E-3</v>
      </c>
    </row>
    <row r="29" spans="1:19">
      <c r="A29" s="277">
        <f t="shared" si="0"/>
        <v>19</v>
      </c>
      <c r="B29" s="233">
        <v>150</v>
      </c>
      <c r="D29" s="244">
        <v>200</v>
      </c>
      <c r="E29" s="244">
        <f>ROUND((B$29*D29),0)</f>
        <v>30000</v>
      </c>
      <c r="G29" s="326">
        <f>ROUND(+O$15+IF(E29&gt;20000,20000*O$19+(E29-20000)*O$23,E29*O$19)+IF(B29&gt;50,(B29-50)*O$29,0),0)</f>
        <v>2432</v>
      </c>
      <c r="H29" s="326"/>
      <c r="I29" s="326">
        <f>ROUND(+Q$15+IF(E29&gt;20000,20000*Q$19+(E29-20000)*Q$23,E29*Q$19)+IF(B29&gt;50,(B29-50)*Q$29,0),0)</f>
        <v>2445</v>
      </c>
      <c r="J29" s="326"/>
      <c r="K29" s="240">
        <f>ROUND((I29-G29)/G29,4)</f>
        <v>5.3E-3</v>
      </c>
      <c r="L29" s="240"/>
      <c r="M29" s="240"/>
      <c r="N29" s="296" t="s">
        <v>315</v>
      </c>
      <c r="O29" s="316">
        <f>SUM(O45,O66)</f>
        <v>5.85</v>
      </c>
      <c r="P29" s="295" t="str">
        <f>+N29</f>
        <v>Average kW - Over 50</v>
      </c>
      <c r="Q29" s="316">
        <f>SUM(Q45,Q66)</f>
        <v>5.8500199999999998</v>
      </c>
      <c r="R29" s="280"/>
      <c r="S29" s="258">
        <f>(Q29-O29)/O29</f>
        <v>3.4188034188258161E-6</v>
      </c>
    </row>
    <row r="30" spans="1:19">
      <c r="A30" s="277">
        <f t="shared" si="0"/>
        <v>20</v>
      </c>
      <c r="B30" s="233">
        <f>+B29</f>
        <v>150</v>
      </c>
      <c r="D30" s="244">
        <v>300</v>
      </c>
      <c r="E30" s="244">
        <f>ROUND((B$29*D30),0)</f>
        <v>45000</v>
      </c>
      <c r="G30" s="326">
        <f>ROUND(+O$15+IF(E30&gt;20000,20000*O$19+(E30-20000)*O$23,E30*O$19)+IF(B30&gt;50,(B30-50)*O$29,0),0)</f>
        <v>3223</v>
      </c>
      <c r="H30" s="326"/>
      <c r="I30" s="326">
        <f>ROUND(+Q$15+IF(E30&gt;20000,20000*Q$19+(E30-20000)*Q$23,E30*Q$19)+IF(B30&gt;50,(B30-50)*Q$29,0),0)</f>
        <v>3242</v>
      </c>
      <c r="J30" s="326"/>
      <c r="K30" s="240">
        <f>ROUND((I30-G30)/G30,4)</f>
        <v>5.8999999999999999E-3</v>
      </c>
      <c r="L30" s="240"/>
      <c r="M30" s="240"/>
      <c r="N30" s="295"/>
      <c r="O30" s="260"/>
      <c r="P30" s="295"/>
      <c r="Q30" s="260"/>
      <c r="R30" s="280"/>
    </row>
    <row r="31" spans="1:19">
      <c r="A31" s="277">
        <f t="shared" si="0"/>
        <v>21</v>
      </c>
      <c r="B31" s="233">
        <f>+B30</f>
        <v>150</v>
      </c>
      <c r="D31" s="244">
        <v>500</v>
      </c>
      <c r="E31" s="244">
        <f>ROUND((B$29*D31),0)</f>
        <v>75000</v>
      </c>
      <c r="G31" s="326">
        <f>ROUND(+O$15+IF(E31&gt;20000,20000*O$19+(E31-20000)*O$23,E31*O$19)+IF(B31&gt;50,(B31-50)*O$29,0),0)</f>
        <v>4806</v>
      </c>
      <c r="H31" s="326"/>
      <c r="I31" s="326">
        <f>ROUND(+Q$15+IF(E31&gt;20000,20000*Q$19+(E31-20000)*Q$23,E31*Q$19)+IF(B31&gt;50,(B31-50)*Q$29,0),0)</f>
        <v>4836</v>
      </c>
      <c r="J31" s="326"/>
      <c r="K31" s="240">
        <f>ROUND((I31-G31)/G31,4)</f>
        <v>6.1999999999999998E-3</v>
      </c>
      <c r="L31" s="240"/>
      <c r="M31" s="240"/>
      <c r="N31" s="295" t="s">
        <v>314</v>
      </c>
      <c r="O31" s="315">
        <f>SUM(O46,O66)</f>
        <v>2.8400000000000001E-3</v>
      </c>
      <c r="P31" s="295" t="str">
        <f>+N31</f>
        <v>kVarh</v>
      </c>
      <c r="Q31" s="315">
        <f>SUM(Q46,Q66)</f>
        <v>2.8600000000000001E-3</v>
      </c>
      <c r="R31" s="280"/>
      <c r="S31" s="258">
        <f>(Q31-O31)/O31</f>
        <v>7.0422535211267789E-3</v>
      </c>
    </row>
    <row r="32" spans="1:19" ht="14.4" thickBot="1">
      <c r="A32" s="277">
        <f t="shared" si="0"/>
        <v>22</v>
      </c>
      <c r="N32" s="294" t="s">
        <v>24</v>
      </c>
      <c r="O32" s="293" t="s">
        <v>24</v>
      </c>
      <c r="P32" s="294" t="s">
        <v>24</v>
      </c>
      <c r="Q32" s="293" t="s">
        <v>24</v>
      </c>
      <c r="R32" s="280"/>
    </row>
    <row r="33" spans="1:18">
      <c r="A33" s="277">
        <f t="shared" si="0"/>
        <v>23</v>
      </c>
      <c r="B33" s="233">
        <v>200</v>
      </c>
      <c r="D33" s="244">
        <v>200</v>
      </c>
      <c r="E33" s="244">
        <f>ROUND((B$33*D33),0)</f>
        <v>40000</v>
      </c>
      <c r="G33" s="326">
        <f>ROUND(+O$15+IF(E33&gt;20000,20000*O$19+(E33-20000)*O$23,E33*O$19)+IF(B33&gt;50,(B33-50)*O$29,0),0)</f>
        <v>3252</v>
      </c>
      <c r="H33" s="326"/>
      <c r="I33" s="326">
        <f>ROUND(+Q$15+IF(E33&gt;20000,20000*Q$19+(E33-20000)*Q$23,E33*Q$19)+IF(B33&gt;50,(B33-50)*Q$29,0),0)</f>
        <v>3269</v>
      </c>
      <c r="J33" s="326"/>
      <c r="K33" s="240">
        <f>ROUND((I33-G33)/G33,4)</f>
        <v>5.1999999999999998E-3</v>
      </c>
      <c r="L33" s="240"/>
      <c r="M33" s="240"/>
      <c r="R33" s="280"/>
    </row>
    <row r="34" spans="1:18">
      <c r="A34" s="277">
        <f t="shared" si="0"/>
        <v>24</v>
      </c>
      <c r="B34" s="233">
        <f>+B33</f>
        <v>200</v>
      </c>
      <c r="D34" s="244">
        <v>300</v>
      </c>
      <c r="E34" s="244">
        <f>ROUND((B$33*D34),0)</f>
        <v>60000</v>
      </c>
      <c r="G34" s="326">
        <f>ROUND(+O$15+IF(E34&gt;20000,20000*O$19+(E34-20000)*O$23,E34*O$19)+IF(B34&gt;50,(B34-50)*O$29,0),0)</f>
        <v>4307</v>
      </c>
      <c r="H34" s="326"/>
      <c r="I34" s="326">
        <f>ROUND(+Q$15+IF(E34&gt;20000,20000*Q$19+(E34-20000)*Q$23,E34*Q$19)+IF(B34&gt;50,(B34-50)*Q$29,0),0)</f>
        <v>4332</v>
      </c>
      <c r="J34" s="326"/>
      <c r="K34" s="240">
        <f>ROUND((I34-G34)/G34,4)</f>
        <v>5.7999999999999996E-3</v>
      </c>
      <c r="L34" s="240"/>
      <c r="M34" s="240"/>
      <c r="N34" s="233" t="str">
        <f>+N14</f>
        <v>Basic Charge (1 Phase)</v>
      </c>
      <c r="O34" s="387">
        <f>+'[1](JAP4)-Tariff Summary'!$D$55</f>
        <v>9.68</v>
      </c>
      <c r="P34" s="387"/>
      <c r="Q34" s="387">
        <f>+O34</f>
        <v>9.68</v>
      </c>
      <c r="R34" s="280"/>
    </row>
    <row r="35" spans="1:18">
      <c r="A35" s="277">
        <f t="shared" si="0"/>
        <v>25</v>
      </c>
      <c r="B35" s="233">
        <f>+B34</f>
        <v>200</v>
      </c>
      <c r="D35" s="244">
        <v>500</v>
      </c>
      <c r="E35" s="244">
        <f>ROUND((B$33*D35),0)</f>
        <v>100000</v>
      </c>
      <c r="G35" s="326">
        <f>ROUND(+O$15+IF(E35&gt;20000,20000*O$19+(E35-20000)*O$23,E35*O$19)+IF(B35&gt;50,(B35-50)*O$29,0),0)</f>
        <v>6417</v>
      </c>
      <c r="H35" s="326"/>
      <c r="I35" s="326">
        <f>ROUND(+Q$15+IF(E35&gt;20000,20000*Q$19+(E35-20000)*Q$23,E35*Q$19)+IF(B35&gt;50,(B35-50)*Q$29,0),0)</f>
        <v>6457</v>
      </c>
      <c r="J35" s="326"/>
      <c r="K35" s="240">
        <f>ROUND((I35-G35)/G35,4)</f>
        <v>6.1999999999999998E-3</v>
      </c>
      <c r="L35" s="240"/>
      <c r="M35" s="240"/>
      <c r="N35" s="233" t="str">
        <f t="shared" ref="N35" si="1">+N15</f>
        <v>Basic Charge (3 Phase)</v>
      </c>
      <c r="O35" s="387">
        <f>+'[1](JAP4)-Tariff Summary'!$D$56</f>
        <v>24.58</v>
      </c>
      <c r="P35" s="387"/>
      <c r="Q35" s="387">
        <f t="shared" ref="Q35:Q46" si="2">+O35</f>
        <v>24.58</v>
      </c>
      <c r="R35" s="280"/>
    </row>
    <row r="36" spans="1:18">
      <c r="A36" s="277">
        <f t="shared" si="0"/>
        <v>26</v>
      </c>
      <c r="G36" s="326"/>
      <c r="H36" s="326"/>
      <c r="I36" s="326"/>
      <c r="J36" s="326"/>
      <c r="N36" s="233" t="str">
        <f>+N17</f>
        <v>Winter kWh - First 20,000</v>
      </c>
      <c r="O36" s="387">
        <f>+'[1](JAP4)-Tariff Summary'!$D$58</f>
        <v>9.0677999999999995E-2</v>
      </c>
      <c r="P36" s="387"/>
      <c r="Q36" s="387">
        <f t="shared" si="2"/>
        <v>9.0677999999999995E-2</v>
      </c>
      <c r="R36" s="280"/>
    </row>
    <row r="37" spans="1:18">
      <c r="A37" s="277">
        <f t="shared" si="0"/>
        <v>27</v>
      </c>
      <c r="B37" s="233">
        <v>300</v>
      </c>
      <c r="D37" s="244">
        <v>200</v>
      </c>
      <c r="E37" s="244">
        <f>ROUND((B$37*D37),0)</f>
        <v>60000</v>
      </c>
      <c r="G37" s="326">
        <f>ROUND(+O$15+IF(E37&gt;20000,20000*O$19+(E37-20000)*O$23,E37*O$19)+IF(B37&gt;50,(B37-50)*O$29,0),0)</f>
        <v>4892</v>
      </c>
      <c r="H37" s="326"/>
      <c r="I37" s="326">
        <f>ROUND(+Q$15+IF(E37&gt;20000,20000*Q$19+(E37-20000)*Q$23,E37*Q$19)+IF(B37&gt;50,(B37-50)*Q$29,0),0)</f>
        <v>4917</v>
      </c>
      <c r="J37" s="326"/>
      <c r="K37" s="240">
        <f>ROUND((I37-G37)/G37,4)</f>
        <v>5.1000000000000004E-3</v>
      </c>
      <c r="L37" s="240"/>
      <c r="M37" s="240"/>
      <c r="N37" s="233" t="str">
        <f>+N18</f>
        <v>Summer kWh - First 20,000</v>
      </c>
      <c r="O37" s="387">
        <f>+'[1](JAP4)-Tariff Summary'!$D$60</f>
        <v>6.2835000000000002E-2</v>
      </c>
      <c r="P37" s="387"/>
      <c r="Q37" s="387">
        <f t="shared" si="2"/>
        <v>6.2835000000000002E-2</v>
      </c>
      <c r="R37" s="280"/>
    </row>
    <row r="38" spans="1:18">
      <c r="A38" s="277">
        <f t="shared" si="0"/>
        <v>28</v>
      </c>
      <c r="B38" s="233">
        <f>+B37</f>
        <v>300</v>
      </c>
      <c r="D38" s="244">
        <v>300</v>
      </c>
      <c r="E38" s="244">
        <f>ROUND((B$37*D38),0)</f>
        <v>90000</v>
      </c>
      <c r="G38" s="326">
        <f>ROUND(+O$15+IF(E38&gt;20000,20000*O$19+(E38-20000)*O$23,E38*O$19)+IF(B38&gt;50,(B38-50)*O$29,0),0)</f>
        <v>6474</v>
      </c>
      <c r="H38" s="326"/>
      <c r="I38" s="326">
        <f>ROUND(+Q$15+IF(E38&gt;20000,20000*Q$19+(E38-20000)*Q$23,E38*Q$19)+IF(B38&gt;50,(B38-50)*Q$29,0),0)</f>
        <v>6511</v>
      </c>
      <c r="J38" s="326"/>
      <c r="K38" s="240">
        <f>ROUND((I38-G38)/G38,4)</f>
        <v>5.7000000000000002E-3</v>
      </c>
      <c r="L38" s="240"/>
      <c r="M38" s="240"/>
      <c r="N38" s="233" t="s">
        <v>388</v>
      </c>
      <c r="O38" s="387">
        <f>+'[1](JAP4) SecVolt RD'!$D$141</f>
        <v>6.6193000000000002E-2</v>
      </c>
      <c r="P38" s="387"/>
      <c r="Q38" s="387">
        <f t="shared" si="2"/>
        <v>6.6193000000000002E-2</v>
      </c>
      <c r="R38" s="280"/>
    </row>
    <row r="39" spans="1:18">
      <c r="A39" s="277">
        <f t="shared" si="0"/>
        <v>29</v>
      </c>
      <c r="B39" s="233">
        <f>+B38</f>
        <v>300</v>
      </c>
      <c r="D39" s="244">
        <v>500</v>
      </c>
      <c r="E39" s="244">
        <f>ROUND((B$37*D39),0)</f>
        <v>150000</v>
      </c>
      <c r="G39" s="326">
        <f>ROUND(+O$15+IF(E39&gt;20000,20000*O$19+(E39-20000)*O$23,E39*O$19)+IF(B39&gt;50,(B39-50)*O$29,0),0)</f>
        <v>9639</v>
      </c>
      <c r="H39" s="326"/>
      <c r="I39" s="326">
        <f>ROUND(+Q$15+IF(E39&gt;20000,20000*Q$19+(E39-20000)*Q$23,E39*Q$19)+IF(B39&gt;50,(B39-50)*Q$29,0),0)</f>
        <v>9699</v>
      </c>
      <c r="J39" s="326"/>
      <c r="K39" s="240">
        <f>ROUND((I39-G39)/G39,4)</f>
        <v>6.1999999999999998E-3</v>
      </c>
      <c r="L39" s="240"/>
      <c r="M39" s="240"/>
      <c r="N39" s="233" t="str">
        <f>+N21</f>
        <v>Winter kWh - Over 20,000</v>
      </c>
      <c r="O39" s="387">
        <f>+'[1](JAP4)-Tariff Summary'!$D$59</f>
        <v>6.8867999999999999E-2</v>
      </c>
      <c r="P39" s="387"/>
      <c r="Q39" s="387">
        <f t="shared" si="2"/>
        <v>6.8867999999999999E-2</v>
      </c>
      <c r="R39" s="280"/>
    </row>
    <row r="40" spans="1:18">
      <c r="A40" s="277">
        <f t="shared" si="0"/>
        <v>30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59"/>
      <c r="N40" s="233" t="str">
        <f>+N22</f>
        <v>Summer kWh - Over 20,000</v>
      </c>
      <c r="O40" s="387">
        <f>+'[1](JAP4)-Tariff Summary'!$D$61</f>
        <v>5.3838999999999998E-2</v>
      </c>
      <c r="P40" s="387"/>
      <c r="Q40" s="387">
        <f t="shared" si="2"/>
        <v>5.3838999999999998E-2</v>
      </c>
    </row>
    <row r="41" spans="1:18">
      <c r="A41" s="277">
        <f t="shared" si="0"/>
        <v>31</v>
      </c>
      <c r="N41" s="403" t="s">
        <v>389</v>
      </c>
      <c r="O41" s="387">
        <f>+'[1](JAP4) SecVolt RD'!$D$142</f>
        <v>5.4206999999999998E-2</v>
      </c>
      <c r="P41" s="387"/>
      <c r="Q41" s="387">
        <f t="shared" si="2"/>
        <v>5.4206999999999998E-2</v>
      </c>
    </row>
    <row r="42" spans="1:18">
      <c r="A42" s="277">
        <f t="shared" si="0"/>
        <v>32</v>
      </c>
      <c r="C42" s="235"/>
      <c r="N42" s="233" t="str">
        <f>+N25</f>
        <v>kW - First 50</v>
      </c>
      <c r="O42" s="387">
        <f>+'[1](JAP4)-Tariff Summary'!$E$63</f>
        <v>0</v>
      </c>
      <c r="P42" s="387"/>
      <c r="Q42" s="387">
        <f t="shared" si="2"/>
        <v>0</v>
      </c>
    </row>
    <row r="43" spans="1:18" ht="15.6">
      <c r="A43" s="277">
        <f t="shared" si="0"/>
        <v>33</v>
      </c>
      <c r="B43" s="282" t="s">
        <v>266</v>
      </c>
      <c r="C43" s="235"/>
      <c r="N43" s="233" t="str">
        <f>+N27</f>
        <v>Winter kW - Over 50</v>
      </c>
      <c r="O43" s="387">
        <f>+'[1](JAP4)-Tariff Summary'!$D$64</f>
        <v>8.94</v>
      </c>
      <c r="P43" s="387"/>
      <c r="Q43" s="387">
        <f t="shared" si="2"/>
        <v>8.94</v>
      </c>
    </row>
    <row r="44" spans="1:18" ht="15.6">
      <c r="A44" s="277">
        <f t="shared" si="0"/>
        <v>34</v>
      </c>
      <c r="B44" s="409" t="s">
        <v>410</v>
      </c>
      <c r="C44" s="235"/>
      <c r="N44" s="233" t="str">
        <f>+N28</f>
        <v>Summer kW - Over 50</v>
      </c>
      <c r="O44" s="387">
        <f>+'[1](JAP4)-Tariff Summary'!$D$65</f>
        <v>4.4000000000000004</v>
      </c>
      <c r="P44" s="387"/>
      <c r="Q44" s="387">
        <f t="shared" si="2"/>
        <v>4.4000000000000004</v>
      </c>
    </row>
    <row r="45" spans="1:18" ht="15.6">
      <c r="A45" s="277">
        <f t="shared" si="0"/>
        <v>35</v>
      </c>
      <c r="B45" s="409" t="s">
        <v>309</v>
      </c>
      <c r="C45" s="235"/>
      <c r="N45" s="233" t="str">
        <f t="shared" ref="N45" si="3">+N29</f>
        <v>Average kW - Over 50</v>
      </c>
      <c r="O45" s="387">
        <f>+'[1](JAP4) SecVolt RD'!$D$143</f>
        <v>5.85</v>
      </c>
      <c r="P45" s="387"/>
      <c r="Q45" s="387">
        <f t="shared" si="2"/>
        <v>5.85</v>
      </c>
    </row>
    <row r="46" spans="1:18" ht="15.6">
      <c r="A46" s="277">
        <f t="shared" si="0"/>
        <v>36</v>
      </c>
      <c r="B46" s="443" t="s">
        <v>420</v>
      </c>
      <c r="N46" s="233" t="str">
        <f>+N31</f>
        <v>kVarh</v>
      </c>
      <c r="O46" s="387">
        <f>+'[1](JAP4)-Tariff Summary'!$D$67</f>
        <v>2.8400000000000001E-3</v>
      </c>
      <c r="P46" s="387"/>
      <c r="Q46" s="387">
        <f t="shared" si="2"/>
        <v>2.8400000000000001E-3</v>
      </c>
    </row>
    <row r="47" spans="1:18" ht="15.6">
      <c r="A47" s="277">
        <f t="shared" si="0"/>
        <v>37</v>
      </c>
      <c r="B47" s="517" t="s">
        <v>511</v>
      </c>
    </row>
    <row r="48" spans="1:18">
      <c r="A48" s="277">
        <f t="shared" si="0"/>
        <v>38</v>
      </c>
      <c r="N48" s="249" t="s">
        <v>276</v>
      </c>
      <c r="O48" s="250">
        <v>0</v>
      </c>
      <c r="P48" s="278"/>
      <c r="Q48" s="250">
        <v>0</v>
      </c>
    </row>
    <row r="49" spans="1:17">
      <c r="A49" s="277">
        <f t="shared" si="0"/>
        <v>39</v>
      </c>
      <c r="N49" s="249" t="s">
        <v>275</v>
      </c>
      <c r="O49" s="250">
        <f>+'Sch 95a'!$H$17</f>
        <v>-1.562E-3</v>
      </c>
      <c r="P49" s="278"/>
      <c r="Q49" s="250">
        <f>+'Sch 95a'!$H$17</f>
        <v>-1.562E-3</v>
      </c>
    </row>
    <row r="50" spans="1:17">
      <c r="A50" s="277">
        <f t="shared" si="0"/>
        <v>40</v>
      </c>
      <c r="N50" s="249" t="s">
        <v>274</v>
      </c>
      <c r="O50" s="250">
        <f>+'Sch 120'!$H$17</f>
        <v>3.1960000000000001E-3</v>
      </c>
      <c r="P50" s="278"/>
      <c r="Q50" s="250">
        <f>+'Sch 120'!$H$17</f>
        <v>3.1960000000000001E-3</v>
      </c>
    </row>
    <row r="51" spans="1:17">
      <c r="A51" s="277">
        <f t="shared" si="0"/>
        <v>41</v>
      </c>
      <c r="N51" s="249" t="s">
        <v>209</v>
      </c>
      <c r="O51" s="250">
        <f>+'Sch 129'!G17</f>
        <v>7.1199999999999996E-4</v>
      </c>
      <c r="Q51" s="250">
        <f t="shared" ref="Q51:Q53" si="4">+O51</f>
        <v>7.1199999999999996E-4</v>
      </c>
    </row>
    <row r="52" spans="1:17">
      <c r="A52" s="277">
        <f t="shared" si="0"/>
        <v>42</v>
      </c>
      <c r="N52" s="249" t="s">
        <v>210</v>
      </c>
      <c r="O52" s="250">
        <f>+'Sch 132'!E17</f>
        <v>-2.4499999999999999E-4</v>
      </c>
      <c r="P52" s="278"/>
      <c r="Q52" s="250">
        <f t="shared" si="4"/>
        <v>-2.4499999999999999E-4</v>
      </c>
    </row>
    <row r="53" spans="1:17">
      <c r="A53" s="277">
        <f t="shared" si="0"/>
        <v>43</v>
      </c>
      <c r="N53" s="249" t="s">
        <v>272</v>
      </c>
      <c r="O53" s="250">
        <f>+'Sch 137'!E17</f>
        <v>-2.5999999999999998E-5</v>
      </c>
      <c r="P53" s="278"/>
      <c r="Q53" s="250">
        <f t="shared" si="4"/>
        <v>-2.5999999999999998E-5</v>
      </c>
    </row>
    <row r="54" spans="1:17">
      <c r="A54" s="277">
        <f t="shared" si="0"/>
        <v>44</v>
      </c>
      <c r="N54" s="249" t="s">
        <v>241</v>
      </c>
      <c r="O54" s="250">
        <f>+'Sch 140'!$H$17</f>
        <v>2.467E-3</v>
      </c>
      <c r="P54" s="278"/>
      <c r="Q54" s="250">
        <f>+'Sch 140'!$H$17</f>
        <v>2.467E-3</v>
      </c>
    </row>
    <row r="55" spans="1:17">
      <c r="A55" s="277">
        <f t="shared" si="0"/>
        <v>45</v>
      </c>
      <c r="N55" s="386" t="s">
        <v>293</v>
      </c>
      <c r="O55" s="388">
        <v>0</v>
      </c>
      <c r="P55" s="385"/>
      <c r="Q55" s="388">
        <f>+'[1](JAP4)-Tariff Summary'!$F$55</f>
        <v>7.0000000000000284E-2</v>
      </c>
    </row>
    <row r="56" spans="1:17">
      <c r="A56" s="277">
        <f t="shared" si="0"/>
        <v>46</v>
      </c>
      <c r="N56" s="386" t="s">
        <v>344</v>
      </c>
      <c r="O56" s="388">
        <v>0</v>
      </c>
      <c r="P56" s="385"/>
      <c r="Q56" s="388">
        <f>+'[1](JAP4)-Tariff Summary'!$F$56</f>
        <v>0.17000000000000171</v>
      </c>
    </row>
    <row r="57" spans="1:17">
      <c r="A57" s="277">
        <f t="shared" si="0"/>
        <v>47</v>
      </c>
      <c r="N57" s="386" t="s">
        <v>312</v>
      </c>
      <c r="O57" s="388">
        <v>0</v>
      </c>
      <c r="P57" s="385"/>
      <c r="Q57" s="388">
        <f>+'[1](JAP4)-Tariff Summary'!$F$58</f>
        <v>6.4100000000000268E-4</v>
      </c>
    </row>
    <row r="58" spans="1:17">
      <c r="A58" s="277">
        <f t="shared" si="0"/>
        <v>48</v>
      </c>
      <c r="N58" s="386" t="s">
        <v>311</v>
      </c>
      <c r="O58" s="388">
        <v>0</v>
      </c>
      <c r="P58" s="385"/>
      <c r="Q58" s="388">
        <f>+'[1](JAP4)-Tariff Summary'!$F$60</f>
        <v>4.4399999999999995E-4</v>
      </c>
    </row>
    <row r="59" spans="1:17">
      <c r="A59" s="277">
        <f t="shared" si="0"/>
        <v>49</v>
      </c>
      <c r="N59" s="383" t="s">
        <v>487</v>
      </c>
      <c r="O59" s="388">
        <v>0</v>
      </c>
      <c r="P59" s="385"/>
      <c r="Q59" s="388">
        <f>+'[1](JAP4) SecVolt RD'!$G$141-'[1](JAP4) SecVolt RD'!$D$141</f>
        <v>4.669999999999952E-4</v>
      </c>
    </row>
    <row r="60" spans="1:17">
      <c r="A60" s="277">
        <f t="shared" si="0"/>
        <v>50</v>
      </c>
      <c r="N60" s="386" t="s">
        <v>343</v>
      </c>
      <c r="O60" s="388">
        <v>0</v>
      </c>
      <c r="P60" s="385"/>
      <c r="Q60" s="388">
        <f>+'[1](JAP4)-Tariff Summary'!$F$59</f>
        <v>4.8700000000000132E-4</v>
      </c>
    </row>
    <row r="61" spans="1:17">
      <c r="A61" s="277">
        <f t="shared" si="0"/>
        <v>51</v>
      </c>
      <c r="N61" s="386" t="s">
        <v>342</v>
      </c>
      <c r="O61" s="388">
        <v>0</v>
      </c>
      <c r="P61" s="385"/>
      <c r="Q61" s="388">
        <f>+'[1](JAP4)-Tariff Summary'!$F$61</f>
        <v>3.8099999999999939E-4</v>
      </c>
    </row>
    <row r="62" spans="1:17">
      <c r="A62" s="277">
        <f t="shared" si="0"/>
        <v>52</v>
      </c>
      <c r="N62" s="383" t="s">
        <v>486</v>
      </c>
      <c r="O62" s="388">
        <v>0</v>
      </c>
      <c r="P62" s="385"/>
      <c r="Q62" s="388">
        <f>+'[1](JAP4) SecVolt RD'!$G$142-'[1](JAP4) SecVolt RD'!$D$142</f>
        <v>3.8200000000000039E-4</v>
      </c>
    </row>
    <row r="63" spans="1:17">
      <c r="A63" s="277">
        <f t="shared" si="0"/>
        <v>53</v>
      </c>
      <c r="N63" s="383" t="s">
        <v>483</v>
      </c>
      <c r="O63" s="388">
        <v>0</v>
      </c>
      <c r="P63" s="385"/>
      <c r="Q63" s="388">
        <f>+'[1](JAP4)-Tariff Summary'!$F$64</f>
        <v>6.0000000000000497E-2</v>
      </c>
    </row>
    <row r="64" spans="1:17">
      <c r="A64" s="277">
        <f t="shared" si="0"/>
        <v>54</v>
      </c>
      <c r="N64" s="383" t="s">
        <v>484</v>
      </c>
      <c r="O64" s="388">
        <v>0</v>
      </c>
      <c r="P64" s="385"/>
      <c r="Q64" s="388">
        <f>+'[1](JAP4)-Tariff Summary'!$F$65</f>
        <v>2.9999999999999361E-2</v>
      </c>
    </row>
    <row r="65" spans="1:17">
      <c r="A65" s="277">
        <f t="shared" si="0"/>
        <v>55</v>
      </c>
      <c r="N65" s="383" t="s">
        <v>485</v>
      </c>
      <c r="O65" s="388">
        <v>0</v>
      </c>
      <c r="P65" s="385"/>
      <c r="Q65" s="388">
        <f>+'[1](JAP4) SecVolt RD'!$G$143-'[1](JAP4) SecVolt RD'!$D$143</f>
        <v>4.0000000000000036E-2</v>
      </c>
    </row>
    <row r="66" spans="1:17">
      <c r="A66" s="277">
        <f t="shared" si="0"/>
        <v>56</v>
      </c>
      <c r="N66" s="383" t="s">
        <v>332</v>
      </c>
      <c r="O66" s="388">
        <v>0</v>
      </c>
      <c r="P66" s="385"/>
      <c r="Q66" s="388">
        <f>+'[1](JAP4)-Tariff Summary'!$F$67</f>
        <v>2.0000000000000052E-5</v>
      </c>
    </row>
    <row r="67" spans="1:17">
      <c r="A67" s="277">
        <f t="shared" si="0"/>
        <v>57</v>
      </c>
      <c r="N67" s="249" t="s">
        <v>250</v>
      </c>
      <c r="O67" s="250">
        <f>+'Sch 142'!$G$17</f>
        <v>1.408E-3</v>
      </c>
      <c r="P67" s="278"/>
      <c r="Q67" s="250">
        <f>+'Sch 142'!$G$17</f>
        <v>1.408E-3</v>
      </c>
    </row>
    <row r="68" spans="1:17">
      <c r="A68" s="277">
        <f t="shared" si="0"/>
        <v>58</v>
      </c>
      <c r="N68" s="249"/>
      <c r="O68" s="248"/>
      <c r="P68" s="248"/>
      <c r="Q68" s="248"/>
    </row>
    <row r="69" spans="1:17">
      <c r="A69" s="277">
        <f t="shared" si="0"/>
        <v>59</v>
      </c>
      <c r="N69" s="249" t="s">
        <v>341</v>
      </c>
      <c r="O69" s="248">
        <f>+'Sch 194'!E17</f>
        <v>-7.4058380000000005E-3</v>
      </c>
      <c r="Q69" s="248">
        <f>+O69</f>
        <v>-7.4058380000000005E-3</v>
      </c>
    </row>
    <row r="70" spans="1:17">
      <c r="A70" s="277">
        <f t="shared" si="0"/>
        <v>60</v>
      </c>
      <c r="N70" s="246" t="s">
        <v>385</v>
      </c>
      <c r="O70" s="245">
        <f>+'JAP-4 (ERF Impacts)'!V15</f>
        <v>7.1866986982197824E-3</v>
      </c>
    </row>
  </sheetData>
  <mergeCells count="3">
    <mergeCell ref="N12:O12"/>
    <mergeCell ref="P12:Q12"/>
    <mergeCell ref="G6:I6"/>
  </mergeCells>
  <printOptions horizontalCentered="1"/>
  <pageMargins left="0.7" right="0.7" top="0.75" bottom="0.75" header="0.3" footer="0.3"/>
  <pageSetup scale="5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0"/>
  <sheetViews>
    <sheetView zoomScale="90" zoomScaleNormal="90" zoomScaleSheetLayoutView="75" workbookViewId="0">
      <pane xSplit="1" ySplit="8" topLeftCell="B38" activePane="bottomRight" state="frozen"/>
      <selection pane="topRight" activeCell="B1" sqref="B1"/>
      <selection pane="bottomLeft" activeCell="A9" sqref="A9"/>
      <selection pane="bottomRight" activeCell="B44" sqref="B44"/>
    </sheetView>
  </sheetViews>
  <sheetFormatPr defaultColWidth="9.44140625" defaultRowHeight="13.8"/>
  <cols>
    <col min="1" max="1" width="8.5546875" style="233" bestFit="1" customWidth="1"/>
    <col min="2" max="2" width="11.5546875" style="233" customWidth="1"/>
    <col min="3" max="3" width="2.6640625" style="233" customWidth="1"/>
    <col min="4" max="4" width="13.6640625" style="233" bestFit="1" customWidth="1"/>
    <col min="5" max="5" width="9" style="233" bestFit="1" customWidth="1"/>
    <col min="6" max="6" width="3.88671875" style="233" customWidth="1"/>
    <col min="7" max="7" width="13" style="233" bestFit="1" customWidth="1"/>
    <col min="8" max="8" width="4" style="233" customWidth="1"/>
    <col min="9" max="9" width="14.33203125" style="233" bestFit="1" customWidth="1"/>
    <col min="10" max="10" width="5" style="233" customWidth="1"/>
    <col min="11" max="11" width="13.6640625" style="233" customWidth="1"/>
    <col min="12" max="12" width="2.6640625" style="233" customWidth="1"/>
    <col min="13" max="13" width="3.33203125" style="233" customWidth="1"/>
    <col min="14" max="14" width="34.44140625" style="233" customWidth="1"/>
    <col min="15" max="17" width="14.33203125" style="233" bestFit="1" customWidth="1"/>
    <col min="18" max="18" width="2.44140625" style="233" customWidth="1"/>
    <col min="19" max="19" width="7.5546875" style="233" customWidth="1"/>
    <col min="20" max="16384" width="9.44140625" style="233"/>
  </cols>
  <sheetData>
    <row r="1" spans="1:19" ht="20.399999999999999">
      <c r="B1" s="312" t="s">
        <v>0</v>
      </c>
      <c r="C1" s="312"/>
      <c r="D1" s="312"/>
      <c r="E1" s="312"/>
      <c r="F1" s="312"/>
      <c r="G1" s="312"/>
      <c r="H1" s="312"/>
      <c r="I1" s="312"/>
      <c r="J1" s="312"/>
      <c r="K1" s="312"/>
      <c r="L1" s="323"/>
      <c r="M1" s="323"/>
    </row>
    <row r="2" spans="1:19" ht="20.399999999999999">
      <c r="B2" s="312" t="s">
        <v>288</v>
      </c>
      <c r="C2" s="312"/>
      <c r="D2" s="312"/>
      <c r="E2" s="312"/>
      <c r="F2" s="312"/>
      <c r="G2" s="312"/>
      <c r="H2" s="312"/>
      <c r="I2" s="312"/>
      <c r="J2" s="312"/>
      <c r="K2" s="312"/>
      <c r="L2" s="323"/>
      <c r="M2" s="323"/>
    </row>
    <row r="3" spans="1:19" ht="20.399999999999999">
      <c r="B3" s="312" t="s">
        <v>352</v>
      </c>
      <c r="C3" s="312"/>
      <c r="D3" s="312"/>
      <c r="E3" s="312"/>
      <c r="F3" s="312"/>
      <c r="G3" s="312"/>
      <c r="H3" s="312"/>
      <c r="I3" s="312"/>
      <c r="J3" s="312"/>
      <c r="K3" s="312"/>
      <c r="L3" s="323"/>
      <c r="M3" s="323"/>
    </row>
    <row r="4" spans="1:19" ht="20.399999999999999">
      <c r="B4" s="324" t="s">
        <v>353</v>
      </c>
      <c r="C4" s="312"/>
      <c r="D4" s="312"/>
      <c r="E4" s="312"/>
      <c r="F4" s="312"/>
      <c r="G4" s="312"/>
      <c r="H4" s="312"/>
      <c r="I4" s="312"/>
      <c r="J4" s="312"/>
      <c r="K4" s="312"/>
      <c r="L4" s="323"/>
      <c r="M4" s="323"/>
    </row>
    <row r="5" spans="1:19">
      <c r="A5" s="281"/>
      <c r="B5" s="322"/>
    </row>
    <row r="6" spans="1:19" ht="15.6">
      <c r="A6" s="281"/>
      <c r="B6" s="320" t="s">
        <v>329</v>
      </c>
      <c r="C6" s="285"/>
      <c r="D6" s="285"/>
      <c r="E6" s="285"/>
      <c r="F6" s="285"/>
      <c r="G6" s="531" t="s">
        <v>328</v>
      </c>
      <c r="H6" s="532"/>
      <c r="I6" s="532"/>
      <c r="J6" s="285"/>
      <c r="K6" s="282"/>
      <c r="L6" s="281"/>
      <c r="M6" s="281"/>
    </row>
    <row r="7" spans="1:19" ht="15.6">
      <c r="A7" s="281"/>
      <c r="B7" s="321" t="s">
        <v>327</v>
      </c>
      <c r="C7" s="309"/>
      <c r="D7" s="320" t="s">
        <v>326</v>
      </c>
      <c r="E7" s="285"/>
      <c r="F7" s="285"/>
      <c r="G7" s="319" t="s">
        <v>325</v>
      </c>
      <c r="H7" s="282"/>
      <c r="I7" s="319" t="s">
        <v>29</v>
      </c>
      <c r="J7" s="285"/>
      <c r="K7" s="309" t="s">
        <v>304</v>
      </c>
      <c r="L7" s="281"/>
      <c r="M7" s="281"/>
    </row>
    <row r="8" spans="1:19" ht="15.6">
      <c r="A8" s="503" t="s">
        <v>3</v>
      </c>
      <c r="B8" s="306" t="s">
        <v>324</v>
      </c>
      <c r="C8" s="302"/>
      <c r="D8" s="318" t="s">
        <v>323</v>
      </c>
      <c r="E8" s="306" t="s">
        <v>284</v>
      </c>
      <c r="F8" s="285"/>
      <c r="G8" s="317" t="s">
        <v>416</v>
      </c>
      <c r="H8" s="317"/>
      <c r="I8" s="317" t="s">
        <v>417</v>
      </c>
      <c r="J8" s="285"/>
      <c r="K8" s="307" t="s">
        <v>33</v>
      </c>
      <c r="L8" s="281"/>
      <c r="M8" s="281"/>
    </row>
    <row r="9" spans="1:19" ht="15.6">
      <c r="A9" s="278"/>
      <c r="B9" s="318" t="s">
        <v>98</v>
      </c>
      <c r="C9" s="318"/>
      <c r="D9" s="318" t="s">
        <v>99</v>
      </c>
      <c r="E9" s="318" t="s">
        <v>100</v>
      </c>
      <c r="F9" s="318"/>
      <c r="G9" s="318" t="s">
        <v>101</v>
      </c>
      <c r="H9" s="318"/>
      <c r="I9" s="318" t="s">
        <v>220</v>
      </c>
      <c r="J9" s="318"/>
      <c r="K9" s="506" t="s">
        <v>508</v>
      </c>
      <c r="L9" s="505"/>
      <c r="M9" s="505"/>
      <c r="N9" s="505"/>
      <c r="O9" s="505" t="s">
        <v>222</v>
      </c>
      <c r="P9" s="505"/>
      <c r="Q9" s="505" t="s">
        <v>252</v>
      </c>
    </row>
    <row r="10" spans="1:19" s="278" customFormat="1" ht="16.2" thickBot="1">
      <c r="B10" s="285"/>
      <c r="C10" s="285"/>
      <c r="D10" s="285"/>
      <c r="E10" s="285"/>
      <c r="F10" s="285"/>
      <c r="G10" s="302"/>
      <c r="H10" s="302"/>
      <c r="I10" s="302"/>
      <c r="J10" s="282"/>
      <c r="K10" s="282"/>
    </row>
    <row r="11" spans="1:19" ht="15.6">
      <c r="A11" s="277">
        <v>1</v>
      </c>
      <c r="B11" s="285">
        <v>350</v>
      </c>
      <c r="C11" s="285"/>
      <c r="D11" s="285">
        <v>300</v>
      </c>
      <c r="E11" s="288">
        <f>ROUND((B$11*D11),0)</f>
        <v>105000</v>
      </c>
      <c r="F11" s="285"/>
      <c r="G11" s="286">
        <f>+O$13+$B11*O$19+$E11*O$15</f>
        <v>9961.73</v>
      </c>
      <c r="H11" s="286"/>
      <c r="I11" s="286">
        <f>+Q$13+$B11*Q$19+$E11*Q$15</f>
        <v>10026.529999999999</v>
      </c>
      <c r="J11" s="285"/>
      <c r="K11" s="283">
        <f>ROUND((+I11-G11)/G11,3)</f>
        <v>7.0000000000000001E-3</v>
      </c>
      <c r="L11" s="281"/>
      <c r="M11" s="281"/>
      <c r="N11" s="527" t="s">
        <v>301</v>
      </c>
      <c r="O11" s="529"/>
      <c r="P11" s="530" t="s">
        <v>300</v>
      </c>
      <c r="Q11" s="529"/>
      <c r="R11" s="280"/>
    </row>
    <row r="12" spans="1:19" ht="15.6">
      <c r="A12" s="277">
        <f>+A11+1</f>
        <v>2</v>
      </c>
      <c r="B12" s="285">
        <f>+B11</f>
        <v>350</v>
      </c>
      <c r="C12" s="285"/>
      <c r="D12" s="285">
        <v>500</v>
      </c>
      <c r="E12" s="288">
        <f>ROUND((B$11*D12),0)</f>
        <v>175000</v>
      </c>
      <c r="F12" s="285"/>
      <c r="G12" s="286">
        <f>+O$13+$B12*O$19+$E12*O$15</f>
        <v>14171.11</v>
      </c>
      <c r="H12" s="286"/>
      <c r="I12" s="286">
        <f>+Q$13+$B12*Q$19+$E12*Q$15</f>
        <v>14263.49</v>
      </c>
      <c r="J12" s="285"/>
      <c r="K12" s="283">
        <f>ROUND((+I12-G12)/G12,3)</f>
        <v>7.0000000000000001E-3</v>
      </c>
      <c r="L12" s="281"/>
      <c r="M12" s="281"/>
      <c r="N12" s="295"/>
      <c r="O12" s="300"/>
      <c r="P12" s="259"/>
      <c r="Q12" s="300"/>
      <c r="R12" s="280"/>
    </row>
    <row r="13" spans="1:19" ht="15.6">
      <c r="A13" s="277">
        <f t="shared" ref="A13:A47" si="0">+A12+1</f>
        <v>3</v>
      </c>
      <c r="B13" s="285">
        <f>+B12</f>
        <v>350</v>
      </c>
      <c r="C13" s="285"/>
      <c r="D13" s="285">
        <v>700</v>
      </c>
      <c r="E13" s="288">
        <f>ROUND((B$11*D13),0)</f>
        <v>245000</v>
      </c>
      <c r="F13" s="285"/>
      <c r="G13" s="286">
        <f>+O$13+$B13*O$19+$E13*O$15</f>
        <v>18380.489999999998</v>
      </c>
      <c r="H13" s="286"/>
      <c r="I13" s="286">
        <f>+Q$13+$B13*Q$19+$E13*Q$15</f>
        <v>18500.449999999997</v>
      </c>
      <c r="J13" s="285"/>
      <c r="K13" s="283">
        <f>ROUND((+I13-G13)/G13,3)</f>
        <v>7.0000000000000001E-3</v>
      </c>
      <c r="N13" s="295" t="s">
        <v>297</v>
      </c>
      <c r="O13" s="265">
        <f>SUM(O24,O38)</f>
        <v>343.66</v>
      </c>
      <c r="P13" s="295" t="str">
        <f>+N13</f>
        <v>Basic Charge</v>
      </c>
      <c r="Q13" s="265">
        <f>SUM(Q24,Q38)</f>
        <v>346.09</v>
      </c>
      <c r="R13" s="292"/>
      <c r="S13" s="258">
        <f>(Q13-O13)/O13</f>
        <v>7.0709422103240119E-3</v>
      </c>
    </row>
    <row r="14" spans="1:19">
      <c r="A14" s="277">
        <f t="shared" si="0"/>
        <v>4</v>
      </c>
      <c r="L14" s="281"/>
      <c r="M14" s="281"/>
      <c r="N14" s="295"/>
      <c r="O14" s="297"/>
      <c r="P14" s="299"/>
      <c r="Q14" s="297"/>
      <c r="R14" s="280"/>
    </row>
    <row r="15" spans="1:19" ht="15.6">
      <c r="A15" s="277">
        <f t="shared" si="0"/>
        <v>5</v>
      </c>
      <c r="B15" s="285">
        <f>+B13+50</f>
        <v>400</v>
      </c>
      <c r="C15" s="285"/>
      <c r="D15" s="285">
        <v>300</v>
      </c>
      <c r="E15" s="288">
        <f>ROUND((B$15*D15),0)</f>
        <v>120000</v>
      </c>
      <c r="F15" s="285"/>
      <c r="G15" s="286">
        <f>+O$13+$B15*O$19+$E15*O$15</f>
        <v>11335.74</v>
      </c>
      <c r="H15" s="286"/>
      <c r="I15" s="286">
        <f>+Q$13+$B15*Q$19+$E15*Q$15</f>
        <v>11409.45</v>
      </c>
      <c r="J15" s="285"/>
      <c r="K15" s="283">
        <f>ROUND((+I15-G15)/G15,3)</f>
        <v>7.0000000000000001E-3</v>
      </c>
      <c r="L15" s="281"/>
      <c r="M15" s="281"/>
      <c r="N15" s="296" t="s">
        <v>338</v>
      </c>
      <c r="O15" s="260">
        <f>SUM(O25,O31:O37,O44,O39)</f>
        <v>6.0134E-2</v>
      </c>
      <c r="P15" s="295" t="str">
        <f>+N15</f>
        <v>kWh - All</v>
      </c>
      <c r="Q15" s="260">
        <f>SUM(Q25,Q31:Q37,Q44,Q39)</f>
        <v>6.0527999999999998E-2</v>
      </c>
      <c r="R15" s="280"/>
      <c r="S15" s="258">
        <f>(Q15-O15)/O15</f>
        <v>6.5520337911996298E-3</v>
      </c>
    </row>
    <row r="16" spans="1:19" ht="15.6">
      <c r="A16" s="277">
        <f t="shared" si="0"/>
        <v>6</v>
      </c>
      <c r="B16" s="285">
        <f>+B15</f>
        <v>400</v>
      </c>
      <c r="C16" s="285"/>
      <c r="D16" s="285">
        <v>500</v>
      </c>
      <c r="E16" s="288">
        <f>ROUND((B$15*D16),0)</f>
        <v>200000</v>
      </c>
      <c r="F16" s="285"/>
      <c r="G16" s="286">
        <f>+O$13+$B16*O$19+$E16*O$15</f>
        <v>16146.46</v>
      </c>
      <c r="H16" s="286"/>
      <c r="I16" s="286">
        <f>+Q$13+$B16*Q$19+$E16*Q$15</f>
        <v>16251.69</v>
      </c>
      <c r="J16" s="285"/>
      <c r="K16" s="283">
        <f>ROUND((+I16-G16)/G16,3)</f>
        <v>7.0000000000000001E-3</v>
      </c>
      <c r="L16" s="281"/>
      <c r="M16" s="281"/>
      <c r="N16" s="296"/>
      <c r="O16" s="260"/>
      <c r="P16" s="296"/>
      <c r="Q16" s="260"/>
      <c r="R16" s="280"/>
      <c r="S16" s="264"/>
    </row>
    <row r="17" spans="1:19" ht="15.6">
      <c r="A17" s="277">
        <f t="shared" si="0"/>
        <v>7</v>
      </c>
      <c r="B17" s="285">
        <f>+B16</f>
        <v>400</v>
      </c>
      <c r="C17" s="285"/>
      <c r="D17" s="285">
        <v>700</v>
      </c>
      <c r="E17" s="288">
        <f>ROUND((B$15*D17),0)</f>
        <v>280000</v>
      </c>
      <c r="F17" s="285"/>
      <c r="G17" s="286">
        <f>+O$13+$B17*O$19+$E17*O$15</f>
        <v>20957.18</v>
      </c>
      <c r="H17" s="286"/>
      <c r="I17" s="286">
        <f>+Q$13+$B17*Q$19+$E17*Q$15</f>
        <v>21093.93</v>
      </c>
      <c r="J17" s="285"/>
      <c r="K17" s="283">
        <f>ROUND((+I17-G17)/G17,3)</f>
        <v>7.0000000000000001E-3</v>
      </c>
      <c r="N17" s="296" t="s">
        <v>337</v>
      </c>
      <c r="O17" s="316">
        <f>SUM(O26,O40,O45)</f>
        <v>11.38</v>
      </c>
      <c r="P17" s="295" t="str">
        <f>+N17</f>
        <v>Winter kW</v>
      </c>
      <c r="Q17" s="316">
        <f>SUM(Q26,Q40,Q45)</f>
        <v>11.459999999999999</v>
      </c>
      <c r="R17" s="280"/>
      <c r="S17" s="258">
        <f>(Q17-O17)/O17</f>
        <v>7.0298769771527493E-3</v>
      </c>
    </row>
    <row r="18" spans="1:19" ht="15.6">
      <c r="A18" s="277">
        <f t="shared" si="0"/>
        <v>8</v>
      </c>
      <c r="B18" s="285"/>
      <c r="C18" s="285"/>
      <c r="D18" s="285"/>
      <c r="E18" s="285"/>
      <c r="F18" s="285"/>
      <c r="G18" s="286"/>
      <c r="H18" s="286"/>
      <c r="I18" s="286"/>
      <c r="J18" s="282"/>
      <c r="K18" s="284"/>
      <c r="L18" s="281"/>
      <c r="M18" s="281"/>
      <c r="N18" s="296" t="s">
        <v>336</v>
      </c>
      <c r="O18" s="316">
        <f>SUM(O27,O41,O45)</f>
        <v>7.56</v>
      </c>
      <c r="P18" s="295" t="str">
        <f>+N18</f>
        <v>Summer kW</v>
      </c>
      <c r="Q18" s="316">
        <f>SUM(Q27,Q41,Q45)</f>
        <v>7.61</v>
      </c>
      <c r="R18" s="280"/>
      <c r="S18" s="258">
        <f>(Q18-O18)/O18</f>
        <v>6.6137566137567079E-3</v>
      </c>
    </row>
    <row r="19" spans="1:19" ht="15.6">
      <c r="A19" s="277">
        <f t="shared" si="0"/>
        <v>9</v>
      </c>
      <c r="B19" s="285">
        <f>+B17+100</f>
        <v>500</v>
      </c>
      <c r="C19" s="285"/>
      <c r="D19" s="285">
        <v>300</v>
      </c>
      <c r="E19" s="288">
        <f>ROUND((B$19*D19),0)</f>
        <v>150000</v>
      </c>
      <c r="F19" s="285"/>
      <c r="G19" s="286">
        <f>+O$13+$B19*O$19+$E19*O$15</f>
        <v>14083.76</v>
      </c>
      <c r="H19" s="286"/>
      <c r="I19" s="286">
        <f>+Q$13+$B19*Q$19+$E19*Q$15</f>
        <v>14175.289999999999</v>
      </c>
      <c r="J19" s="285"/>
      <c r="K19" s="283">
        <f>ROUND((+I19-G19)/G19,3)</f>
        <v>6.0000000000000001E-3</v>
      </c>
      <c r="L19" s="281"/>
      <c r="M19" s="281"/>
      <c r="N19" s="296" t="s">
        <v>335</v>
      </c>
      <c r="O19" s="316">
        <f>ROUND(SUM(O28,O45,O42),2)</f>
        <v>9.44</v>
      </c>
      <c r="P19" s="295" t="str">
        <f>+N19</f>
        <v>Average kW</v>
      </c>
      <c r="Q19" s="316">
        <f>ROUND(SUM(Q28,Q45,Q42),2)</f>
        <v>9.5</v>
      </c>
      <c r="R19" s="280"/>
      <c r="S19" s="258">
        <f>(Q19-O19)/O19</f>
        <v>6.3559322033898838E-3</v>
      </c>
    </row>
    <row r="20" spans="1:19" ht="15.6">
      <c r="A20" s="277">
        <f t="shared" si="0"/>
        <v>10</v>
      </c>
      <c r="B20" s="285">
        <f>+B19</f>
        <v>500</v>
      </c>
      <c r="C20" s="285"/>
      <c r="D20" s="285">
        <v>500</v>
      </c>
      <c r="E20" s="288">
        <f>ROUND((B$19*D20),0)</f>
        <v>250000</v>
      </c>
      <c r="F20" s="285"/>
      <c r="G20" s="286">
        <f>+O$13+$B20*O$19+$E20*O$15</f>
        <v>20097.16</v>
      </c>
      <c r="H20" s="286"/>
      <c r="I20" s="286">
        <f>+Q$13+$B20*Q$19+$E20*Q$15</f>
        <v>20228.09</v>
      </c>
      <c r="J20" s="285"/>
      <c r="K20" s="283">
        <f>ROUND((+I20-G20)/G20,3)</f>
        <v>7.0000000000000001E-3</v>
      </c>
      <c r="L20" s="281"/>
      <c r="M20" s="281"/>
      <c r="N20" s="295"/>
      <c r="O20" s="260"/>
      <c r="P20" s="295"/>
      <c r="Q20" s="260"/>
      <c r="R20" s="280"/>
    </row>
    <row r="21" spans="1:19" ht="15.6">
      <c r="A21" s="277">
        <f t="shared" si="0"/>
        <v>11</v>
      </c>
      <c r="B21" s="285">
        <f>+B20</f>
        <v>500</v>
      </c>
      <c r="C21" s="285"/>
      <c r="D21" s="285">
        <v>700</v>
      </c>
      <c r="E21" s="288">
        <f>ROUND((B$19*D21),0)</f>
        <v>350000</v>
      </c>
      <c r="F21" s="285"/>
      <c r="G21" s="286">
        <f>+O$13+$B21*O$19+$E21*O$15</f>
        <v>26110.560000000001</v>
      </c>
      <c r="H21" s="286"/>
      <c r="I21" s="286">
        <f>+Q$13+$B21*Q$19+$E21*Q$15</f>
        <v>26280.89</v>
      </c>
      <c r="J21" s="285"/>
      <c r="K21" s="283">
        <f>ROUND((+I21-G21)/G21,3)</f>
        <v>7.0000000000000001E-3</v>
      </c>
      <c r="N21" s="295" t="s">
        <v>314</v>
      </c>
      <c r="O21" s="315">
        <f>SUM(O29,O43)</f>
        <v>1.07E-3</v>
      </c>
      <c r="P21" s="295" t="str">
        <f>+N21</f>
        <v>kVarh</v>
      </c>
      <c r="Q21" s="315">
        <f>SUM(Q29,Q43)</f>
        <v>1.08E-3</v>
      </c>
      <c r="R21" s="280"/>
      <c r="S21" s="258">
        <f>(Q21-O21)/O21</f>
        <v>9.3457943925233898E-3</v>
      </c>
    </row>
    <row r="22" spans="1:19" ht="16.2" thickBot="1">
      <c r="A22" s="277">
        <f t="shared" si="0"/>
        <v>12</v>
      </c>
      <c r="B22" s="285"/>
      <c r="C22" s="285"/>
      <c r="D22" s="285"/>
      <c r="E22" s="285"/>
      <c r="F22" s="285"/>
      <c r="G22" s="286"/>
      <c r="H22" s="286"/>
      <c r="I22" s="286"/>
      <c r="J22" s="282"/>
      <c r="K22" s="284"/>
      <c r="L22" s="281"/>
      <c r="M22" s="281"/>
      <c r="N22" s="294" t="s">
        <v>24</v>
      </c>
      <c r="O22" s="293" t="s">
        <v>24</v>
      </c>
      <c r="P22" s="294" t="s">
        <v>24</v>
      </c>
      <c r="Q22" s="293" t="s">
        <v>24</v>
      </c>
      <c r="R22" s="280"/>
    </row>
    <row r="23" spans="1:19" ht="15.6">
      <c r="A23" s="277">
        <f t="shared" si="0"/>
        <v>13</v>
      </c>
      <c r="B23" s="285">
        <f>+B21+100</f>
        <v>600</v>
      </c>
      <c r="C23" s="285"/>
      <c r="D23" s="285">
        <v>300</v>
      </c>
      <c r="E23" s="288">
        <f>ROUND((B$23*D23),0)</f>
        <v>180000</v>
      </c>
      <c r="F23" s="285"/>
      <c r="G23" s="286">
        <f>+O$13+$B23*O$19+$E23*O$15</f>
        <v>16831.78</v>
      </c>
      <c r="H23" s="286"/>
      <c r="I23" s="286">
        <f>+Q$13+$B23*Q$19+$E23*Q$15</f>
        <v>16941.129999999997</v>
      </c>
      <c r="J23" s="285"/>
      <c r="K23" s="283">
        <f>ROUND((+I23-G23)/G23,3)</f>
        <v>6.0000000000000001E-3</v>
      </c>
      <c r="L23" s="281"/>
      <c r="M23" s="281"/>
      <c r="R23" s="280"/>
    </row>
    <row r="24" spans="1:19" ht="15.6">
      <c r="A24" s="277">
        <f t="shared" si="0"/>
        <v>14</v>
      </c>
      <c r="B24" s="285">
        <f>+B23</f>
        <v>600</v>
      </c>
      <c r="C24" s="285"/>
      <c r="D24" s="285">
        <v>500</v>
      </c>
      <c r="E24" s="288">
        <f>ROUND((B$23*D24),0)</f>
        <v>300000</v>
      </c>
      <c r="F24" s="285"/>
      <c r="G24" s="286">
        <f>+O$13+$B24*O$19+$E24*O$15</f>
        <v>24047.86</v>
      </c>
      <c r="H24" s="286"/>
      <c r="I24" s="286">
        <f>+Q$13+$B24*Q$19+$E24*Q$15</f>
        <v>24204.489999999998</v>
      </c>
      <c r="J24" s="285"/>
      <c r="K24" s="283">
        <f>ROUND((+I24-G24)/G24,3)</f>
        <v>7.0000000000000001E-3</v>
      </c>
      <c r="L24" s="281"/>
      <c r="M24" s="281"/>
      <c r="N24" s="233" t="str">
        <f>+N13</f>
        <v>Basic Charge</v>
      </c>
      <c r="O24" s="387">
        <f>+'[1](JAP4)-Tariff Summary'!$D$70</f>
        <v>343.66</v>
      </c>
      <c r="P24" s="387"/>
      <c r="Q24" s="387">
        <f>+O24</f>
        <v>343.66</v>
      </c>
      <c r="R24" s="280"/>
    </row>
    <row r="25" spans="1:19" ht="15.6">
      <c r="A25" s="277">
        <f t="shared" si="0"/>
        <v>15</v>
      </c>
      <c r="B25" s="285">
        <f>+B24</f>
        <v>600</v>
      </c>
      <c r="C25" s="285"/>
      <c r="D25" s="285">
        <v>700</v>
      </c>
      <c r="E25" s="288">
        <f>ROUND((B$23*D25),0)</f>
        <v>420000</v>
      </c>
      <c r="F25" s="285"/>
      <c r="G25" s="286">
        <f>+O$13+$B25*O$19+$E25*O$15</f>
        <v>31263.94</v>
      </c>
      <c r="H25" s="286"/>
      <c r="I25" s="286">
        <f>+Q$13+$B25*Q$19+$E25*Q$15</f>
        <v>31467.85</v>
      </c>
      <c r="J25" s="285"/>
      <c r="K25" s="283">
        <f>ROUND((+I25-G25)/G25,3)</f>
        <v>7.0000000000000001E-3</v>
      </c>
      <c r="N25" s="233" t="str">
        <f>+N15</f>
        <v>kWh - All</v>
      </c>
      <c r="O25" s="387">
        <f>+'[1](JAP4)-Tariff Summary'!$D$72</f>
        <v>5.5014E-2</v>
      </c>
      <c r="P25" s="387"/>
      <c r="Q25" s="387">
        <f t="shared" ref="Q25:Q29" si="1">+O25</f>
        <v>5.5014E-2</v>
      </c>
      <c r="R25" s="280"/>
    </row>
    <row r="26" spans="1:19" ht="15.6">
      <c r="A26" s="277">
        <f t="shared" si="0"/>
        <v>16</v>
      </c>
      <c r="B26" s="285"/>
      <c r="C26" s="285"/>
      <c r="D26" s="285"/>
      <c r="E26" s="285"/>
      <c r="F26" s="285"/>
      <c r="G26" s="286"/>
      <c r="H26" s="286"/>
      <c r="I26" s="286"/>
      <c r="J26" s="282"/>
      <c r="K26" s="284"/>
      <c r="L26" s="281"/>
      <c r="M26" s="281"/>
      <c r="N26" s="233" t="str">
        <f>+N17</f>
        <v>Winter kW</v>
      </c>
      <c r="O26" s="387">
        <f>+'[1](JAP4)-Tariff Summary'!$D$74</f>
        <v>11.46</v>
      </c>
      <c r="P26" s="387"/>
      <c r="Q26" s="387">
        <f t="shared" si="1"/>
        <v>11.46</v>
      </c>
      <c r="R26" s="280"/>
    </row>
    <row r="27" spans="1:19" ht="15.6">
      <c r="A27" s="277">
        <f t="shared" si="0"/>
        <v>17</v>
      </c>
      <c r="B27" s="285">
        <f>+B25+100</f>
        <v>700</v>
      </c>
      <c r="C27" s="285"/>
      <c r="D27" s="285">
        <v>300</v>
      </c>
      <c r="E27" s="288">
        <f>ROUND((B$27*D27),0)</f>
        <v>210000</v>
      </c>
      <c r="F27" s="285"/>
      <c r="G27" s="286">
        <f>+O$13+$B27*O$19+$E27*O$15</f>
        <v>19579.8</v>
      </c>
      <c r="H27" s="286"/>
      <c r="I27" s="286">
        <f>+Q$13+$B27*Q$19+$E27*Q$15</f>
        <v>19706.97</v>
      </c>
      <c r="J27" s="285"/>
      <c r="K27" s="283">
        <f>ROUND((+I27-G27)/G27,3)</f>
        <v>6.0000000000000001E-3</v>
      </c>
      <c r="L27" s="281"/>
      <c r="M27" s="281"/>
      <c r="N27" s="233" t="str">
        <f t="shared" ref="N27:N28" si="2">+N18</f>
        <v>Summer kW</v>
      </c>
      <c r="O27" s="387">
        <f>+'[1](JAP4)-Tariff Summary'!$D$75</f>
        <v>7.64</v>
      </c>
      <c r="P27" s="387"/>
      <c r="Q27" s="387">
        <f t="shared" si="1"/>
        <v>7.64</v>
      </c>
      <c r="R27" s="280"/>
    </row>
    <row r="28" spans="1:19" ht="15.6">
      <c r="A28" s="277">
        <f t="shared" si="0"/>
        <v>18</v>
      </c>
      <c r="B28" s="285">
        <f>+B27</f>
        <v>700</v>
      </c>
      <c r="C28" s="285"/>
      <c r="D28" s="285">
        <v>500</v>
      </c>
      <c r="E28" s="288">
        <f>ROUND((B$27*D28),0)</f>
        <v>350000</v>
      </c>
      <c r="F28" s="285"/>
      <c r="G28" s="286">
        <f>+O$13+$B28*O$19+$E28*O$15</f>
        <v>27998.560000000001</v>
      </c>
      <c r="H28" s="286"/>
      <c r="I28" s="286">
        <f>+Q$13+$B28*Q$19+$E28*Q$15</f>
        <v>28180.89</v>
      </c>
      <c r="J28" s="285"/>
      <c r="K28" s="283">
        <f>ROUND((+I28-G28)/G28,3)</f>
        <v>7.0000000000000001E-3</v>
      </c>
      <c r="L28" s="281"/>
      <c r="M28" s="281"/>
      <c r="N28" s="233" t="str">
        <f t="shared" si="2"/>
        <v>Average kW</v>
      </c>
      <c r="O28" s="387">
        <f>+'[1](JAP4) PriVolt RD'!$D$31</f>
        <v>9.52</v>
      </c>
      <c r="P28" s="387"/>
      <c r="Q28" s="387">
        <f t="shared" si="1"/>
        <v>9.52</v>
      </c>
      <c r="R28" s="280"/>
    </row>
    <row r="29" spans="1:19" ht="15.6">
      <c r="A29" s="277">
        <f t="shared" si="0"/>
        <v>19</v>
      </c>
      <c r="B29" s="285">
        <f>+B28</f>
        <v>700</v>
      </c>
      <c r="C29" s="285"/>
      <c r="D29" s="285">
        <v>700</v>
      </c>
      <c r="E29" s="288">
        <f>ROUND((B$27*D29),0)</f>
        <v>490000</v>
      </c>
      <c r="F29" s="285"/>
      <c r="G29" s="286">
        <f>+O$13+$B29*O$19+$E29*O$15</f>
        <v>36417.32</v>
      </c>
      <c r="H29" s="286"/>
      <c r="I29" s="286">
        <f>+Q$13+$B29*Q$19+$E29*Q$15</f>
        <v>36654.81</v>
      </c>
      <c r="J29" s="285"/>
      <c r="K29" s="283">
        <f>ROUND((+I29-G29)/G29,3)</f>
        <v>7.0000000000000001E-3</v>
      </c>
      <c r="N29" s="233" t="str">
        <f>+N21</f>
        <v>kVarh</v>
      </c>
      <c r="O29" s="387">
        <f>+'[1](JAP4)-Tariff Summary'!$D$77</f>
        <v>1.07E-3</v>
      </c>
      <c r="P29" s="387"/>
      <c r="Q29" s="387">
        <f t="shared" si="1"/>
        <v>1.07E-3</v>
      </c>
      <c r="R29" s="280"/>
    </row>
    <row r="30" spans="1:19" ht="15.6">
      <c r="A30" s="277">
        <f t="shared" si="0"/>
        <v>20</v>
      </c>
      <c r="B30" s="285"/>
      <c r="C30" s="285"/>
      <c r="D30" s="285"/>
      <c r="E30" s="285"/>
      <c r="F30" s="285"/>
      <c r="G30" s="286"/>
      <c r="H30" s="286"/>
      <c r="I30" s="286"/>
      <c r="J30" s="282"/>
      <c r="K30" s="284"/>
      <c r="L30" s="281"/>
      <c r="M30" s="281"/>
    </row>
    <row r="31" spans="1:19" ht="15.6">
      <c r="A31" s="277">
        <f t="shared" si="0"/>
        <v>21</v>
      </c>
      <c r="B31" s="285">
        <f>+B29+100</f>
        <v>800</v>
      </c>
      <c r="C31" s="285"/>
      <c r="D31" s="285">
        <v>300</v>
      </c>
      <c r="E31" s="288">
        <f>ROUND((B$31*D31),0)</f>
        <v>240000</v>
      </c>
      <c r="F31" s="285"/>
      <c r="G31" s="286">
        <f>+O$13+$B31*O$19+$E31*O$15</f>
        <v>22327.82</v>
      </c>
      <c r="H31" s="286"/>
      <c r="I31" s="286">
        <f>+Q$13+$B31*Q$19+$E31*Q$15</f>
        <v>22472.809999999998</v>
      </c>
      <c r="J31" s="285"/>
      <c r="K31" s="283">
        <f>ROUND((+I31-G31)/G31,3)</f>
        <v>6.0000000000000001E-3</v>
      </c>
      <c r="L31" s="281"/>
      <c r="M31" s="281"/>
      <c r="N31" s="249" t="s">
        <v>276</v>
      </c>
      <c r="O31" s="250">
        <v>0</v>
      </c>
      <c r="Q31" s="250">
        <v>0</v>
      </c>
    </row>
    <row r="32" spans="1:19" ht="15.6">
      <c r="A32" s="277">
        <f t="shared" si="0"/>
        <v>22</v>
      </c>
      <c r="B32" s="285">
        <f>+B31</f>
        <v>800</v>
      </c>
      <c r="C32" s="285"/>
      <c r="D32" s="285">
        <v>500</v>
      </c>
      <c r="E32" s="288">
        <f>ROUND((B$31*D32),0)</f>
        <v>400000</v>
      </c>
      <c r="F32" s="285"/>
      <c r="G32" s="286">
        <f>+O$13+$B32*O$19+$E32*O$15</f>
        <v>31949.26</v>
      </c>
      <c r="H32" s="286"/>
      <c r="I32" s="286">
        <f>+Q$13+$B32*Q$19+$E32*Q$15</f>
        <v>32157.29</v>
      </c>
      <c r="J32" s="285"/>
      <c r="K32" s="283">
        <f>ROUND((+I32-G32)/G32,3)</f>
        <v>7.0000000000000001E-3</v>
      </c>
      <c r="L32" s="281"/>
      <c r="M32" s="281"/>
      <c r="N32" s="249" t="s">
        <v>275</v>
      </c>
      <c r="O32" s="250">
        <f>+'Sch 95a'!$H$21</f>
        <v>-1.668E-3</v>
      </c>
      <c r="P32" s="278"/>
      <c r="Q32" s="250">
        <f>+O32</f>
        <v>-1.668E-3</v>
      </c>
    </row>
    <row r="33" spans="1:17" ht="15.6">
      <c r="A33" s="277">
        <f t="shared" si="0"/>
        <v>23</v>
      </c>
      <c r="B33" s="285">
        <f>+B32</f>
        <v>800</v>
      </c>
      <c r="C33" s="285"/>
      <c r="D33" s="285">
        <v>700</v>
      </c>
      <c r="E33" s="288">
        <f>ROUND((B$31*D33),0)</f>
        <v>560000</v>
      </c>
      <c r="F33" s="285"/>
      <c r="G33" s="286">
        <f>+O$13+$B33*O$19+$E33*O$15</f>
        <v>41570.699999999997</v>
      </c>
      <c r="H33" s="286"/>
      <c r="I33" s="286">
        <f>+Q$13+$B33*Q$19+$E33*Q$15</f>
        <v>41841.770000000004</v>
      </c>
      <c r="J33" s="285"/>
      <c r="K33" s="283">
        <f>ROUND((+I33-G33)/G33,3)</f>
        <v>7.0000000000000001E-3</v>
      </c>
      <c r="N33" s="249" t="s">
        <v>274</v>
      </c>
      <c r="O33" s="250">
        <f>+'Sch 120'!$H$21</f>
        <v>4.1520000000000003E-3</v>
      </c>
      <c r="P33" s="278"/>
      <c r="Q33" s="250">
        <f t="shared" ref="Q33:Q37" si="3">+O33</f>
        <v>4.1520000000000003E-3</v>
      </c>
    </row>
    <row r="34" spans="1:17" ht="15.6">
      <c r="A34" s="277">
        <f t="shared" si="0"/>
        <v>24</v>
      </c>
      <c r="B34" s="285"/>
      <c r="C34" s="285"/>
      <c r="D34" s="285"/>
      <c r="E34" s="285"/>
      <c r="F34" s="285"/>
      <c r="G34" s="286"/>
      <c r="H34" s="286"/>
      <c r="I34" s="286"/>
      <c r="J34" s="282"/>
      <c r="K34" s="284"/>
      <c r="L34" s="281"/>
      <c r="M34" s="281"/>
      <c r="N34" s="249" t="s">
        <v>209</v>
      </c>
      <c r="O34" s="250">
        <f>+'Sch 129'!G21</f>
        <v>7.0399999999999998E-4</v>
      </c>
      <c r="P34" s="278"/>
      <c r="Q34" s="250">
        <f t="shared" si="3"/>
        <v>7.0399999999999998E-4</v>
      </c>
    </row>
    <row r="35" spans="1:17" ht="15.6">
      <c r="A35" s="277">
        <f t="shared" si="0"/>
        <v>25</v>
      </c>
      <c r="B35" s="285">
        <f>+B33+200</f>
        <v>1000</v>
      </c>
      <c r="C35" s="285"/>
      <c r="D35" s="285">
        <v>300</v>
      </c>
      <c r="E35" s="288">
        <f>ROUND((B$35*D35),0)</f>
        <v>300000</v>
      </c>
      <c r="F35" s="285"/>
      <c r="G35" s="286">
        <f>+O$13+$B35*O$19+$E35*O$15</f>
        <v>27823.86</v>
      </c>
      <c r="H35" s="286"/>
      <c r="I35" s="286">
        <f>+Q$13+$B35*Q$19+$E35*Q$15</f>
        <v>28004.489999999998</v>
      </c>
      <c r="J35" s="285"/>
      <c r="K35" s="283">
        <f>ROUND((+I35-G35)/G35,3)</f>
        <v>6.0000000000000001E-3</v>
      </c>
      <c r="L35" s="281"/>
      <c r="M35" s="281"/>
      <c r="N35" s="249" t="s">
        <v>210</v>
      </c>
      <c r="O35" s="250">
        <f>+'Sch 132'!E21</f>
        <v>-2.3800000000000001E-4</v>
      </c>
      <c r="P35" s="278"/>
      <c r="Q35" s="250">
        <f t="shared" si="3"/>
        <v>-2.3800000000000001E-4</v>
      </c>
    </row>
    <row r="36" spans="1:17" ht="15.6">
      <c r="A36" s="277">
        <f t="shared" si="0"/>
        <v>26</v>
      </c>
      <c r="B36" s="285">
        <f>+B35</f>
        <v>1000</v>
      </c>
      <c r="C36" s="285"/>
      <c r="D36" s="285">
        <v>500</v>
      </c>
      <c r="E36" s="288">
        <f>ROUND((B$35*D36),0)</f>
        <v>500000</v>
      </c>
      <c r="F36" s="285"/>
      <c r="G36" s="286">
        <f>+O$13+$B36*O$19+$E36*O$15</f>
        <v>39850.660000000003</v>
      </c>
      <c r="H36" s="286"/>
      <c r="I36" s="286">
        <f>+Q$13+$B36*Q$19+$E36*Q$15</f>
        <v>40110.089999999997</v>
      </c>
      <c r="J36" s="285"/>
      <c r="K36" s="283">
        <f>ROUND((+I36-G36)/G36,3)</f>
        <v>7.0000000000000001E-3</v>
      </c>
      <c r="L36" s="281"/>
      <c r="M36" s="281"/>
      <c r="N36" s="249" t="s">
        <v>272</v>
      </c>
      <c r="O36" s="250">
        <f>+'Sch 137'!E21</f>
        <v>-2.8E-5</v>
      </c>
      <c r="P36" s="278"/>
      <c r="Q36" s="250">
        <f t="shared" si="3"/>
        <v>-2.8E-5</v>
      </c>
    </row>
    <row r="37" spans="1:17" ht="15.6">
      <c r="A37" s="277">
        <f t="shared" si="0"/>
        <v>27</v>
      </c>
      <c r="B37" s="285">
        <f>+B36</f>
        <v>1000</v>
      </c>
      <c r="C37" s="285"/>
      <c r="D37" s="285">
        <v>700</v>
      </c>
      <c r="E37" s="288">
        <f>ROUND((B$35*D37),0)</f>
        <v>700000</v>
      </c>
      <c r="F37" s="285"/>
      <c r="G37" s="286">
        <f>+O$13+$B37*O$19+$E37*O$15</f>
        <v>51877.460000000006</v>
      </c>
      <c r="H37" s="286"/>
      <c r="I37" s="286">
        <f>+Q$13+$B37*Q$19+$E37*Q$15</f>
        <v>52215.69</v>
      </c>
      <c r="J37" s="285"/>
      <c r="K37" s="283">
        <f>ROUND((+I37-G37)/G37,3)</f>
        <v>7.0000000000000001E-3</v>
      </c>
      <c r="N37" s="249" t="s">
        <v>241</v>
      </c>
      <c r="O37" s="250">
        <f>+'Sch 140'!$H$21</f>
        <v>2.2539999999999999E-3</v>
      </c>
      <c r="P37" s="278"/>
      <c r="Q37" s="250">
        <f t="shared" si="3"/>
        <v>2.2539999999999999E-3</v>
      </c>
    </row>
    <row r="38" spans="1:17" ht="15.6">
      <c r="A38" s="277">
        <f t="shared" si="0"/>
        <v>28</v>
      </c>
      <c r="B38" s="314"/>
      <c r="C38" s="314"/>
      <c r="D38" s="314"/>
      <c r="E38" s="314"/>
      <c r="F38" s="314"/>
      <c r="G38" s="314"/>
      <c r="H38" s="314"/>
      <c r="I38" s="314"/>
      <c r="J38" s="313"/>
      <c r="K38" s="313"/>
      <c r="L38" s="281"/>
      <c r="M38" s="281"/>
      <c r="N38" s="485" t="s">
        <v>313</v>
      </c>
      <c r="O38" s="486">
        <v>0</v>
      </c>
      <c r="P38" s="487"/>
      <c r="Q38" s="488">
        <f>+'[1](JAP4)-Tariff Summary'!$F$70</f>
        <v>2.42999999999995</v>
      </c>
    </row>
    <row r="39" spans="1:17" ht="15.6">
      <c r="A39" s="277">
        <f t="shared" si="0"/>
        <v>29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N39" s="485" t="s">
        <v>355</v>
      </c>
      <c r="O39" s="486">
        <v>0</v>
      </c>
      <c r="P39" s="487"/>
      <c r="Q39" s="488">
        <f>+'[1](JAP4)-Tariff Summary'!$F$72</f>
        <v>3.9399999999999852E-4</v>
      </c>
    </row>
    <row r="40" spans="1:17" ht="15.6">
      <c r="A40" s="277">
        <f t="shared" si="0"/>
        <v>30</v>
      </c>
      <c r="B40" s="282" t="s">
        <v>266</v>
      </c>
      <c r="C40" s="282"/>
      <c r="D40" s="282"/>
      <c r="E40" s="282"/>
      <c r="F40" s="282"/>
      <c r="G40" s="282"/>
      <c r="H40" s="282"/>
      <c r="I40" s="282"/>
      <c r="J40" s="282"/>
      <c r="K40" s="282"/>
      <c r="N40" s="485" t="s">
        <v>334</v>
      </c>
      <c r="O40" s="486">
        <v>0</v>
      </c>
      <c r="P40" s="487"/>
      <c r="Q40" s="488">
        <f>+'[1](JAP4)-Tariff Summary'!$F$74</f>
        <v>7.9999999999998295E-2</v>
      </c>
    </row>
    <row r="41" spans="1:17" ht="16.2">
      <c r="A41" s="277">
        <f t="shared" si="0"/>
        <v>31</v>
      </c>
      <c r="B41" s="409" t="s">
        <v>410</v>
      </c>
      <c r="C41" s="282"/>
      <c r="D41" s="282"/>
      <c r="E41" s="282"/>
      <c r="F41" s="282"/>
      <c r="G41" s="282"/>
      <c r="H41" s="282"/>
      <c r="I41" s="282"/>
      <c r="J41" s="282"/>
      <c r="K41" s="282"/>
      <c r="N41" s="485" t="s">
        <v>333</v>
      </c>
      <c r="O41" s="486">
        <v>0</v>
      </c>
      <c r="P41" s="487"/>
      <c r="Q41" s="488">
        <f>+'[1](JAP4)-Tariff Summary'!$F$75</f>
        <v>5.0000000000000711E-2</v>
      </c>
    </row>
    <row r="42" spans="1:17" ht="15.6">
      <c r="A42" s="277">
        <f t="shared" si="0"/>
        <v>32</v>
      </c>
      <c r="B42" s="409" t="s">
        <v>413</v>
      </c>
      <c r="N42" s="485" t="s">
        <v>482</v>
      </c>
      <c r="O42" s="486">
        <v>0</v>
      </c>
      <c r="P42" s="487"/>
      <c r="Q42" s="488">
        <f>+'[1](JAP4) PriVolt RD'!$G$31-'[1](JAP4) PriVolt RD'!$D$31</f>
        <v>6.0000000000000497E-2</v>
      </c>
    </row>
    <row r="43" spans="1:17" ht="15.6">
      <c r="A43" s="277">
        <f t="shared" si="0"/>
        <v>33</v>
      </c>
      <c r="B43" s="474" t="s">
        <v>420</v>
      </c>
      <c r="N43" s="485" t="s">
        <v>332</v>
      </c>
      <c r="O43" s="489">
        <v>0</v>
      </c>
      <c r="P43" s="487"/>
      <c r="Q43" s="488">
        <f>+'[1](JAP4)-Tariff Summary'!$F$77</f>
        <v>1.0000000000000026E-5</v>
      </c>
    </row>
    <row r="44" spans="1:17" ht="15.6">
      <c r="A44" s="277">
        <f t="shared" si="0"/>
        <v>34</v>
      </c>
      <c r="B44" s="517" t="s">
        <v>511</v>
      </c>
      <c r="N44" s="249" t="s">
        <v>354</v>
      </c>
      <c r="O44" s="250">
        <f>+'Sch 142'!$G$21</f>
        <v>-5.5999999999999999E-5</v>
      </c>
      <c r="P44" s="278"/>
      <c r="Q44" s="250">
        <f t="shared" ref="Q44:Q45" si="4">+O44</f>
        <v>-5.5999999999999999E-5</v>
      </c>
    </row>
    <row r="45" spans="1:17">
      <c r="A45" s="277">
        <f t="shared" si="0"/>
        <v>35</v>
      </c>
      <c r="N45" s="249" t="s">
        <v>331</v>
      </c>
      <c r="O45" s="250">
        <f>+'Sch 142'!$H$21</f>
        <v>-0.08</v>
      </c>
      <c r="P45" s="278"/>
      <c r="Q45" s="250">
        <f t="shared" si="4"/>
        <v>-0.08</v>
      </c>
    </row>
    <row r="46" spans="1:17">
      <c r="A46" s="277">
        <f t="shared" si="0"/>
        <v>36</v>
      </c>
    </row>
    <row r="47" spans="1:17">
      <c r="A47" s="277">
        <f t="shared" si="0"/>
        <v>37</v>
      </c>
      <c r="N47" s="246" t="s">
        <v>385</v>
      </c>
      <c r="O47" s="245">
        <f>+'JAP-4 (ERF Impacts)'!V18</f>
        <v>6.6782729068209932E-3</v>
      </c>
    </row>
    <row r="48" spans="1:17">
      <c r="A48" s="281"/>
    </row>
    <row r="49" spans="1:1">
      <c r="A49" s="281"/>
    </row>
    <row r="50" spans="1:1">
      <c r="A50" s="281"/>
    </row>
  </sheetData>
  <mergeCells count="3">
    <mergeCell ref="G6:I6"/>
    <mergeCell ref="N11:O11"/>
    <mergeCell ref="P11:Q11"/>
  </mergeCells>
  <printOptions horizontalCentered="1"/>
  <pageMargins left="0.7" right="0.7" top="0.75" bottom="0.75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2"/>
  <sheetViews>
    <sheetView zoomScaleNormal="100" workbookViewId="0">
      <pane xSplit="1" ySplit="9" topLeftCell="B37" activePane="bottomRight" state="frozen"/>
      <selection pane="topRight" activeCell="B1" sqref="B1"/>
      <selection pane="bottomLeft" activeCell="A13" sqref="A13"/>
      <selection pane="bottomRight" activeCell="B39" sqref="B39"/>
    </sheetView>
  </sheetViews>
  <sheetFormatPr defaultColWidth="9.44140625" defaultRowHeight="13.8"/>
  <cols>
    <col min="1" max="1" width="8.109375" style="233" bestFit="1" customWidth="1"/>
    <col min="2" max="2" width="11.6640625" style="233" customWidth="1"/>
    <col min="3" max="3" width="12.44140625" style="233" bestFit="1" customWidth="1"/>
    <col min="4" max="4" width="3.5546875" style="233" customWidth="1"/>
    <col min="5" max="5" width="9.6640625" style="233" bestFit="1" customWidth="1"/>
    <col min="6" max="6" width="4.109375" style="233" customWidth="1"/>
    <col min="7" max="7" width="15.5546875" style="233" bestFit="1" customWidth="1"/>
    <col min="8" max="8" width="3.88671875" style="233" customWidth="1"/>
    <col min="9" max="9" width="15.5546875" style="233" bestFit="1" customWidth="1"/>
    <col min="10" max="10" width="3.33203125" style="233" customWidth="1"/>
    <col min="11" max="11" width="12.44140625" style="233" bestFit="1" customWidth="1"/>
    <col min="12" max="12" width="3.88671875" style="334" customWidth="1"/>
    <col min="13" max="13" width="27.33203125" style="233" bestFit="1" customWidth="1"/>
    <col min="14" max="14" width="15.33203125" style="233" bestFit="1" customWidth="1"/>
    <col min="15" max="15" width="9" style="233" bestFit="1" customWidth="1"/>
    <col min="16" max="16" width="16.6640625" style="233" bestFit="1" customWidth="1"/>
    <col min="17" max="17" width="3.44140625" style="233" customWidth="1"/>
    <col min="18" max="18" width="7.6640625" style="233" bestFit="1" customWidth="1"/>
    <col min="19" max="16384" width="9.44140625" style="233"/>
  </cols>
  <sheetData>
    <row r="1" spans="1:18" ht="17.399999999999999">
      <c r="B1" s="333" t="s">
        <v>0</v>
      </c>
      <c r="C1" s="333"/>
      <c r="D1" s="333"/>
      <c r="E1" s="333"/>
      <c r="F1" s="333"/>
      <c r="G1" s="333"/>
      <c r="H1" s="333"/>
      <c r="I1" s="333"/>
      <c r="J1" s="333"/>
      <c r="K1" s="333"/>
    </row>
    <row r="2" spans="1:18" ht="17.399999999999999">
      <c r="B2" s="333" t="s">
        <v>288</v>
      </c>
      <c r="C2" s="333"/>
      <c r="D2" s="333"/>
      <c r="E2" s="333"/>
      <c r="F2" s="333"/>
      <c r="G2" s="333"/>
      <c r="H2" s="333"/>
      <c r="I2" s="333"/>
      <c r="J2" s="333"/>
      <c r="K2" s="333"/>
    </row>
    <row r="3" spans="1:18" ht="17.399999999999999">
      <c r="B3" s="333" t="s">
        <v>362</v>
      </c>
      <c r="C3" s="333"/>
      <c r="D3" s="333"/>
      <c r="E3" s="333"/>
      <c r="F3" s="333"/>
      <c r="G3" s="333"/>
      <c r="H3" s="333"/>
      <c r="I3" s="333"/>
      <c r="J3" s="333"/>
      <c r="K3" s="333"/>
    </row>
    <row r="4" spans="1:18" ht="17.399999999999999">
      <c r="B4" s="333"/>
      <c r="C4" s="333"/>
      <c r="D4" s="333"/>
      <c r="E4" s="333"/>
      <c r="F4" s="333"/>
      <c r="G4" s="333"/>
      <c r="H4" s="333"/>
      <c r="I4" s="333"/>
      <c r="J4" s="333"/>
      <c r="K4" s="333"/>
    </row>
    <row r="6" spans="1:18" ht="15.6">
      <c r="B6" s="345" t="s">
        <v>361</v>
      </c>
      <c r="G6" s="531" t="s">
        <v>360</v>
      </c>
      <c r="H6" s="532"/>
      <c r="I6" s="532"/>
    </row>
    <row r="7" spans="1:18">
      <c r="B7" s="331" t="s">
        <v>327</v>
      </c>
      <c r="C7" s="344" t="s">
        <v>359</v>
      </c>
      <c r="G7" s="279" t="s">
        <v>28</v>
      </c>
      <c r="I7" s="279" t="s">
        <v>358</v>
      </c>
      <c r="K7" s="279" t="s">
        <v>304</v>
      </c>
    </row>
    <row r="8" spans="1:18" ht="15.6">
      <c r="A8" s="503" t="s">
        <v>3</v>
      </c>
      <c r="B8" s="330" t="s">
        <v>324</v>
      </c>
      <c r="C8" s="329" t="s">
        <v>323</v>
      </c>
      <c r="D8" s="327"/>
      <c r="E8" s="272" t="s">
        <v>284</v>
      </c>
      <c r="F8" s="327"/>
      <c r="G8" s="317" t="s">
        <v>419</v>
      </c>
      <c r="H8" s="317"/>
      <c r="I8" s="317" t="s">
        <v>418</v>
      </c>
      <c r="K8" s="343" t="s">
        <v>33</v>
      </c>
    </row>
    <row r="9" spans="1:18" ht="15.6">
      <c r="A9" s="278"/>
      <c r="B9" s="318" t="s">
        <v>98</v>
      </c>
      <c r="C9" s="318" t="s">
        <v>99</v>
      </c>
      <c r="E9" s="318" t="s">
        <v>100</v>
      </c>
      <c r="F9" s="318"/>
      <c r="G9" s="318" t="s">
        <v>101</v>
      </c>
      <c r="H9" s="318"/>
      <c r="I9" s="318" t="s">
        <v>220</v>
      </c>
      <c r="J9" s="318"/>
      <c r="K9" s="506" t="s">
        <v>508</v>
      </c>
      <c r="L9" s="505"/>
      <c r="M9" s="505"/>
      <c r="N9" s="505" t="s">
        <v>222</v>
      </c>
      <c r="O9" s="505"/>
      <c r="P9" s="505" t="s">
        <v>252</v>
      </c>
    </row>
    <row r="10" spans="1:18" s="278" customFormat="1" ht="14.4" thickBot="1">
      <c r="G10" s="329"/>
      <c r="H10" s="327"/>
      <c r="I10" s="329"/>
      <c r="L10" s="334"/>
    </row>
    <row r="11" spans="1:18">
      <c r="A11" s="277">
        <v>1</v>
      </c>
      <c r="B11" s="244">
        <v>1000</v>
      </c>
      <c r="C11" s="233">
        <v>300</v>
      </c>
      <c r="E11" s="244">
        <f>ROUND((B$11*C11),0)</f>
        <v>300000</v>
      </c>
      <c r="F11" s="244"/>
      <c r="G11" s="326">
        <f>ROUND(IF($B$11&gt;4400,$B$11*N$13,4400*$N$13)+$E11*N$14,0)</f>
        <v>29762</v>
      </c>
      <c r="H11" s="326"/>
      <c r="I11" s="326">
        <f>ROUND(IF($B$11&gt;4400,$B$11*P$13,4400*$N$13)+$E11*P$14,0)</f>
        <v>29869</v>
      </c>
      <c r="K11" s="240">
        <f>(I11-G11)/G11</f>
        <v>3.5951884953968147E-3</v>
      </c>
      <c r="M11" s="342"/>
      <c r="N11" s="341" t="s">
        <v>301</v>
      </c>
      <c r="O11" s="340"/>
      <c r="P11" s="502" t="s">
        <v>300</v>
      </c>
    </row>
    <row r="12" spans="1:18">
      <c r="A12" s="277">
        <f>+A11+1</f>
        <v>2</v>
      </c>
      <c r="C12" s="233">
        <v>500</v>
      </c>
      <c r="E12" s="244">
        <f>ROUND((B$11*C12),0)</f>
        <v>500000</v>
      </c>
      <c r="F12" s="244"/>
      <c r="G12" s="326">
        <f>ROUND(IF($B$11&gt;4400,$B$11*N$13,4400*$N$13)+$E12*N$14,0)</f>
        <v>40951</v>
      </c>
      <c r="H12" s="326"/>
      <c r="I12" s="326">
        <f>ROUND(IF($B$11&gt;4400,$B$11*P$13,4400*$N$13)+$E12*P$14,0)</f>
        <v>41129</v>
      </c>
      <c r="K12" s="240">
        <f>(I12-G12)/G12</f>
        <v>4.3466582012649264E-3</v>
      </c>
      <c r="M12" s="295"/>
      <c r="N12" s="259"/>
      <c r="O12" s="259"/>
      <c r="P12" s="339"/>
    </row>
    <row r="13" spans="1:18">
      <c r="A13" s="277">
        <f t="shared" ref="A13:A39" si="0">+A12+1</f>
        <v>3</v>
      </c>
      <c r="C13" s="233">
        <v>700</v>
      </c>
      <c r="E13" s="244">
        <f>ROUND((B$11*C13),0)</f>
        <v>700000</v>
      </c>
      <c r="F13" s="244"/>
      <c r="G13" s="326">
        <f>ROUND(IF($B$11&gt;4400,$B$11*N$13,4400*$N$13)+$E13*N$14,0)</f>
        <v>52139</v>
      </c>
      <c r="H13" s="326"/>
      <c r="I13" s="326">
        <f>ROUND(IF($B$11&gt;4400,$B$11*P$13,4400*$N$13)+$E13*P$14,0)</f>
        <v>52388</v>
      </c>
      <c r="K13" s="240">
        <f>(I13-G13)/G13</f>
        <v>4.775695736396939E-3</v>
      </c>
      <c r="M13" s="296" t="s">
        <v>357</v>
      </c>
      <c r="N13" s="266">
        <f>SUM(N17,N27)</f>
        <v>2.95</v>
      </c>
      <c r="O13" s="299"/>
      <c r="P13" s="316">
        <f>SUM(P17,P27)</f>
        <v>2.97</v>
      </c>
      <c r="R13" s="258">
        <f>(P13-N13)/N13</f>
        <v>6.7796610169491584E-3</v>
      </c>
    </row>
    <row r="14" spans="1:18">
      <c r="A14" s="277">
        <f t="shared" si="0"/>
        <v>4</v>
      </c>
      <c r="G14" s="326"/>
      <c r="H14" s="326"/>
      <c r="I14" s="326"/>
      <c r="K14" s="240"/>
      <c r="M14" s="296" t="s">
        <v>356</v>
      </c>
      <c r="N14" s="262">
        <f>SUM(N18,N20:N26,N28:N29)</f>
        <v>5.5940999999999998E-2</v>
      </c>
      <c r="O14" s="299"/>
      <c r="P14" s="260">
        <f>SUM(P18,P20:P26,P28:P29)</f>
        <v>5.6297E-2</v>
      </c>
      <c r="R14" s="258">
        <f>(P14-N14)/N14</f>
        <v>6.3638476251765639E-3</v>
      </c>
    </row>
    <row r="15" spans="1:18" ht="14.4" thickBot="1">
      <c r="A15" s="277">
        <f t="shared" si="0"/>
        <v>5</v>
      </c>
      <c r="B15" s="244">
        <v>2000</v>
      </c>
      <c r="C15" s="233">
        <v>300</v>
      </c>
      <c r="E15" s="244">
        <f>ROUND((B$15*C15),0)</f>
        <v>600000</v>
      </c>
      <c r="F15" s="244"/>
      <c r="G15" s="326">
        <f>ROUND(IF($B$15&gt;4400,$B$15*N$13,4400*$N$13)+$E15*N$14,0)</f>
        <v>46545</v>
      </c>
      <c r="H15" s="326"/>
      <c r="I15" s="326">
        <f>ROUND(IF($B$15&gt;4400,$B$15*P$13,4400*$N$13)+$E15*P$14,0)</f>
        <v>46758</v>
      </c>
      <c r="K15" s="240">
        <f>(I15-G15)/G15</f>
        <v>4.5762165646148888E-3</v>
      </c>
      <c r="M15" s="338" t="s">
        <v>24</v>
      </c>
      <c r="N15" s="337" t="s">
        <v>24</v>
      </c>
      <c r="O15" s="255"/>
      <c r="P15" s="336" t="s">
        <v>24</v>
      </c>
    </row>
    <row r="16" spans="1:18">
      <c r="A16" s="277">
        <f t="shared" si="0"/>
        <v>6</v>
      </c>
      <c r="C16" s="233">
        <v>500</v>
      </c>
      <c r="E16" s="244">
        <f>ROUND((B$15*C16),0)</f>
        <v>1000000</v>
      </c>
      <c r="F16" s="244"/>
      <c r="G16" s="326">
        <f>ROUND(IF($B$15&gt;4400,$B$15*N$13,4400*$N$13)+$E16*N$14,0)</f>
        <v>68921</v>
      </c>
      <c r="H16" s="326"/>
      <c r="I16" s="326">
        <f>ROUND(IF($B$15&gt;4400,$B$15*P$13,4400*$N$13)+$E16*P$14,0)</f>
        <v>69277</v>
      </c>
      <c r="K16" s="240">
        <f>(I16-G16)/G16</f>
        <v>5.1653342232411024E-3</v>
      </c>
    </row>
    <row r="17" spans="1:16">
      <c r="A17" s="277">
        <f t="shared" si="0"/>
        <v>7</v>
      </c>
      <c r="C17" s="233">
        <v>700</v>
      </c>
      <c r="E17" s="244">
        <f>ROUND((B$15*C17),0)</f>
        <v>1400000</v>
      </c>
      <c r="F17" s="244"/>
      <c r="G17" s="326">
        <f>ROUND(IF($B$15&gt;4400,$B$15*N$13,4400*$N$13)+$E17*N$14,0)</f>
        <v>91297</v>
      </c>
      <c r="H17" s="326"/>
      <c r="I17" s="326">
        <f>ROUND(IF($B$15&gt;4400,$B$15*P$13,4400*$N$13)+$E17*P$14,0)</f>
        <v>91796</v>
      </c>
      <c r="K17" s="240">
        <f>(I17-G17)/G17</f>
        <v>5.4656779521780564E-3</v>
      </c>
      <c r="M17" s="233" t="str">
        <f>+M13</f>
        <v>Demand ($ per kVa)</v>
      </c>
      <c r="N17" s="490">
        <f>+'[1](JAP4)-Tariff Summary'!$D$155</f>
        <v>2.95</v>
      </c>
      <c r="O17" s="490"/>
      <c r="P17" s="490">
        <f>+N17</f>
        <v>2.95</v>
      </c>
    </row>
    <row r="18" spans="1:16">
      <c r="A18" s="277">
        <f t="shared" si="0"/>
        <v>8</v>
      </c>
      <c r="G18" s="326"/>
      <c r="H18" s="326"/>
      <c r="I18" s="326"/>
      <c r="K18" s="240"/>
      <c r="M18" s="233" t="str">
        <f>+M14</f>
        <v>Energy ($ per kWh)</v>
      </c>
      <c r="N18" s="490">
        <f>+'[1](JAP4)-Tariff Summary'!$D$153</f>
        <v>5.0738999999999999E-2</v>
      </c>
      <c r="O18" s="490"/>
      <c r="P18" s="490">
        <f>+N18</f>
        <v>5.0738999999999999E-2</v>
      </c>
    </row>
    <row r="19" spans="1:16">
      <c r="A19" s="277">
        <f t="shared" si="0"/>
        <v>9</v>
      </c>
      <c r="B19" s="244">
        <v>4000</v>
      </c>
      <c r="C19" s="233">
        <v>300</v>
      </c>
      <c r="E19" s="244">
        <f>ROUND((B$19*C19),0)</f>
        <v>1200000</v>
      </c>
      <c r="F19" s="244"/>
      <c r="G19" s="326">
        <f>ROUND(IF($B$19&gt;4400,$B$19*N$13,4400*$N$13)+$E19*N$14,0)</f>
        <v>80109</v>
      </c>
      <c r="H19" s="326"/>
      <c r="I19" s="326">
        <f>ROUND(IF($B$19&gt;4400,$B$19*P$13,4400*$N$13)+$E19*P$14,0)</f>
        <v>80536</v>
      </c>
      <c r="K19" s="240">
        <f>(I19-G19)/G19</f>
        <v>5.3302375513363046E-3</v>
      </c>
    </row>
    <row r="20" spans="1:16">
      <c r="A20" s="277">
        <f t="shared" si="0"/>
        <v>10</v>
      </c>
      <c r="C20" s="233">
        <v>500</v>
      </c>
      <c r="E20" s="244">
        <f>ROUND((B$19*C20),0)</f>
        <v>2000000</v>
      </c>
      <c r="F20" s="244"/>
      <c r="G20" s="326">
        <f>ROUND(IF($B$19&gt;4400,$B$19*N$13,4400*$N$13)+$E20*N$14,0)</f>
        <v>124862</v>
      </c>
      <c r="H20" s="326"/>
      <c r="I20" s="326">
        <f>ROUND(IF($B$19&gt;4400,$B$19*P$13,4400*$N$13)+$E20*P$14,0)</f>
        <v>125574</v>
      </c>
      <c r="K20" s="240">
        <f>(I20-G20)/G20</f>
        <v>5.70229533404879E-3</v>
      </c>
      <c r="M20" s="252" t="s">
        <v>276</v>
      </c>
      <c r="N20" s="387">
        <v>0</v>
      </c>
      <c r="O20" s="278"/>
      <c r="P20" s="250">
        <v>0</v>
      </c>
    </row>
    <row r="21" spans="1:16">
      <c r="A21" s="277">
        <f t="shared" si="0"/>
        <v>11</v>
      </c>
      <c r="C21" s="233">
        <v>700</v>
      </c>
      <c r="E21" s="244">
        <f>ROUND((B$19*C21),0)</f>
        <v>2800000</v>
      </c>
      <c r="F21" s="244"/>
      <c r="G21" s="326">
        <f>ROUND(IF($B$19&gt;4400,$B$19*N$13,4400*$N$13)+$E21*N$14,0)</f>
        <v>169615</v>
      </c>
      <c r="H21" s="326"/>
      <c r="I21" s="326">
        <f>ROUND(IF($B$19&gt;4400,$B$19*P$13,4400*$N$13)+$E21*P$14,0)</f>
        <v>170612</v>
      </c>
      <c r="K21" s="240">
        <f>(I21-G21)/G21</f>
        <v>5.8780178639860859E-3</v>
      </c>
      <c r="M21" s="252" t="s">
        <v>275</v>
      </c>
      <c r="N21" s="387">
        <f>+'Sch 95a'!$H$28</f>
        <v>-8.5300000000000003E-4</v>
      </c>
      <c r="O21" s="278"/>
      <c r="P21" s="250">
        <f t="shared" ref="P21:P25" si="1">+N21</f>
        <v>-8.5300000000000003E-4</v>
      </c>
    </row>
    <row r="22" spans="1:16">
      <c r="A22" s="277">
        <f t="shared" si="0"/>
        <v>12</v>
      </c>
      <c r="G22" s="326"/>
      <c r="H22" s="326"/>
      <c r="I22" s="326"/>
      <c r="K22" s="240"/>
      <c r="M22" s="252" t="s">
        <v>274</v>
      </c>
      <c r="N22" s="387">
        <f>+'Sch 120'!$H$28</f>
        <v>2.6159999999999998E-3</v>
      </c>
      <c r="O22" s="278"/>
      <c r="P22" s="250">
        <f t="shared" si="1"/>
        <v>2.6159999999999998E-3</v>
      </c>
    </row>
    <row r="23" spans="1:16">
      <c r="A23" s="277">
        <f t="shared" si="0"/>
        <v>13</v>
      </c>
      <c r="B23" s="244">
        <v>6000</v>
      </c>
      <c r="C23" s="233">
        <v>300</v>
      </c>
      <c r="E23" s="244">
        <f>ROUND((B$23*C23),0)</f>
        <v>1800000</v>
      </c>
      <c r="F23" s="244"/>
      <c r="G23" s="326">
        <f>ROUND(IF($B$23&gt;4400,$B$23*N$13,4400*$N$13)+$E23*N$14,0)</f>
        <v>118394</v>
      </c>
      <c r="H23" s="326"/>
      <c r="I23" s="326">
        <f>ROUND(IF($B$23&gt;4400,$B$23*P$13,4400*$N$13)+$E23*P$14,0)</f>
        <v>119155</v>
      </c>
      <c r="K23" s="240">
        <f>(I23-G23)/G23</f>
        <v>6.4276905924286701E-3</v>
      </c>
      <c r="M23" s="252" t="s">
        <v>209</v>
      </c>
      <c r="N23" s="387">
        <f>+'Sch 129'!G28</f>
        <v>5.8799999999999998E-4</v>
      </c>
      <c r="O23" s="278"/>
      <c r="P23" s="250">
        <f t="shared" si="1"/>
        <v>5.8799999999999998E-4</v>
      </c>
    </row>
    <row r="24" spans="1:16">
      <c r="A24" s="277">
        <f t="shared" si="0"/>
        <v>14</v>
      </c>
      <c r="C24" s="233">
        <v>500</v>
      </c>
      <c r="E24" s="244">
        <f>ROUND((B$23*C24),0)</f>
        <v>3000000</v>
      </c>
      <c r="F24" s="244"/>
      <c r="G24" s="326">
        <f>ROUND(IF($B$23&gt;4400,$B$23*N$13,4400*$N$13)+$E24*N$14,0)</f>
        <v>185523</v>
      </c>
      <c r="H24" s="326"/>
      <c r="I24" s="326">
        <f>ROUND(IF($B$23&gt;4400,$B$23*P$13,4400*$N$13)+$E24*P$14,0)</f>
        <v>186711</v>
      </c>
      <c r="K24" s="240">
        <f>(I24-G24)/G24</f>
        <v>6.4035187011852977E-3</v>
      </c>
      <c r="M24" s="252" t="s">
        <v>210</v>
      </c>
      <c r="N24" s="387">
        <f>+'Sch 132'!E28</f>
        <v>-1.1E-4</v>
      </c>
      <c r="O24" s="278"/>
      <c r="P24" s="250">
        <f t="shared" si="1"/>
        <v>-1.1E-4</v>
      </c>
    </row>
    <row r="25" spans="1:16">
      <c r="A25" s="277">
        <f t="shared" si="0"/>
        <v>15</v>
      </c>
      <c r="C25" s="233">
        <v>700</v>
      </c>
      <c r="E25" s="244">
        <f>ROUND((B$23*C25),0)</f>
        <v>4200000</v>
      </c>
      <c r="F25" s="244"/>
      <c r="G25" s="326">
        <f>ROUND(IF($B$23&gt;4400,$B$23*N$13,4400*$N$13)+$E25*N$14,0)</f>
        <v>252652</v>
      </c>
      <c r="H25" s="326"/>
      <c r="I25" s="326">
        <f>ROUND(IF($B$23&gt;4400,$B$23*P$13,4400*$N$13)+$E25*P$14,0)</f>
        <v>254267</v>
      </c>
      <c r="K25" s="240">
        <f>(I25-G25)/G25</f>
        <v>6.3921916311764802E-3</v>
      </c>
      <c r="M25" s="252" t="s">
        <v>272</v>
      </c>
      <c r="N25" s="248">
        <f>+'Sch 137'!E28</f>
        <v>-1.4E-5</v>
      </c>
      <c r="P25" s="250">
        <f t="shared" si="1"/>
        <v>-1.4E-5</v>
      </c>
    </row>
    <row r="26" spans="1:16">
      <c r="A26" s="277">
        <f t="shared" si="0"/>
        <v>16</v>
      </c>
      <c r="E26" s="244"/>
      <c r="F26" s="244"/>
      <c r="G26" s="326"/>
      <c r="H26" s="326"/>
      <c r="I26" s="326"/>
      <c r="K26" s="240"/>
      <c r="M26" s="252" t="s">
        <v>241</v>
      </c>
      <c r="N26" s="387">
        <f>+'Sch 140'!$H$28</f>
        <v>1.6520000000000003E-3</v>
      </c>
      <c r="O26" s="278"/>
      <c r="P26" s="250">
        <f>+'Sch 140'!$H$28</f>
        <v>1.6520000000000003E-3</v>
      </c>
    </row>
    <row r="27" spans="1:16">
      <c r="A27" s="277">
        <f t="shared" si="0"/>
        <v>17</v>
      </c>
      <c r="B27" s="244">
        <v>8000</v>
      </c>
      <c r="C27" s="233">
        <v>300</v>
      </c>
      <c r="E27" s="244">
        <f>ROUND((B$27*C27),0)</f>
        <v>2400000</v>
      </c>
      <c r="F27" s="244"/>
      <c r="G27" s="326">
        <f>ROUND(IF($B$27&gt;4400,$B$27*N$13,4400*$N$13)+$E27*N$14,0)</f>
        <v>157858</v>
      </c>
      <c r="H27" s="326"/>
      <c r="I27" s="326">
        <f>ROUND(IF($B$27&gt;4400,$B$27*P$13,4400*$N$13)+$E27*P$14,0)</f>
        <v>158873</v>
      </c>
      <c r="K27" s="240">
        <f>(I27-G27)/G27</f>
        <v>6.4298293402931745E-3</v>
      </c>
      <c r="M27" s="249" t="s">
        <v>500</v>
      </c>
      <c r="N27" s="387">
        <v>0</v>
      </c>
      <c r="O27" s="278"/>
      <c r="P27" s="250">
        <f>+'[1](JAP4)-Tariff Summary'!$F$155</f>
        <v>2.0000000000000018E-2</v>
      </c>
    </row>
    <row r="28" spans="1:16">
      <c r="A28" s="277">
        <f t="shared" si="0"/>
        <v>18</v>
      </c>
      <c r="C28" s="233">
        <v>500</v>
      </c>
      <c r="E28" s="244">
        <f>ROUND((B$27*C28),0)</f>
        <v>4000000</v>
      </c>
      <c r="F28" s="244"/>
      <c r="G28" s="326">
        <f>ROUND(IF($B$27&gt;4400,$B$27*N$13,4400*$N$13)+$E28*N$14,0)</f>
        <v>247364</v>
      </c>
      <c r="H28" s="326"/>
      <c r="I28" s="326">
        <f>ROUND(IF($B$27&gt;4400,$B$27*P$13,4400*$N$13)+$E28*P$14,0)</f>
        <v>248948</v>
      </c>
      <c r="K28" s="240">
        <f>(I28-G28)/G28</f>
        <v>6.4035187011852977E-3</v>
      </c>
      <c r="M28" s="252" t="s">
        <v>355</v>
      </c>
      <c r="N28" s="387">
        <v>0</v>
      </c>
      <c r="O28" s="278"/>
      <c r="P28" s="250">
        <f>+'[1](JAP4)-Tariff Summary'!$F$153</f>
        <v>3.5600000000000215E-4</v>
      </c>
    </row>
    <row r="29" spans="1:16">
      <c r="A29" s="277">
        <f t="shared" si="0"/>
        <v>19</v>
      </c>
      <c r="C29" s="233">
        <v>700</v>
      </c>
      <c r="E29" s="244">
        <f>ROUND((B$27*C29),0)</f>
        <v>5600000</v>
      </c>
      <c r="F29" s="244"/>
      <c r="G29" s="326">
        <f>ROUND(IF($B$27&gt;4400,$B$27*N$13,4400*$N$13)+$E29*N$14,0)</f>
        <v>336870</v>
      </c>
      <c r="H29" s="326"/>
      <c r="I29" s="326">
        <f>ROUND(IF($B$27&gt;4400,$B$27*P$13,4400*$N$13)+$E29*P$14,0)</f>
        <v>339023</v>
      </c>
      <c r="K29" s="240">
        <f>(I29-G29)/G29</f>
        <v>6.3911894796212189E-3</v>
      </c>
      <c r="M29" s="252" t="s">
        <v>354</v>
      </c>
      <c r="N29" s="387">
        <f>+'Sch 142'!$G$28</f>
        <v>1.323E-3</v>
      </c>
      <c r="O29" s="278"/>
      <c r="P29" s="250">
        <f>+'Sch 142'!$G$28</f>
        <v>1.323E-3</v>
      </c>
    </row>
    <row r="30" spans="1:16">
      <c r="A30" s="277">
        <f t="shared" si="0"/>
        <v>20</v>
      </c>
      <c r="E30" s="244"/>
      <c r="F30" s="244"/>
      <c r="G30" s="326"/>
      <c r="H30" s="326"/>
      <c r="I30" s="326"/>
      <c r="K30" s="240"/>
    </row>
    <row r="31" spans="1:16">
      <c r="A31" s="277">
        <f t="shared" si="0"/>
        <v>21</v>
      </c>
      <c r="B31" s="244">
        <v>10000</v>
      </c>
      <c r="C31" s="233">
        <v>300</v>
      </c>
      <c r="E31" s="244">
        <f>ROUND((B$31*C31),0)</f>
        <v>3000000</v>
      </c>
      <c r="F31" s="244"/>
      <c r="G31" s="326">
        <f>ROUND(IF($B$31&gt;4400,$B$31*N$13,4400*$N$13)+$E31*N$14,0)</f>
        <v>197323</v>
      </c>
      <c r="H31" s="326"/>
      <c r="I31" s="326">
        <f>ROUND(IF($B$31&gt;4400,$B$31*P$13,4400*$N$13)+$E31*P$14,0)</f>
        <v>198591</v>
      </c>
      <c r="K31" s="240">
        <f>(I31-G31)/G31</f>
        <v>6.4260121729347317E-3</v>
      </c>
    </row>
    <row r="32" spans="1:16">
      <c r="A32" s="277">
        <f t="shared" si="0"/>
        <v>22</v>
      </c>
      <c r="C32" s="233">
        <v>500</v>
      </c>
      <c r="E32" s="244">
        <f>ROUND((B$31*C32),0)</f>
        <v>5000000</v>
      </c>
      <c r="F32" s="244"/>
      <c r="G32" s="326">
        <f>ROUND(IF($B$31&gt;4400,$B$31*N$13,4400*$N$13)+$E32*N$14,0)</f>
        <v>309205</v>
      </c>
      <c r="H32" s="326"/>
      <c r="I32" s="326">
        <f>ROUND(IF($B$31&gt;4400,$B$31*P$13,4400*$N$13)+$E32*P$14,0)</f>
        <v>311185</v>
      </c>
      <c r="K32" s="240">
        <f>(I32-G32)/G32</f>
        <v>6.4035187011852977E-3</v>
      </c>
    </row>
    <row r="33" spans="1:14">
      <c r="A33" s="277">
        <f t="shared" si="0"/>
        <v>23</v>
      </c>
      <c r="C33" s="233">
        <v>700</v>
      </c>
      <c r="E33" s="244">
        <f>ROUND((B$31*C33),0)</f>
        <v>7000000</v>
      </c>
      <c r="F33" s="244"/>
      <c r="G33" s="326">
        <f>ROUND(IF($B$31&gt;4400,$B$31*N$13,4400*$N$13)+$E33*N$14,0)</f>
        <v>421087</v>
      </c>
      <c r="H33" s="326"/>
      <c r="I33" s="326">
        <f>ROUND(IF($B$31&gt;4400,$B$31*P$13,4400*$N$13)+$E33*P$14,0)</f>
        <v>423779</v>
      </c>
      <c r="K33" s="240">
        <f>(I33-G33)/G33</f>
        <v>6.3929781731566163E-3</v>
      </c>
    </row>
    <row r="34" spans="1:14">
      <c r="A34" s="277">
        <f t="shared" si="0"/>
        <v>24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37"/>
    </row>
    <row r="35" spans="1:14">
      <c r="A35" s="277">
        <f t="shared" si="0"/>
        <v>25</v>
      </c>
    </row>
    <row r="36" spans="1:14">
      <c r="A36" s="277">
        <f t="shared" si="0"/>
        <v>26</v>
      </c>
      <c r="M36" s="246" t="s">
        <v>385</v>
      </c>
      <c r="N36" s="245">
        <f>+'JAP-4 (ERF Impacts)'!V25</f>
        <v>6.4641140109889996E-3</v>
      </c>
    </row>
    <row r="37" spans="1:14" ht="15.6">
      <c r="A37" s="277">
        <f t="shared" si="0"/>
        <v>27</v>
      </c>
      <c r="B37" s="409" t="s">
        <v>410</v>
      </c>
    </row>
    <row r="38" spans="1:14" ht="15.6">
      <c r="A38" s="277">
        <f t="shared" si="0"/>
        <v>28</v>
      </c>
      <c r="B38" s="474" t="s">
        <v>488</v>
      </c>
    </row>
    <row r="39" spans="1:14" ht="15.6">
      <c r="A39" s="277">
        <f t="shared" si="0"/>
        <v>29</v>
      </c>
      <c r="B39" s="517" t="s">
        <v>512</v>
      </c>
    </row>
    <row r="40" spans="1:14">
      <c r="B40" s="409"/>
    </row>
    <row r="41" spans="1:14">
      <c r="B41" s="235"/>
    </row>
    <row r="42" spans="1:14">
      <c r="B42" s="235"/>
    </row>
    <row r="43" spans="1:14">
      <c r="B43" s="235"/>
    </row>
    <row r="44" spans="1:14">
      <c r="B44" s="235"/>
    </row>
    <row r="45" spans="1:14">
      <c r="B45" s="235"/>
    </row>
    <row r="46" spans="1:14">
      <c r="B46" s="235"/>
    </row>
    <row r="47" spans="1:14">
      <c r="B47" s="235"/>
    </row>
    <row r="48" spans="1:14">
      <c r="B48" s="235"/>
    </row>
    <row r="49" spans="2:15">
      <c r="B49" s="235"/>
    </row>
    <row r="50" spans="2:15">
      <c r="B50" s="235"/>
    </row>
    <row r="52" spans="2:15">
      <c r="O52" s="234"/>
    </row>
  </sheetData>
  <mergeCells count="1">
    <mergeCell ref="G6:I6"/>
  </mergeCells>
  <printOptions horizontalCentered="1"/>
  <pageMargins left="0.7" right="0.7" top="0.75" bottom="0.75" header="0.3" footer="0.3"/>
  <pageSetup scale="7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2"/>
  <sheetViews>
    <sheetView zoomScaleNormal="100" workbookViewId="0">
      <pane xSplit="1" ySplit="9" topLeftCell="B37" activePane="bottomRight" state="frozen"/>
      <selection pane="topRight" activeCell="B1" sqref="B1"/>
      <selection pane="bottomLeft" activeCell="A13" sqref="A13"/>
      <selection pane="bottomRight" activeCell="B39" sqref="B39"/>
    </sheetView>
  </sheetViews>
  <sheetFormatPr defaultColWidth="9.44140625" defaultRowHeight="13.8"/>
  <cols>
    <col min="1" max="1" width="8.109375" style="233" bestFit="1" customWidth="1"/>
    <col min="2" max="2" width="11.6640625" style="233" customWidth="1"/>
    <col min="3" max="3" width="12.44140625" style="233" bestFit="1" customWidth="1"/>
    <col min="4" max="4" width="3.5546875" style="233" customWidth="1"/>
    <col min="5" max="5" width="9.6640625" style="233" bestFit="1" customWidth="1"/>
    <col min="6" max="6" width="4.109375" style="233" customWidth="1"/>
    <col min="7" max="7" width="15.5546875" style="233" bestFit="1" customWidth="1"/>
    <col min="8" max="8" width="3.88671875" style="233" customWidth="1"/>
    <col min="9" max="9" width="15.5546875" style="233" bestFit="1" customWidth="1"/>
    <col min="10" max="10" width="3.33203125" style="233" customWidth="1"/>
    <col min="11" max="11" width="12.44140625" style="233" bestFit="1" customWidth="1"/>
    <col min="12" max="12" width="3.88671875" style="334" customWidth="1"/>
    <col min="13" max="13" width="27.33203125" style="233" bestFit="1" customWidth="1"/>
    <col min="14" max="14" width="16.5546875" style="233" bestFit="1" customWidth="1"/>
    <col min="15" max="15" width="2.44140625" style="233" customWidth="1"/>
    <col min="16" max="16" width="16.6640625" style="233" bestFit="1" customWidth="1"/>
    <col min="17" max="17" width="3.44140625" style="233" customWidth="1"/>
    <col min="18" max="18" width="6.33203125" style="233" bestFit="1" customWidth="1"/>
    <col min="19" max="16384" width="9.44140625" style="233"/>
  </cols>
  <sheetData>
    <row r="1" spans="1:18" ht="17.399999999999999">
      <c r="B1" s="333" t="s">
        <v>0</v>
      </c>
      <c r="C1" s="333"/>
      <c r="D1" s="333"/>
      <c r="E1" s="333"/>
      <c r="F1" s="333"/>
      <c r="G1" s="333"/>
      <c r="H1" s="333"/>
      <c r="I1" s="333"/>
      <c r="J1" s="333"/>
      <c r="K1" s="333"/>
    </row>
    <row r="2" spans="1:18" ht="17.399999999999999">
      <c r="B2" s="333" t="s">
        <v>288</v>
      </c>
      <c r="C2" s="333"/>
      <c r="D2" s="333"/>
      <c r="E2" s="333"/>
      <c r="F2" s="333"/>
      <c r="G2" s="333"/>
      <c r="H2" s="333"/>
      <c r="I2" s="333"/>
      <c r="J2" s="333"/>
      <c r="K2" s="333"/>
    </row>
    <row r="3" spans="1:18" ht="17.399999999999999">
      <c r="B3" s="333" t="s">
        <v>363</v>
      </c>
      <c r="C3" s="333"/>
      <c r="D3" s="333"/>
      <c r="E3" s="333"/>
      <c r="F3" s="333"/>
      <c r="G3" s="333"/>
      <c r="H3" s="333"/>
      <c r="I3" s="333"/>
      <c r="J3" s="333"/>
      <c r="K3" s="333"/>
    </row>
    <row r="4" spans="1:18" ht="18">
      <c r="A4" s="346"/>
      <c r="B4" s="279"/>
      <c r="C4" s="279"/>
      <c r="D4" s="279"/>
      <c r="E4" s="279"/>
      <c r="F4" s="279"/>
      <c r="G4" s="279"/>
      <c r="H4" s="279"/>
      <c r="I4" s="279"/>
      <c r="J4" s="279"/>
    </row>
    <row r="6" spans="1:18" ht="15.6">
      <c r="B6" s="345" t="s">
        <v>361</v>
      </c>
      <c r="G6" s="531" t="s">
        <v>360</v>
      </c>
      <c r="H6" s="532"/>
      <c r="I6" s="532"/>
    </row>
    <row r="7" spans="1:18">
      <c r="B7" s="331" t="s">
        <v>327</v>
      </c>
      <c r="C7" s="344" t="s">
        <v>359</v>
      </c>
      <c r="G7" s="279" t="s">
        <v>28</v>
      </c>
      <c r="I7" s="279" t="s">
        <v>358</v>
      </c>
      <c r="K7" s="279" t="s">
        <v>304</v>
      </c>
    </row>
    <row r="8" spans="1:18" ht="15.6">
      <c r="A8" s="503" t="s">
        <v>3</v>
      </c>
      <c r="B8" s="330" t="s">
        <v>324</v>
      </c>
      <c r="C8" s="329" t="s">
        <v>323</v>
      </c>
      <c r="D8" s="327"/>
      <c r="E8" s="272" t="s">
        <v>284</v>
      </c>
      <c r="F8" s="327"/>
      <c r="G8" s="317" t="s">
        <v>421</v>
      </c>
      <c r="H8" s="317"/>
      <c r="I8" s="317" t="s">
        <v>422</v>
      </c>
      <c r="K8" s="343" t="s">
        <v>33</v>
      </c>
    </row>
    <row r="9" spans="1:18" ht="15.6">
      <c r="A9" s="278"/>
      <c r="B9" s="318" t="s">
        <v>98</v>
      </c>
      <c r="C9" s="318" t="s">
        <v>99</v>
      </c>
      <c r="E9" s="318" t="s">
        <v>100</v>
      </c>
      <c r="F9" s="318"/>
      <c r="G9" s="318" t="s">
        <v>101</v>
      </c>
      <c r="H9" s="318"/>
      <c r="I9" s="318" t="s">
        <v>220</v>
      </c>
      <c r="J9" s="318"/>
      <c r="K9" s="506" t="s">
        <v>508</v>
      </c>
      <c r="L9" s="505"/>
      <c r="M9" s="505"/>
      <c r="N9" s="505" t="s">
        <v>222</v>
      </c>
      <c r="O9" s="505"/>
      <c r="P9" s="505" t="s">
        <v>252</v>
      </c>
    </row>
    <row r="10" spans="1:18" s="278" customFormat="1" ht="14.4" thickBot="1">
      <c r="G10" s="329"/>
      <c r="H10" s="327"/>
      <c r="I10" s="329"/>
      <c r="L10" s="334"/>
    </row>
    <row r="11" spans="1:18">
      <c r="A11" s="277">
        <v>1</v>
      </c>
      <c r="B11" s="244">
        <v>1000</v>
      </c>
      <c r="C11" s="233">
        <v>300</v>
      </c>
      <c r="E11" s="244">
        <f>ROUND((B$11*C11),0)</f>
        <v>300000</v>
      </c>
      <c r="F11" s="244"/>
      <c r="G11" s="326">
        <f>ROUND(IF($B$11&gt;4400,$B$11*N$13,4400*$N$13)+$E11*N$14,0)</f>
        <v>41019</v>
      </c>
      <c r="H11" s="326"/>
      <c r="I11" s="326">
        <f>ROUND(IF($B$11&gt;4400,$B$11*P$13,4400*$N$13)+$E11*P$14,0)</f>
        <v>41126</v>
      </c>
      <c r="K11" s="240">
        <f>(I11-G11)/G11</f>
        <v>2.608547258587484E-3</v>
      </c>
      <c r="M11" s="342"/>
      <c r="N11" s="341" t="s">
        <v>301</v>
      </c>
      <c r="O11" s="340"/>
      <c r="P11" s="502" t="s">
        <v>300</v>
      </c>
    </row>
    <row r="12" spans="1:18">
      <c r="A12" s="277">
        <f>+A11+1</f>
        <v>2</v>
      </c>
      <c r="C12" s="233">
        <v>500</v>
      </c>
      <c r="E12" s="244">
        <f>ROUND((B$11*C12),0)</f>
        <v>500000</v>
      </c>
      <c r="F12" s="244"/>
      <c r="G12" s="326">
        <f>ROUND(IF($B$11&gt;4400,$B$11*N$13,4400*$N$13)+$E12*N$14,0)</f>
        <v>52291</v>
      </c>
      <c r="H12" s="326"/>
      <c r="I12" s="326">
        <f>ROUND(IF($B$11&gt;4400,$B$11*P$13,4400*$N$13)+$E12*P$14,0)</f>
        <v>52469</v>
      </c>
      <c r="K12" s="240">
        <f>(I12-G12)/G12</f>
        <v>3.404027461704691E-3</v>
      </c>
      <c r="M12" s="295"/>
      <c r="N12" s="259"/>
      <c r="O12" s="259"/>
      <c r="P12" s="339"/>
    </row>
    <row r="13" spans="1:18">
      <c r="A13" s="277">
        <f t="shared" ref="A13:A39" si="0">+A12+1</f>
        <v>3</v>
      </c>
      <c r="C13" s="233">
        <v>700</v>
      </c>
      <c r="E13" s="244">
        <f>ROUND((B$11*C13),0)</f>
        <v>700000</v>
      </c>
      <c r="F13" s="244"/>
      <c r="G13" s="326">
        <f>ROUND(IF($B$11&gt;4400,$B$11*N$13,4400*$N$13)+$E13*N$14,0)</f>
        <v>63563</v>
      </c>
      <c r="H13" s="326"/>
      <c r="I13" s="326">
        <f>ROUND(IF($B$11&gt;4400,$B$11*P$13,4400*$N$13)+$E13*P$14,0)</f>
        <v>63812</v>
      </c>
      <c r="K13" s="240">
        <f>(I13-G13)/G13</f>
        <v>3.9173733146641914E-3</v>
      </c>
      <c r="M13" s="296" t="s">
        <v>357</v>
      </c>
      <c r="N13" s="266">
        <f>SUM(N17,N27)</f>
        <v>5.48</v>
      </c>
      <c r="O13" s="299"/>
      <c r="P13" s="316">
        <f>SUM(P17,P27)</f>
        <v>5.52</v>
      </c>
      <c r="R13" s="258">
        <f>(P13-N13)/N13</f>
        <v>7.2992700729925444E-3</v>
      </c>
    </row>
    <row r="14" spans="1:18">
      <c r="A14" s="277">
        <f t="shared" si="0"/>
        <v>4</v>
      </c>
      <c r="G14" s="326"/>
      <c r="H14" s="326"/>
      <c r="I14" s="326"/>
      <c r="K14" s="240"/>
      <c r="M14" s="296" t="s">
        <v>356</v>
      </c>
      <c r="N14" s="262">
        <f>SUM(N18,N20:N26,N28:N29)</f>
        <v>5.6357999999999991E-2</v>
      </c>
      <c r="O14" s="299"/>
      <c r="P14" s="260">
        <f>SUM(P18,P20:P26,P28:P29)</f>
        <v>5.6713999999999994E-2</v>
      </c>
      <c r="R14" s="258">
        <f>(P14-N14)/N14</f>
        <v>6.3167607083289366E-3</v>
      </c>
    </row>
    <row r="15" spans="1:18" ht="14.4" thickBot="1">
      <c r="A15" s="277">
        <f t="shared" si="0"/>
        <v>5</v>
      </c>
      <c r="B15" s="244">
        <v>2000</v>
      </c>
      <c r="C15" s="233">
        <v>300</v>
      </c>
      <c r="E15" s="244">
        <f>ROUND((B$15*C15),0)</f>
        <v>600000</v>
      </c>
      <c r="F15" s="244"/>
      <c r="G15" s="326">
        <f>ROUND(IF($B$15&gt;4400,$B$15*N$13,4400*$N$13)+$E15*N$14,0)</f>
        <v>57927</v>
      </c>
      <c r="H15" s="326"/>
      <c r="I15" s="326">
        <f>ROUND(IF($B$15&gt;4400,$B$15*P$13,4400*$N$13)+$E15*P$14,0)</f>
        <v>58140</v>
      </c>
      <c r="K15" s="240">
        <f>(I15-G15)/G15</f>
        <v>3.6770417939820809E-3</v>
      </c>
      <c r="M15" s="338" t="s">
        <v>24</v>
      </c>
      <c r="N15" s="337" t="s">
        <v>24</v>
      </c>
      <c r="O15" s="255"/>
      <c r="P15" s="336" t="s">
        <v>24</v>
      </c>
    </row>
    <row r="16" spans="1:18">
      <c r="A16" s="277">
        <f t="shared" si="0"/>
        <v>6</v>
      </c>
      <c r="C16" s="233">
        <v>500</v>
      </c>
      <c r="E16" s="244">
        <f>ROUND((B$15*C16),0)</f>
        <v>1000000</v>
      </c>
      <c r="F16" s="244"/>
      <c r="G16" s="326">
        <f>ROUND(IF($B$15&gt;4400,$B$15*N$13,4400*$N$13)+$E16*N$14,0)</f>
        <v>80470</v>
      </c>
      <c r="H16" s="326"/>
      <c r="I16" s="326">
        <f>ROUND(IF($B$15&gt;4400,$B$15*P$13,4400*$N$13)+$E16*P$14,0)</f>
        <v>80826</v>
      </c>
      <c r="K16" s="240">
        <f>(I16-G16)/G16</f>
        <v>4.4240089474338259E-3</v>
      </c>
    </row>
    <row r="17" spans="1:16">
      <c r="A17" s="277">
        <f t="shared" si="0"/>
        <v>7</v>
      </c>
      <c r="C17" s="233">
        <v>700</v>
      </c>
      <c r="E17" s="244">
        <f>ROUND((B$15*C17),0)</f>
        <v>1400000</v>
      </c>
      <c r="F17" s="244"/>
      <c r="G17" s="326">
        <f>ROUND(IF($B$15&gt;4400,$B$15*N$13,4400*$N$13)+$E17*N$14,0)</f>
        <v>103013</v>
      </c>
      <c r="H17" s="326"/>
      <c r="I17" s="326">
        <f>ROUND(IF($B$15&gt;4400,$B$15*P$13,4400*$N$13)+$E17*P$14,0)</f>
        <v>103512</v>
      </c>
      <c r="K17" s="240">
        <f>(I17-G17)/G17</f>
        <v>4.8440488093735743E-3</v>
      </c>
      <c r="M17" s="233" t="str">
        <f>+M13</f>
        <v>Demand ($ per kVa)</v>
      </c>
      <c r="N17" s="490">
        <f>+'[1](JAP4)-Tariff Summary'!$D$163</f>
        <v>5.48</v>
      </c>
      <c r="O17" s="490"/>
      <c r="P17" s="490">
        <f>+N17</f>
        <v>5.48</v>
      </c>
    </row>
    <row r="18" spans="1:16">
      <c r="A18" s="277">
        <f t="shared" si="0"/>
        <v>8</v>
      </c>
      <c r="G18" s="326"/>
      <c r="H18" s="326"/>
      <c r="I18" s="326"/>
      <c r="K18" s="240"/>
      <c r="M18" s="233" t="str">
        <f>+M14</f>
        <v>Energy ($ per kWh)</v>
      </c>
      <c r="N18" s="491">
        <f>+'[1](JAP4)-Tariff Summary'!$D$161</f>
        <v>5.0738999999999999E-2</v>
      </c>
      <c r="O18" s="490"/>
      <c r="P18" s="490">
        <f>+N18</f>
        <v>5.0738999999999999E-2</v>
      </c>
    </row>
    <row r="19" spans="1:16">
      <c r="A19" s="277">
        <f t="shared" si="0"/>
        <v>9</v>
      </c>
      <c r="B19" s="244">
        <v>4000</v>
      </c>
      <c r="C19" s="233">
        <v>300</v>
      </c>
      <c r="E19" s="244">
        <f>ROUND((B$19*C19),0)</f>
        <v>1200000</v>
      </c>
      <c r="F19" s="244"/>
      <c r="G19" s="326">
        <f>ROUND(IF($B$19&gt;4400,$B$19*N$13,4400*$N$13)+$E19*N$14,0)</f>
        <v>91742</v>
      </c>
      <c r="H19" s="326"/>
      <c r="I19" s="326">
        <f>ROUND(IF($B$19&gt;4400,$B$19*P$13,4400*$N$13)+$E19*P$14,0)</f>
        <v>92169</v>
      </c>
      <c r="K19" s="240">
        <f>(I19-G19)/G19</f>
        <v>4.6543567831527546E-3</v>
      </c>
    </row>
    <row r="20" spans="1:16">
      <c r="A20" s="277">
        <f t="shared" si="0"/>
        <v>10</v>
      </c>
      <c r="C20" s="233">
        <v>500</v>
      </c>
      <c r="E20" s="244">
        <f>ROUND((B$19*C20),0)</f>
        <v>2000000</v>
      </c>
      <c r="F20" s="244"/>
      <c r="G20" s="326">
        <f>ROUND(IF($B$19&gt;4400,$B$19*N$13,4400*$N$13)+$E20*N$14,0)</f>
        <v>136828</v>
      </c>
      <c r="H20" s="326"/>
      <c r="I20" s="326">
        <f>ROUND(IF($B$19&gt;4400,$B$19*P$13,4400*$N$13)+$E20*P$14,0)</f>
        <v>137540</v>
      </c>
      <c r="K20" s="240">
        <f>(I20-G20)/G20</f>
        <v>5.2036132955243083E-3</v>
      </c>
      <c r="M20" s="249" t="s">
        <v>276</v>
      </c>
      <c r="N20" s="250">
        <v>0</v>
      </c>
      <c r="P20" s="250">
        <f>+N20</f>
        <v>0</v>
      </c>
    </row>
    <row r="21" spans="1:16">
      <c r="A21" s="277">
        <f t="shared" si="0"/>
        <v>11</v>
      </c>
      <c r="C21" s="233">
        <v>700</v>
      </c>
      <c r="E21" s="244">
        <f>ROUND((B$19*C21),0)</f>
        <v>2800000</v>
      </c>
      <c r="F21" s="244"/>
      <c r="G21" s="326">
        <f>ROUND(IF($B$19&gt;4400,$B$19*N$13,4400*$N$13)+$E21*N$14,0)</f>
        <v>181914</v>
      </c>
      <c r="H21" s="326"/>
      <c r="I21" s="326">
        <f>ROUND(IF($B$19&gt;4400,$B$19*P$13,4400*$N$13)+$E21*P$14,0)</f>
        <v>182911</v>
      </c>
      <c r="K21" s="240">
        <f>(I21-G21)/G21</f>
        <v>5.4806117176248118E-3</v>
      </c>
      <c r="M21" s="249" t="s">
        <v>275</v>
      </c>
      <c r="N21" s="250">
        <f>+'Sch 95a'!$H$29</f>
        <v>-1.6949999999999999E-3</v>
      </c>
      <c r="O21" s="278"/>
      <c r="P21" s="250">
        <f>+N21</f>
        <v>-1.6949999999999999E-3</v>
      </c>
    </row>
    <row r="22" spans="1:16">
      <c r="A22" s="277">
        <f t="shared" si="0"/>
        <v>12</v>
      </c>
      <c r="G22" s="326"/>
      <c r="H22" s="326"/>
      <c r="I22" s="326"/>
      <c r="K22" s="240"/>
      <c r="M22" s="249" t="s">
        <v>274</v>
      </c>
      <c r="N22" s="250">
        <f>+'Sch 120'!$H$29</f>
        <v>3.9039999999999999E-3</v>
      </c>
      <c r="O22" s="278"/>
      <c r="P22" s="250">
        <f t="shared" ref="P22:P26" si="1">+N22</f>
        <v>3.9039999999999999E-3</v>
      </c>
    </row>
    <row r="23" spans="1:16">
      <c r="A23" s="277">
        <f t="shared" si="0"/>
        <v>13</v>
      </c>
      <c r="B23" s="244">
        <v>6000</v>
      </c>
      <c r="C23" s="233">
        <v>300</v>
      </c>
      <c r="E23" s="244">
        <f>ROUND((B$23*C23),0)</f>
        <v>1800000</v>
      </c>
      <c r="F23" s="244"/>
      <c r="G23" s="326">
        <f>ROUND(IF($B$23&gt;4400,$B$23*N$13,4400*$N$13)+$E23*N$14,0)</f>
        <v>134324</v>
      </c>
      <c r="H23" s="326"/>
      <c r="I23" s="326">
        <f>ROUND(IF($B$23&gt;4400,$B$23*P$13,4400*$N$13)+$E23*P$14,0)</f>
        <v>135205</v>
      </c>
      <c r="K23" s="240">
        <f>(I23-G23)/G23</f>
        <v>6.5587683511509481E-3</v>
      </c>
      <c r="M23" s="249" t="s">
        <v>209</v>
      </c>
      <c r="N23" s="250">
        <f>+'Sch 129'!G29</f>
        <v>5.7300000000000005E-4</v>
      </c>
      <c r="O23" s="278"/>
      <c r="P23" s="250">
        <f t="shared" si="1"/>
        <v>5.7300000000000005E-4</v>
      </c>
    </row>
    <row r="24" spans="1:16">
      <c r="A24" s="277">
        <f t="shared" si="0"/>
        <v>14</v>
      </c>
      <c r="C24" s="233">
        <v>500</v>
      </c>
      <c r="E24" s="244">
        <f>ROUND((B$23*C24),0)</f>
        <v>3000000</v>
      </c>
      <c r="F24" s="244"/>
      <c r="G24" s="326">
        <f>ROUND(IF($B$23&gt;4400,$B$23*N$13,4400*$N$13)+$E24*N$14,0)</f>
        <v>201954</v>
      </c>
      <c r="H24" s="326"/>
      <c r="I24" s="326">
        <f>ROUND(IF($B$23&gt;4400,$B$23*P$13,4400*$N$13)+$E24*P$14,0)</f>
        <v>203262</v>
      </c>
      <c r="K24" s="240">
        <f>(I24-G24)/G24</f>
        <v>6.4767224219376687E-3</v>
      </c>
      <c r="M24" s="249" t="s">
        <v>210</v>
      </c>
      <c r="N24" s="250">
        <f>+'Sch 132'!E29</f>
        <v>-1.1E-4</v>
      </c>
      <c r="O24" s="278"/>
      <c r="P24" s="250">
        <f t="shared" si="1"/>
        <v>-1.1E-4</v>
      </c>
    </row>
    <row r="25" spans="1:16">
      <c r="A25" s="277">
        <f t="shared" si="0"/>
        <v>15</v>
      </c>
      <c r="C25" s="233">
        <v>700</v>
      </c>
      <c r="E25" s="244">
        <f>ROUND((B$23*C25),0)</f>
        <v>4200000</v>
      </c>
      <c r="F25" s="244"/>
      <c r="G25" s="326">
        <f>ROUND(IF($B$23&gt;4400,$B$23*N$13,4400*$N$13)+$E25*N$14,0)</f>
        <v>269584</v>
      </c>
      <c r="H25" s="326"/>
      <c r="I25" s="326">
        <f>ROUND(IF($B$23&gt;4400,$B$23*P$13,4400*$N$13)+$E25*P$14,0)</f>
        <v>271319</v>
      </c>
      <c r="K25" s="240">
        <f>(I25-G25)/G25</f>
        <v>6.4358418897263936E-3</v>
      </c>
      <c r="M25" s="249" t="s">
        <v>272</v>
      </c>
      <c r="N25" s="250">
        <f>+'Sch 137'!E29</f>
        <v>-2.8E-5</v>
      </c>
      <c r="O25" s="278"/>
      <c r="P25" s="250">
        <f t="shared" si="1"/>
        <v>-2.8E-5</v>
      </c>
    </row>
    <row r="26" spans="1:16">
      <c r="A26" s="277">
        <f t="shared" si="0"/>
        <v>16</v>
      </c>
      <c r="E26" s="244"/>
      <c r="F26" s="244"/>
      <c r="G26" s="326"/>
      <c r="H26" s="326"/>
      <c r="I26" s="326"/>
      <c r="K26" s="240"/>
      <c r="M26" s="249" t="s">
        <v>241</v>
      </c>
      <c r="N26" s="250">
        <f>+'Sch 140'!$H$29</f>
        <v>1.6520000000000003E-3</v>
      </c>
      <c r="O26" s="278"/>
      <c r="P26" s="250">
        <f t="shared" si="1"/>
        <v>1.6520000000000003E-3</v>
      </c>
    </row>
    <row r="27" spans="1:16">
      <c r="A27" s="277">
        <f t="shared" si="0"/>
        <v>17</v>
      </c>
      <c r="B27" s="244">
        <v>8000</v>
      </c>
      <c r="C27" s="233">
        <v>300</v>
      </c>
      <c r="E27" s="244">
        <f>ROUND((B$27*C27),0)</f>
        <v>2400000</v>
      </c>
      <c r="F27" s="244"/>
      <c r="G27" s="326">
        <f>ROUND(IF($B$27&gt;4400,$B$27*N$13,4400*$N$13)+$E27*N$14,0)</f>
        <v>179099</v>
      </c>
      <c r="H27" s="326"/>
      <c r="I27" s="326">
        <f>ROUND(IF($B$27&gt;4400,$B$27*P$13,4400*$N$13)+$E27*P$14,0)</f>
        <v>180274</v>
      </c>
      <c r="K27" s="240">
        <f>(I27-G27)/G27</f>
        <v>6.5606173122127985E-3</v>
      </c>
      <c r="M27" s="249" t="s">
        <v>500</v>
      </c>
      <c r="N27" s="250">
        <v>0</v>
      </c>
      <c r="O27" s="278"/>
      <c r="P27" s="250">
        <f>+'[1](JAP4)-Tariff Summary'!$F$163</f>
        <v>3.9999999999999147E-2</v>
      </c>
    </row>
    <row r="28" spans="1:16">
      <c r="A28" s="277">
        <f t="shared" si="0"/>
        <v>18</v>
      </c>
      <c r="C28" s="233">
        <v>500</v>
      </c>
      <c r="E28" s="244">
        <f>ROUND((B$27*C28),0)</f>
        <v>4000000</v>
      </c>
      <c r="F28" s="244"/>
      <c r="G28" s="326">
        <f>ROUND(IF($B$27&gt;4400,$B$27*N$13,4400*$N$13)+$E28*N$14,0)</f>
        <v>269272</v>
      </c>
      <c r="H28" s="326"/>
      <c r="I28" s="326">
        <f>ROUND(IF($B$27&gt;4400,$B$27*P$13,4400*$N$13)+$E28*P$14,0)</f>
        <v>271016</v>
      </c>
      <c r="K28" s="240">
        <f>(I28-G28)/G28</f>
        <v>6.4767224219376687E-3</v>
      </c>
      <c r="M28" s="249" t="s">
        <v>355</v>
      </c>
      <c r="N28" s="250">
        <v>0</v>
      </c>
      <c r="O28" s="278"/>
      <c r="P28" s="250">
        <f>+'[1](JAP4)-Tariff Summary'!$F$161</f>
        <v>3.5600000000000215E-4</v>
      </c>
    </row>
    <row r="29" spans="1:16">
      <c r="A29" s="277">
        <f t="shared" si="0"/>
        <v>19</v>
      </c>
      <c r="C29" s="233">
        <v>700</v>
      </c>
      <c r="E29" s="244">
        <f>ROUND((B$27*C29),0)</f>
        <v>5600000</v>
      </c>
      <c r="F29" s="244"/>
      <c r="G29" s="326">
        <f>ROUND(IF($B$27&gt;4400,$B$27*N$13,4400*$N$13)+$E29*N$14,0)</f>
        <v>359445</v>
      </c>
      <c r="H29" s="326"/>
      <c r="I29" s="326">
        <f>ROUND(IF($B$27&gt;4400,$B$27*P$13,4400*$N$13)+$E29*P$14,0)</f>
        <v>361758</v>
      </c>
      <c r="K29" s="240">
        <f>(I29-G29)/G29</f>
        <v>6.4349205024412633E-3</v>
      </c>
      <c r="M29" s="249" t="s">
        <v>354</v>
      </c>
      <c r="N29" s="250">
        <f>+'Sch 142'!$G$29</f>
        <v>1.323E-3</v>
      </c>
      <c r="O29" s="278"/>
      <c r="P29" s="250">
        <f>+N29</f>
        <v>1.323E-3</v>
      </c>
    </row>
    <row r="30" spans="1:16">
      <c r="A30" s="277">
        <f t="shared" si="0"/>
        <v>20</v>
      </c>
      <c r="E30" s="244"/>
      <c r="F30" s="244"/>
      <c r="G30" s="326"/>
      <c r="H30" s="326"/>
      <c r="I30" s="326"/>
      <c r="K30" s="240"/>
      <c r="P30" s="250"/>
    </row>
    <row r="31" spans="1:16">
      <c r="A31" s="277">
        <f t="shared" si="0"/>
        <v>21</v>
      </c>
      <c r="B31" s="244">
        <v>10000</v>
      </c>
      <c r="C31" s="233">
        <v>300</v>
      </c>
      <c r="E31" s="244">
        <f>ROUND((B$31*C31),0)</f>
        <v>3000000</v>
      </c>
      <c r="F31" s="244"/>
      <c r="G31" s="326">
        <f>ROUND(IF($B$31&gt;4400,$B$31*N$13,4400*$N$13)+$E31*N$14,0)</f>
        <v>223874</v>
      </c>
      <c r="H31" s="326"/>
      <c r="I31" s="326">
        <f>ROUND(IF($B$31&gt;4400,$B$31*P$13,4400*$N$13)+$E31*P$14,0)</f>
        <v>225342</v>
      </c>
      <c r="K31" s="240">
        <f>(I31-G31)/G31</f>
        <v>6.5572598872580112E-3</v>
      </c>
      <c r="M31" s="246" t="s">
        <v>385</v>
      </c>
      <c r="N31" s="245">
        <f>+'JAP-4 (ERF Impacts)'!V26</f>
        <v>6.5165721873243834E-3</v>
      </c>
      <c r="P31" s="250"/>
    </row>
    <row r="32" spans="1:16">
      <c r="A32" s="277">
        <f t="shared" si="0"/>
        <v>22</v>
      </c>
      <c r="C32" s="233">
        <v>500</v>
      </c>
      <c r="E32" s="244">
        <f>ROUND((B$31*C32),0)</f>
        <v>5000000</v>
      </c>
      <c r="F32" s="244"/>
      <c r="G32" s="326">
        <f>ROUND(IF($B$31&gt;4400,$B$31*N$13,4400*$N$13)+$E32*N$14,0)</f>
        <v>336590</v>
      </c>
      <c r="H32" s="326"/>
      <c r="I32" s="326">
        <f>ROUND(IF($B$31&gt;4400,$B$31*P$13,4400*$N$13)+$E32*P$14,0)</f>
        <v>338770</v>
      </c>
      <c r="K32" s="240">
        <f>(I32-G32)/G32</f>
        <v>6.4767224219376687E-3</v>
      </c>
      <c r="P32" s="250"/>
    </row>
    <row r="33" spans="1:16">
      <c r="A33" s="277">
        <f t="shared" si="0"/>
        <v>23</v>
      </c>
      <c r="C33" s="233">
        <v>700</v>
      </c>
      <c r="E33" s="244">
        <f>ROUND((B$31*C33),0)</f>
        <v>7000000</v>
      </c>
      <c r="F33" s="244"/>
      <c r="G33" s="326">
        <f>ROUND(IF($B$31&gt;4400,$B$31*N$13,4400*$N$13)+$E33*N$14,0)</f>
        <v>449306</v>
      </c>
      <c r="H33" s="326"/>
      <c r="I33" s="326">
        <f>ROUND(IF($B$31&gt;4400,$B$31*P$13,4400*$N$13)+$E33*P$14,0)</f>
        <v>452198</v>
      </c>
      <c r="K33" s="240">
        <f>(I33-G33)/G33</f>
        <v>6.4365933239262331E-3</v>
      </c>
      <c r="P33" s="250"/>
    </row>
    <row r="34" spans="1:16">
      <c r="A34" s="277">
        <f t="shared" si="0"/>
        <v>24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M34" s="249"/>
      <c r="N34" s="325"/>
      <c r="P34" s="248"/>
    </row>
    <row r="35" spans="1:16">
      <c r="A35" s="277">
        <f t="shared" si="0"/>
        <v>25</v>
      </c>
    </row>
    <row r="36" spans="1:16">
      <c r="A36" s="277">
        <f t="shared" si="0"/>
        <v>26</v>
      </c>
    </row>
    <row r="37" spans="1:16" ht="15.6">
      <c r="A37" s="277">
        <f t="shared" si="0"/>
        <v>27</v>
      </c>
      <c r="B37" s="409" t="s">
        <v>410</v>
      </c>
    </row>
    <row r="38" spans="1:16" ht="15.6">
      <c r="A38" s="277">
        <f t="shared" si="0"/>
        <v>28</v>
      </c>
      <c r="B38" s="474" t="s">
        <v>488</v>
      </c>
    </row>
    <row r="39" spans="1:16" ht="15.6">
      <c r="A39" s="277">
        <f t="shared" si="0"/>
        <v>29</v>
      </c>
      <c r="B39" s="517" t="s">
        <v>512</v>
      </c>
    </row>
    <row r="40" spans="1:16">
      <c r="B40" s="235"/>
    </row>
    <row r="41" spans="1:16">
      <c r="B41" s="235"/>
    </row>
    <row r="42" spans="1:16">
      <c r="B42" s="235"/>
    </row>
    <row r="43" spans="1:16">
      <c r="B43" s="235"/>
    </row>
    <row r="44" spans="1:16">
      <c r="B44" s="235"/>
    </row>
    <row r="45" spans="1:16">
      <c r="B45" s="235"/>
    </row>
    <row r="46" spans="1:16">
      <c r="B46" s="235"/>
    </row>
    <row r="47" spans="1:16">
      <c r="B47" s="235"/>
    </row>
    <row r="48" spans="1:16">
      <c r="B48" s="235"/>
    </row>
    <row r="49" spans="2:15">
      <c r="B49" s="235"/>
    </row>
    <row r="50" spans="2:15">
      <c r="B50" s="235"/>
    </row>
    <row r="52" spans="2:15">
      <c r="O52" s="234"/>
    </row>
  </sheetData>
  <mergeCells count="1">
    <mergeCell ref="G6:I6"/>
  </mergeCells>
  <printOptions horizontalCentered="1"/>
  <pageMargins left="0.7" right="0.7" top="0.75" bottom="0.75" header="0.3" footer="0.3"/>
  <pageSetup scale="7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"/>
  <sheetViews>
    <sheetView workbookViewId="0"/>
  </sheetViews>
  <sheetFormatPr defaultColWidth="8.88671875" defaultRowHeight="13.2"/>
  <cols>
    <col min="1" max="16384" width="8.88671875" style="498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5" tint="0.79998168889431442"/>
    <pageSetUpPr fitToPage="1"/>
  </sheetPr>
  <dimension ref="B1:Y59"/>
  <sheetViews>
    <sheetView zoomScale="70" zoomScaleNormal="70" zoomScaleSheetLayoutView="70" workbookViewId="0">
      <pane xSplit="7" ySplit="14" topLeftCell="H15" activePane="bottomRight" state="frozen"/>
      <selection pane="topRight"/>
      <selection pane="bottomLeft"/>
      <selection pane="bottomRight" activeCell="H17" sqref="H17"/>
    </sheetView>
  </sheetViews>
  <sheetFormatPr defaultColWidth="11.33203125" defaultRowHeight="15.6"/>
  <cols>
    <col min="1" max="1" width="0" style="14" hidden="1" customWidth="1"/>
    <col min="2" max="2" width="5.109375" style="14" customWidth="1"/>
    <col min="3" max="3" width="2.33203125" style="14" customWidth="1"/>
    <col min="4" max="4" width="39.88671875" style="17" customWidth="1"/>
    <col min="5" max="5" width="2.33203125" style="17" customWidth="1"/>
    <col min="6" max="6" width="12.33203125" style="17" bestFit="1" customWidth="1"/>
    <col min="7" max="7" width="2.33203125" style="17" customWidth="1"/>
    <col min="8" max="8" width="13" style="14" bestFit="1" customWidth="1"/>
    <col min="9" max="9" width="2.33203125" style="14" customWidth="1"/>
    <col min="10" max="10" width="15.44140625" style="14" bestFit="1" customWidth="1"/>
    <col min="11" max="11" width="3.33203125" style="14" customWidth="1"/>
    <col min="12" max="12" width="15.5546875" style="14" bestFit="1" customWidth="1"/>
    <col min="13" max="13" width="3" style="14" customWidth="1"/>
    <col min="14" max="14" width="13.6640625" style="14" bestFit="1" customWidth="1"/>
    <col min="15" max="15" width="2.88671875" style="14" customWidth="1"/>
    <col min="16" max="16" width="11.88671875" style="14" customWidth="1"/>
    <col min="17" max="17" width="10.33203125" style="14" bestFit="1" customWidth="1"/>
    <col min="18" max="18" width="2.109375" style="14" customWidth="1"/>
    <col min="19" max="19" width="13" style="14" bestFit="1" customWidth="1"/>
    <col min="20" max="20" width="6.6640625" style="14" bestFit="1" customWidth="1"/>
    <col min="21" max="21" width="9.6640625" style="14" bestFit="1" customWidth="1"/>
    <col min="22" max="22" width="13.33203125" style="14" customWidth="1"/>
    <col min="23" max="23" width="11.33203125" style="14"/>
    <col min="24" max="24" width="12.33203125" style="14" bestFit="1" customWidth="1"/>
    <col min="25" max="16384" width="11.33203125" style="14"/>
  </cols>
  <sheetData>
    <row r="1" spans="2:22" ht="17.399999999999999">
      <c r="C1" s="15"/>
      <c r="D1" s="16"/>
      <c r="N1" s="18" t="s">
        <v>24</v>
      </c>
    </row>
    <row r="2" spans="2:22">
      <c r="B2" s="533" t="s">
        <v>25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19"/>
    </row>
    <row r="3" spans="2:22">
      <c r="B3" s="534" t="s">
        <v>26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20"/>
      <c r="T3" s="20"/>
    </row>
    <row r="4" spans="2:22">
      <c r="B4" s="533" t="s">
        <v>461</v>
      </c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20"/>
      <c r="T4" s="20"/>
    </row>
    <row r="5" spans="2:22">
      <c r="B5" s="533" t="s">
        <v>27</v>
      </c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20"/>
      <c r="T5" s="20"/>
    </row>
    <row r="6" spans="2:22">
      <c r="B6" s="533" t="s">
        <v>462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20"/>
      <c r="T6" s="20"/>
    </row>
    <row r="7" spans="2:22"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19"/>
      <c r="T7" s="19"/>
    </row>
    <row r="8" spans="2:22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9"/>
      <c r="S8" s="19"/>
      <c r="T8" s="19"/>
    </row>
    <row r="9" spans="2:22">
      <c r="K9" s="22"/>
      <c r="L9" s="23"/>
      <c r="M9" s="24"/>
      <c r="N9" s="535" t="str">
        <f>'[1](JAP4) Proposed ERF Rev'!$N$9</f>
        <v>Effective March 2019</v>
      </c>
      <c r="O9" s="536"/>
      <c r="P9" s="536"/>
      <c r="Q9" s="537"/>
      <c r="R9" s="24"/>
      <c r="S9" s="25"/>
      <c r="T9" s="24"/>
    </row>
    <row r="10" spans="2:22">
      <c r="L10" s="26" t="s">
        <v>28</v>
      </c>
      <c r="M10" s="27"/>
      <c r="N10" s="538" t="s">
        <v>29</v>
      </c>
      <c r="O10" s="539"/>
      <c r="P10" s="539"/>
      <c r="Q10" s="540"/>
      <c r="R10" s="27"/>
      <c r="S10" s="28"/>
      <c r="T10" s="27"/>
    </row>
    <row r="11" spans="2:22">
      <c r="F11" s="29" t="s">
        <v>30</v>
      </c>
      <c r="G11" s="30"/>
      <c r="L11" s="28" t="s">
        <v>31</v>
      </c>
      <c r="M11" s="31"/>
      <c r="N11" s="28" t="s">
        <v>31</v>
      </c>
      <c r="O11" s="28"/>
      <c r="P11" s="32" t="s">
        <v>24</v>
      </c>
      <c r="Q11" s="32"/>
      <c r="R11" s="32"/>
      <c r="S11" s="28" t="s">
        <v>29</v>
      </c>
      <c r="T11" s="33"/>
      <c r="U11" s="541" t="s">
        <v>32</v>
      </c>
      <c r="V11" s="542" t="s">
        <v>33</v>
      </c>
    </row>
    <row r="12" spans="2:22">
      <c r="B12" s="33" t="s">
        <v>34</v>
      </c>
      <c r="F12" s="30" t="s">
        <v>35</v>
      </c>
      <c r="G12" s="30"/>
      <c r="H12" s="26" t="s">
        <v>36</v>
      </c>
      <c r="L12" s="26" t="s">
        <v>37</v>
      </c>
      <c r="M12" s="33"/>
      <c r="N12" s="195" t="s">
        <v>37</v>
      </c>
      <c r="O12" s="26"/>
      <c r="P12" s="34" t="s">
        <v>38</v>
      </c>
      <c r="Q12" s="26" t="s">
        <v>31</v>
      </c>
      <c r="R12" s="33"/>
      <c r="S12" s="26" t="s">
        <v>39</v>
      </c>
      <c r="T12" s="35"/>
      <c r="U12" s="542"/>
      <c r="V12" s="542"/>
    </row>
    <row r="13" spans="2:22">
      <c r="B13" s="36" t="s">
        <v>40</v>
      </c>
      <c r="D13" s="37" t="s">
        <v>41</v>
      </c>
      <c r="F13" s="37" t="s">
        <v>40</v>
      </c>
      <c r="G13" s="38"/>
      <c r="H13" s="39" t="s">
        <v>42</v>
      </c>
      <c r="J13" s="39" t="s">
        <v>43</v>
      </c>
      <c r="L13" s="40" t="s">
        <v>44</v>
      </c>
      <c r="M13" s="28"/>
      <c r="N13" s="196" t="s">
        <v>44</v>
      </c>
      <c r="O13" s="41"/>
      <c r="P13" s="42" t="s">
        <v>44</v>
      </c>
      <c r="Q13" s="39" t="s">
        <v>45</v>
      </c>
      <c r="R13" s="35"/>
      <c r="S13" s="40" t="s">
        <v>46</v>
      </c>
      <c r="T13" s="35"/>
      <c r="U13" s="542"/>
      <c r="V13" s="542"/>
    </row>
    <row r="14" spans="2:22">
      <c r="B14" s="43"/>
      <c r="D14" s="34" t="s">
        <v>47</v>
      </c>
      <c r="F14" s="34" t="s">
        <v>48</v>
      </c>
      <c r="G14" s="30"/>
      <c r="H14" s="34" t="s">
        <v>49</v>
      </c>
      <c r="J14" s="34" t="s">
        <v>50</v>
      </c>
      <c r="L14" s="34" t="s">
        <v>51</v>
      </c>
      <c r="M14" s="34"/>
      <c r="N14" s="34" t="s">
        <v>52</v>
      </c>
      <c r="O14" s="34"/>
      <c r="P14" s="34" t="s">
        <v>53</v>
      </c>
      <c r="Q14" s="34" t="s">
        <v>54</v>
      </c>
      <c r="R14" s="34"/>
      <c r="S14" s="34" t="s">
        <v>55</v>
      </c>
      <c r="T14" s="31"/>
    </row>
    <row r="15" spans="2:22">
      <c r="M15" s="34"/>
      <c r="N15" s="34" t="s">
        <v>24</v>
      </c>
      <c r="P15" s="34" t="s">
        <v>56</v>
      </c>
      <c r="Q15" s="34" t="s">
        <v>57</v>
      </c>
      <c r="S15" s="34" t="s">
        <v>58</v>
      </c>
      <c r="T15" s="22"/>
    </row>
    <row r="16" spans="2:22">
      <c r="D16" s="44" t="s">
        <v>59</v>
      </c>
      <c r="T16" s="22"/>
    </row>
    <row r="17" spans="2:25">
      <c r="B17" s="33">
        <v>1</v>
      </c>
      <c r="D17" s="17" t="s">
        <v>59</v>
      </c>
      <c r="F17" s="29">
        <v>7</v>
      </c>
      <c r="G17" s="29"/>
      <c r="H17" s="45">
        <f>'[1](JAP4) Proposed ERF Rev'!H17</f>
        <v>1023208</v>
      </c>
      <c r="I17" s="18"/>
      <c r="J17" s="45">
        <f>'[1](JAP4) Proposed ERF Rev'!J17</f>
        <v>10657340</v>
      </c>
      <c r="L17" s="46">
        <f>'[1](JAP4) Proposed ERF Rev'!L17</f>
        <v>1109032.567</v>
      </c>
      <c r="M17" s="47"/>
      <c r="N17" s="47">
        <f>'[1](JAP4) Proposed ERF Rev'!N17</f>
        <v>1121093</v>
      </c>
      <c r="O17" s="46"/>
      <c r="P17" s="46">
        <f>N17-L17</f>
        <v>12060.432999999961</v>
      </c>
      <c r="Q17" s="395">
        <f>P17/L17</f>
        <v>1.0874732950921505E-2</v>
      </c>
      <c r="R17" s="48"/>
      <c r="S17" s="49">
        <f>N17/J17*100</f>
        <v>10.51944481455973</v>
      </c>
      <c r="T17" s="50"/>
      <c r="U17" s="46"/>
      <c r="V17" s="46"/>
    </row>
    <row r="18" spans="2:25">
      <c r="B18" s="51">
        <f>MAX(B$14:B17)+1</f>
        <v>2</v>
      </c>
      <c r="D18" s="52" t="s">
        <v>60</v>
      </c>
      <c r="H18" s="53">
        <f>SUM(H17:H17)</f>
        <v>1023208</v>
      </c>
      <c r="J18" s="53">
        <f>SUM(J17:J17)</f>
        <v>10657340</v>
      </c>
      <c r="L18" s="54">
        <f>SUM(L17:L17)</f>
        <v>1109032.567</v>
      </c>
      <c r="M18" s="47"/>
      <c r="N18" s="54">
        <f>SUM(N17:N17)</f>
        <v>1121093</v>
      </c>
      <c r="O18" s="46"/>
      <c r="P18" s="54">
        <f>SUM(P17)</f>
        <v>12060.432999999961</v>
      </c>
      <c r="Q18" s="396">
        <f>P18/L18</f>
        <v>1.0874732950921505E-2</v>
      </c>
      <c r="R18" s="48"/>
      <c r="S18" s="55">
        <f>N18/J18*100</f>
        <v>10.51944481455973</v>
      </c>
      <c r="T18" s="50"/>
      <c r="U18" s="54">
        <f>'[1](JAP4) Rate Spread'!$J$8</f>
        <v>12064.376539311266</v>
      </c>
      <c r="V18" s="397">
        <f>U18-P18</f>
        <v>3.9435393113053578</v>
      </c>
      <c r="Y18" s="56"/>
    </row>
    <row r="19" spans="2:25">
      <c r="J19" s="18" t="s">
        <v>24</v>
      </c>
      <c r="L19" s="56"/>
      <c r="M19" s="56"/>
      <c r="N19" s="56"/>
      <c r="O19" s="56"/>
      <c r="P19" s="56"/>
      <c r="Q19" s="57"/>
      <c r="T19" s="22"/>
      <c r="U19" s="56"/>
      <c r="V19" s="56"/>
    </row>
    <row r="20" spans="2:25">
      <c r="D20" s="58" t="s">
        <v>61</v>
      </c>
      <c r="H20" s="59"/>
      <c r="L20" s="56"/>
      <c r="M20" s="56"/>
      <c r="N20" s="56"/>
      <c r="O20" s="56"/>
      <c r="P20" s="56"/>
      <c r="Q20" s="57"/>
      <c r="T20" s="22"/>
      <c r="U20" s="56"/>
      <c r="V20" s="56"/>
    </row>
    <row r="21" spans="2:25">
      <c r="B21" s="51">
        <f>MAX(B$14:B20)+1</f>
        <v>3</v>
      </c>
      <c r="D21" s="60" t="s">
        <v>62</v>
      </c>
      <c r="F21" s="29" t="s">
        <v>63</v>
      </c>
      <c r="G21" s="30"/>
      <c r="H21" s="45">
        <f>'[1](JAP4) Proposed ERF Rev'!H21</f>
        <v>129785.16666666667</v>
      </c>
      <c r="I21" s="18"/>
      <c r="J21" s="45">
        <f>'[1](JAP4) Proposed ERF Rev'!J21</f>
        <v>2769974</v>
      </c>
      <c r="L21" s="46">
        <f>'[1](JAP4) Proposed ERF Rev'!L21</f>
        <v>269558.01400000002</v>
      </c>
      <c r="M21" s="47"/>
      <c r="N21" s="46">
        <f>'[1](JAP4) Proposed ERF Rev'!N21</f>
        <v>271757</v>
      </c>
      <c r="O21" s="46"/>
      <c r="P21" s="46">
        <f t="shared" ref="P21:P24" si="0">N21-L21</f>
        <v>2198.9859999999753</v>
      </c>
      <c r="Q21" s="395">
        <f t="shared" ref="Q21:Q24" si="1">P21/L21</f>
        <v>8.1577467030899513E-3</v>
      </c>
      <c r="R21" s="48"/>
      <c r="S21" s="49">
        <f t="shared" ref="S21:S24" si="2">N21/J21*100</f>
        <v>9.810814108724486</v>
      </c>
      <c r="T21" s="50"/>
      <c r="U21" s="46"/>
      <c r="V21" s="46"/>
      <c r="Y21" s="56"/>
    </row>
    <row r="22" spans="2:25">
      <c r="B22" s="51">
        <f>MAX(B$14:B21)+1</f>
        <v>4</v>
      </c>
      <c r="D22" s="60" t="s">
        <v>64</v>
      </c>
      <c r="E22" s="61"/>
      <c r="F22" s="29" t="s">
        <v>65</v>
      </c>
      <c r="G22" s="30"/>
      <c r="H22" s="45">
        <f>'[1](JAP4) Proposed ERF Rev'!H22</f>
        <v>7557.75</v>
      </c>
      <c r="I22" s="18"/>
      <c r="J22" s="45">
        <f>'[1](JAP4) Proposed ERF Rev'!J22</f>
        <v>2962665</v>
      </c>
      <c r="L22" s="46">
        <f>'[1](JAP4) Proposed ERF Rev'!L22</f>
        <v>267247.141</v>
      </c>
      <c r="M22" s="47"/>
      <c r="N22" s="46">
        <f>'[1](JAP4) Proposed ERF Rev'!N22</f>
        <v>269138</v>
      </c>
      <c r="O22" s="46"/>
      <c r="P22" s="46">
        <f t="shared" si="0"/>
        <v>1890.8589999999967</v>
      </c>
      <c r="Q22" s="395">
        <f t="shared" si="1"/>
        <v>7.0753198441138674E-3</v>
      </c>
      <c r="R22" s="48"/>
      <c r="S22" s="49">
        <f t="shared" si="2"/>
        <v>9.0843210420347908</v>
      </c>
      <c r="T22" s="50"/>
      <c r="U22" s="46"/>
      <c r="V22" s="46"/>
      <c r="Y22" s="56"/>
    </row>
    <row r="23" spans="2:25">
      <c r="B23" s="51">
        <f>MAX(B$14:B22)+1</f>
        <v>5</v>
      </c>
      <c r="D23" s="60" t="s">
        <v>66</v>
      </c>
      <c r="F23" s="29" t="s">
        <v>67</v>
      </c>
      <c r="G23" s="30"/>
      <c r="H23" s="45">
        <f>'[1](JAP4) Proposed ERF Rev'!H23</f>
        <v>9920</v>
      </c>
      <c r="I23" s="18"/>
      <c r="J23" s="45">
        <f>'[1](JAP4) Proposed ERF Rev'!J23</f>
        <v>1872505.8629326143</v>
      </c>
      <c r="L23" s="46">
        <f>'[1](JAP4) Proposed ERF Rev'!L23</f>
        <v>155148.611</v>
      </c>
      <c r="M23" s="47"/>
      <c r="N23" s="46">
        <f>'[1](JAP4) Proposed ERF Rev'!N23</f>
        <v>156245.54399999999</v>
      </c>
      <c r="O23" s="46"/>
      <c r="P23" s="46">
        <f t="shared" si="0"/>
        <v>1096.93299999999</v>
      </c>
      <c r="Q23" s="395">
        <f t="shared" si="1"/>
        <v>7.0702083178816851E-3</v>
      </c>
      <c r="R23" s="48"/>
      <c r="S23" s="49">
        <f t="shared" si="2"/>
        <v>8.3441951821340066</v>
      </c>
      <c r="T23" s="50"/>
      <c r="U23" s="46"/>
      <c r="V23" s="46"/>
      <c r="Y23" s="56"/>
    </row>
    <row r="24" spans="2:25">
      <c r="B24" s="51">
        <f>MAX(B$14:B23)+1</f>
        <v>6</v>
      </c>
      <c r="D24" s="60" t="s">
        <v>68</v>
      </c>
      <c r="F24" s="30">
        <v>29</v>
      </c>
      <c r="G24" s="30"/>
      <c r="H24" s="45">
        <f>'[1](JAP4) Proposed ERF Rev'!H24</f>
        <v>649.66666666666663</v>
      </c>
      <c r="I24" s="18"/>
      <c r="J24" s="45">
        <f>'[1](JAP4) Proposed ERF Rev'!J24</f>
        <v>18243</v>
      </c>
      <c r="L24" s="46">
        <f>'[1](JAP4) Proposed ERF Rev'!L24</f>
        <v>1449.5150000000001</v>
      </c>
      <c r="M24" s="47"/>
      <c r="N24" s="46">
        <f>'[1](JAP4) Proposed ERF Rev'!N24</f>
        <v>1459.731</v>
      </c>
      <c r="O24" s="46"/>
      <c r="P24" s="46">
        <f t="shared" si="0"/>
        <v>10.215999999999894</v>
      </c>
      <c r="Q24" s="395">
        <f t="shared" si="1"/>
        <v>7.0478746339292069E-3</v>
      </c>
      <c r="R24" s="48"/>
      <c r="S24" s="49">
        <f t="shared" si="2"/>
        <v>8.001595132379542</v>
      </c>
      <c r="T24" s="50"/>
      <c r="U24" s="46"/>
      <c r="V24" s="46"/>
      <c r="Y24" s="56"/>
    </row>
    <row r="25" spans="2:25">
      <c r="B25" s="51">
        <f>MAX(B$14:B24)+1</f>
        <v>7</v>
      </c>
      <c r="D25" s="52" t="s">
        <v>69</v>
      </c>
      <c r="F25" s="30"/>
      <c r="G25" s="30"/>
      <c r="H25" s="53">
        <f>SUM(H21:H24)</f>
        <v>147912.58333333334</v>
      </c>
      <c r="J25" s="53">
        <f>SUM(J21:J24)</f>
        <v>7623387.8629326141</v>
      </c>
      <c r="L25" s="54">
        <f>SUM(L21:L24)</f>
        <v>693403.28100000008</v>
      </c>
      <c r="M25" s="47"/>
      <c r="N25" s="54">
        <f>SUM(N21:N24)</f>
        <v>698600.27500000002</v>
      </c>
      <c r="O25" s="46"/>
      <c r="P25" s="54">
        <f>SUM(P21:P24)</f>
        <v>5196.9939999999624</v>
      </c>
      <c r="Q25" s="396">
        <f t="shared" ref="Q25" si="3">P25/L25</f>
        <v>7.4949082913265911E-3</v>
      </c>
      <c r="R25" s="48"/>
      <c r="S25" s="55">
        <f>N25/J25*100</f>
        <v>9.1639083247596691</v>
      </c>
      <c r="T25" s="50"/>
      <c r="U25" s="54">
        <f>'[1](JAP4) Rate Spread'!$J$14</f>
        <v>5196.2097314443436</v>
      </c>
      <c r="V25" s="54">
        <f>U25-P25</f>
        <v>-0.78426855561883713</v>
      </c>
      <c r="Y25" s="56"/>
    </row>
    <row r="26" spans="2:25">
      <c r="B26" s="51"/>
      <c r="D26" s="60"/>
      <c r="F26" s="30"/>
      <c r="G26" s="30"/>
      <c r="H26" s="45"/>
      <c r="J26" s="45"/>
      <c r="L26" s="46"/>
      <c r="M26" s="47"/>
      <c r="N26" s="46"/>
      <c r="O26" s="46"/>
      <c r="P26" s="46"/>
      <c r="Q26" s="48"/>
      <c r="R26" s="48"/>
      <c r="S26" s="49"/>
      <c r="T26" s="50"/>
      <c r="U26" s="46"/>
      <c r="V26" s="46"/>
    </row>
    <row r="27" spans="2:25">
      <c r="B27" s="51"/>
      <c r="D27" s="58" t="s">
        <v>70</v>
      </c>
      <c r="F27" s="30"/>
      <c r="G27" s="30"/>
      <c r="H27" s="45"/>
      <c r="J27" s="45"/>
      <c r="L27" s="46"/>
      <c r="M27" s="47"/>
      <c r="N27" s="46"/>
      <c r="O27" s="46"/>
      <c r="P27" s="46"/>
      <c r="Q27" s="48"/>
      <c r="R27" s="48"/>
      <c r="S27" s="49"/>
      <c r="T27" s="50"/>
      <c r="U27" s="46"/>
      <c r="V27" s="46"/>
    </row>
    <row r="28" spans="2:25">
      <c r="B28" s="51">
        <f>MAX(B$14:B26)+1</f>
        <v>8</v>
      </c>
      <c r="D28" s="60" t="s">
        <v>71</v>
      </c>
      <c r="F28" s="29" t="s">
        <v>72</v>
      </c>
      <c r="G28" s="30"/>
      <c r="H28" s="45">
        <f>'[1](JAP4) Proposed ERF Rev'!H28</f>
        <v>489.66666666666669</v>
      </c>
      <c r="I28" s="18"/>
      <c r="J28" s="45">
        <f>'[1](JAP4) Proposed ERF Rev'!J28</f>
        <v>1321181.4175556169</v>
      </c>
      <c r="L28" s="46">
        <f>'[1](JAP4) Proposed ERF Rev'!L28</f>
        <v>107151.91499999999</v>
      </c>
      <c r="M28" s="47"/>
      <c r="N28" s="46">
        <f>'[1](JAP4) Proposed ERF Rev'!N28</f>
        <v>107909.338</v>
      </c>
      <c r="O28" s="46"/>
      <c r="P28" s="46">
        <f t="shared" ref="P28:P30" si="4">N28-L28</f>
        <v>757.42300000000978</v>
      </c>
      <c r="Q28" s="395">
        <f t="shared" ref="Q28:Q31" si="5">P28/L28</f>
        <v>7.0686837468094694E-3</v>
      </c>
      <c r="R28" s="48"/>
      <c r="S28" s="49">
        <f t="shared" ref="S28:S30" si="6">N28/J28*100</f>
        <v>8.1676397023240312</v>
      </c>
      <c r="T28" s="50"/>
      <c r="U28" s="46"/>
      <c r="V28" s="46"/>
      <c r="Y28" s="56"/>
    </row>
    <row r="29" spans="2:25">
      <c r="B29" s="51">
        <f>MAX(B$14:B28)+1</f>
        <v>9</v>
      </c>
      <c r="D29" s="60" t="s">
        <v>73</v>
      </c>
      <c r="F29" s="30">
        <v>35</v>
      </c>
      <c r="G29" s="30"/>
      <c r="H29" s="45">
        <f>'[1](JAP4) Proposed ERF Rev'!H29</f>
        <v>2.75</v>
      </c>
      <c r="I29" s="18"/>
      <c r="J29" s="45">
        <f>'[1](JAP4) Proposed ERF Rev'!J29</f>
        <v>3789.48</v>
      </c>
      <c r="L29" s="46">
        <f>'[1](JAP4) Proposed ERF Rev'!L29</f>
        <v>226.02600000000001</v>
      </c>
      <c r="M29" s="47"/>
      <c r="N29" s="46">
        <f>'[1](JAP4) Proposed ERF Rev'!N29</f>
        <v>229.71600000000001</v>
      </c>
      <c r="O29" s="46"/>
      <c r="P29" s="46">
        <f t="shared" si="4"/>
        <v>3.6899999999999977</v>
      </c>
      <c r="Q29" s="395">
        <f t="shared" si="5"/>
        <v>1.6325555467070148E-2</v>
      </c>
      <c r="R29" s="48"/>
      <c r="S29" s="49">
        <f t="shared" si="6"/>
        <v>6.0619398967668392</v>
      </c>
      <c r="T29" s="50"/>
      <c r="U29" s="46"/>
      <c r="V29" s="46"/>
      <c r="Y29" s="56"/>
    </row>
    <row r="30" spans="2:25">
      <c r="B30" s="51">
        <f>MAX(B$14:B29)+1</f>
        <v>10</v>
      </c>
      <c r="D30" s="17" t="s">
        <v>74</v>
      </c>
      <c r="F30" s="29">
        <v>43</v>
      </c>
      <c r="G30" s="30"/>
      <c r="H30" s="45">
        <f>'[1](JAP4) Proposed ERF Rev'!H30</f>
        <v>157.41666666666666</v>
      </c>
      <c r="I30" s="18"/>
      <c r="J30" s="45">
        <f>'[1](JAP4) Proposed ERF Rev'!J30</f>
        <v>123046.16422024449</v>
      </c>
      <c r="L30" s="46">
        <f>'[1](JAP4) Proposed ERF Rev'!L30</f>
        <v>10794.427</v>
      </c>
      <c r="M30" s="47"/>
      <c r="N30" s="46">
        <f>'[1](JAP4) Proposed ERF Rev'!N30</f>
        <v>10911.865</v>
      </c>
      <c r="O30" s="46"/>
      <c r="P30" s="46">
        <f t="shared" si="4"/>
        <v>117.4380000000001</v>
      </c>
      <c r="Q30" s="395">
        <f t="shared" si="5"/>
        <v>1.087950291386473E-2</v>
      </c>
      <c r="R30" s="48"/>
      <c r="S30" s="49">
        <f t="shared" si="6"/>
        <v>8.8681065916597639</v>
      </c>
      <c r="T30" s="50"/>
      <c r="U30" s="46"/>
      <c r="V30" s="46"/>
      <c r="Y30" s="56"/>
    </row>
    <row r="31" spans="2:25">
      <c r="B31" s="51">
        <f>MAX(B$14:B30)+1</f>
        <v>11</v>
      </c>
      <c r="D31" s="52" t="s">
        <v>75</v>
      </c>
      <c r="F31" s="30"/>
      <c r="G31" s="30"/>
      <c r="H31" s="53">
        <f>SUM(H28:H30)</f>
        <v>649.83333333333337</v>
      </c>
      <c r="J31" s="53">
        <f>SUM(J28:J30)</f>
        <v>1448017.0617758613</v>
      </c>
      <c r="L31" s="54">
        <f>SUM(L28:L30)</f>
        <v>118172.36799999999</v>
      </c>
      <c r="M31" s="47"/>
      <c r="N31" s="54">
        <f>SUM(N28:N30)</f>
        <v>119050.91900000001</v>
      </c>
      <c r="O31" s="46"/>
      <c r="P31" s="54">
        <f>SUM(P28:P30)</f>
        <v>878.55100000000994</v>
      </c>
      <c r="Q31" s="396">
        <f t="shared" si="5"/>
        <v>7.4344875614239195E-3</v>
      </c>
      <c r="R31" s="48"/>
      <c r="S31" s="55">
        <f>N31/J31*100</f>
        <v>8.2216516740482923</v>
      </c>
      <c r="T31" s="50"/>
      <c r="U31" s="54">
        <f>'[1](JAP4) Rate Spread'!$J$20</f>
        <v>878.77221748529428</v>
      </c>
      <c r="V31" s="54">
        <f>U31-P31</f>
        <v>0.22121748528434182</v>
      </c>
      <c r="Y31" s="56"/>
    </row>
    <row r="32" spans="2:25">
      <c r="B32" s="51"/>
      <c r="F32" s="29"/>
      <c r="G32" s="30"/>
      <c r="H32" s="45"/>
      <c r="J32" s="45"/>
      <c r="L32" s="46"/>
      <c r="M32" s="47"/>
      <c r="N32" s="46"/>
      <c r="O32" s="46"/>
      <c r="P32" s="46"/>
      <c r="Q32" s="48"/>
      <c r="R32" s="48"/>
      <c r="S32" s="49"/>
      <c r="T32" s="50"/>
      <c r="U32" s="46"/>
      <c r="V32" s="46"/>
      <c r="Y32" s="56"/>
    </row>
    <row r="33" spans="2:25">
      <c r="B33" s="51">
        <f>MAX(B$14:B32)+1</f>
        <v>12</v>
      </c>
      <c r="D33" s="17" t="s">
        <v>76</v>
      </c>
      <c r="F33" s="29">
        <v>40</v>
      </c>
      <c r="G33" s="30"/>
      <c r="H33" s="53">
        <f>'[1](JAP4) Proposed ERF Rev'!H33</f>
        <v>135.25</v>
      </c>
      <c r="J33" s="53">
        <f>'[1](JAP4) Proposed ERF Rev'!J33</f>
        <v>534767.4366040678</v>
      </c>
      <c r="L33" s="54">
        <f>'[1](JAP4) Proposed ERF Rev'!L33</f>
        <v>39012.15</v>
      </c>
      <c r="M33" s="47"/>
      <c r="N33" s="54">
        <f>'[1](JAP4) Proposed ERF Rev'!N33</f>
        <v>39244.476999999999</v>
      </c>
      <c r="O33" s="46"/>
      <c r="P33" s="54">
        <f>N33-L33</f>
        <v>232.3269999999975</v>
      </c>
      <c r="Q33" s="396">
        <f t="shared" ref="Q33" si="7">P33/L33</f>
        <v>5.9552472755282004E-3</v>
      </c>
      <c r="R33" s="48"/>
      <c r="S33" s="55">
        <f>N33/J33*100</f>
        <v>7.338606338713161</v>
      </c>
      <c r="T33" s="50"/>
      <c r="U33" s="54">
        <f>'[1](JAP4) Rate Spread'!$J$22</f>
        <v>232.32699999999318</v>
      </c>
      <c r="V33" s="54">
        <f>U33-P33</f>
        <v>-4.3200998334214091E-12</v>
      </c>
      <c r="Y33" s="56"/>
    </row>
    <row r="34" spans="2:25">
      <c r="B34" s="51"/>
      <c r="F34" s="29"/>
      <c r="G34" s="30"/>
      <c r="H34" s="45"/>
      <c r="J34" s="45"/>
      <c r="L34" s="46"/>
      <c r="M34" s="47"/>
      <c r="N34" s="46"/>
      <c r="O34" s="46"/>
      <c r="P34" s="46"/>
      <c r="Q34" s="48"/>
      <c r="R34" s="48"/>
      <c r="S34" s="49"/>
      <c r="T34" s="50"/>
      <c r="U34" s="46"/>
      <c r="V34" s="46"/>
      <c r="Y34" s="56"/>
    </row>
    <row r="35" spans="2:25">
      <c r="B35" s="51"/>
      <c r="D35" s="58" t="s">
        <v>77</v>
      </c>
      <c r="F35" s="29"/>
      <c r="G35" s="30"/>
      <c r="H35" s="45"/>
      <c r="J35" s="45"/>
      <c r="L35" s="46"/>
      <c r="M35" s="47"/>
      <c r="N35" s="46"/>
      <c r="O35" s="46"/>
      <c r="P35" s="46"/>
      <c r="Q35" s="48"/>
      <c r="R35" s="48"/>
      <c r="S35" s="49"/>
      <c r="T35" s="50"/>
      <c r="U35" s="46"/>
      <c r="V35" s="46"/>
    </row>
    <row r="36" spans="2:25">
      <c r="B36" s="51">
        <f>MAX(B$14:B34)+1</f>
        <v>13</v>
      </c>
      <c r="D36" s="60" t="s">
        <v>78</v>
      </c>
      <c r="F36" s="29">
        <v>46</v>
      </c>
      <c r="G36" s="30"/>
      <c r="H36" s="45">
        <f>'[1](JAP4) Proposed ERF Rev'!H36</f>
        <v>5</v>
      </c>
      <c r="I36" s="18"/>
      <c r="J36" s="45">
        <f>'[1](JAP4) Proposed ERF Rev'!J36</f>
        <v>81153.842000000004</v>
      </c>
      <c r="L36" s="46">
        <f>'[1](JAP4) Proposed ERF Rev'!L36</f>
        <v>5401.9690000000001</v>
      </c>
      <c r="M36" s="47"/>
      <c r="N36" s="46">
        <f>'[1](JAP4) Proposed ERF Rev'!N36</f>
        <v>5439.616</v>
      </c>
      <c r="O36" s="46"/>
      <c r="P36" s="46">
        <f t="shared" ref="P36:P37" si="8">N36-L36</f>
        <v>37.646999999999935</v>
      </c>
      <c r="Q36" s="395">
        <f t="shared" ref="Q36:Q38" si="9">P36/L36</f>
        <v>6.9691255170105442E-3</v>
      </c>
      <c r="R36" s="48"/>
      <c r="S36" s="49">
        <f t="shared" ref="S36:S37" si="10">N36/J36*100</f>
        <v>6.7028447032735681</v>
      </c>
      <c r="T36" s="50"/>
      <c r="U36" s="46"/>
      <c r="V36" s="46"/>
      <c r="Y36" s="56"/>
    </row>
    <row r="37" spans="2:25">
      <c r="B37" s="51">
        <f>MAX(B$14:B36)+1</f>
        <v>14</v>
      </c>
      <c r="D37" s="17" t="s">
        <v>79</v>
      </c>
      <c r="F37" s="29">
        <v>49</v>
      </c>
      <c r="G37" s="30"/>
      <c r="H37" s="45">
        <f>'[1](JAP4) Proposed ERF Rev'!H37</f>
        <v>20</v>
      </c>
      <c r="I37" s="18"/>
      <c r="J37" s="45">
        <f>'[1](JAP4) Proposed ERF Rev'!J37</f>
        <v>553489.29599999997</v>
      </c>
      <c r="L37" s="46">
        <f>'[1](JAP4) Proposed ERF Rev'!L37</f>
        <v>36052.419000000002</v>
      </c>
      <c r="M37" s="47"/>
      <c r="N37" s="46">
        <f>'[1](JAP4) Proposed ERF Rev'!N37</f>
        <v>36307.620999999999</v>
      </c>
      <c r="O37" s="46"/>
      <c r="P37" s="46">
        <f t="shared" si="8"/>
        <v>255.2019999999975</v>
      </c>
      <c r="Q37" s="395">
        <f t="shared" si="9"/>
        <v>7.0786373585638588E-3</v>
      </c>
      <c r="R37" s="48"/>
      <c r="S37" s="49">
        <f t="shared" si="10"/>
        <v>6.5597693148522973</v>
      </c>
      <c r="T37" s="50"/>
      <c r="U37" s="46"/>
      <c r="V37" s="46"/>
      <c r="Y37" s="56"/>
    </row>
    <row r="38" spans="2:25">
      <c r="B38" s="51">
        <f>MAX(B$14:B37)+1</f>
        <v>15</v>
      </c>
      <c r="D38" s="52" t="s">
        <v>77</v>
      </c>
      <c r="F38" s="30"/>
      <c r="G38" s="30"/>
      <c r="H38" s="53">
        <f>SUM(H36:H37)</f>
        <v>25</v>
      </c>
      <c r="J38" s="53">
        <f>SUM(J36:J37)</f>
        <v>634643.13800000004</v>
      </c>
      <c r="L38" s="54">
        <f>SUM(L36:L37)</f>
        <v>41454.387999999999</v>
      </c>
      <c r="M38" s="47"/>
      <c r="N38" s="54">
        <f>SUM(N36:N37)</f>
        <v>41747.237000000001</v>
      </c>
      <c r="O38" s="46"/>
      <c r="P38" s="54">
        <f>SUM(P36:P37)</f>
        <v>292.84899999999743</v>
      </c>
      <c r="Q38" s="396">
        <f t="shared" si="9"/>
        <v>7.0643667444806428E-3</v>
      </c>
      <c r="R38" s="48"/>
      <c r="S38" s="55">
        <f>N38/J38*100</f>
        <v>6.5780648210522363</v>
      </c>
      <c r="T38" s="50"/>
      <c r="U38" s="54">
        <f>'[1](JAP4) Rate Spread'!$J$24</f>
        <v>293.11932273054629</v>
      </c>
      <c r="V38" s="54">
        <f>U38-P38</f>
        <v>0.27032273054885536</v>
      </c>
      <c r="Y38" s="56"/>
    </row>
    <row r="39" spans="2:25">
      <c r="B39" s="51"/>
      <c r="F39" s="29"/>
      <c r="G39" s="30"/>
      <c r="H39" s="45"/>
      <c r="J39" s="45"/>
      <c r="L39" s="46"/>
      <c r="M39" s="47"/>
      <c r="N39" s="46"/>
      <c r="O39" s="46"/>
      <c r="P39" s="46"/>
      <c r="Q39" s="48"/>
      <c r="R39" s="48"/>
      <c r="S39" s="49"/>
      <c r="T39" s="50"/>
      <c r="U39" s="46"/>
      <c r="V39" s="46"/>
      <c r="Y39" s="56"/>
    </row>
    <row r="40" spans="2:25">
      <c r="B40" s="51">
        <f>MAX(B$14:B39)+1</f>
        <v>16</v>
      </c>
      <c r="D40" s="17" t="s">
        <v>80</v>
      </c>
      <c r="F40" s="29" t="s">
        <v>81</v>
      </c>
      <c r="G40" s="30"/>
      <c r="H40" s="53">
        <f>'[1](JAP4) Proposed ERF Rev'!H40</f>
        <v>20</v>
      </c>
      <c r="J40" s="53">
        <f>'[1](JAP4) Proposed ERF Rev'!J40</f>
        <v>1993600.694324</v>
      </c>
      <c r="L40" s="54">
        <f>'[1](JAP4) Proposed ERF Rev'!L40</f>
        <v>8376.0509999999995</v>
      </c>
      <c r="M40" s="47"/>
      <c r="N40" s="54">
        <f>'[1](JAP4) Proposed ERF Rev'!N40</f>
        <v>8381.3389999999999</v>
      </c>
      <c r="O40" s="46"/>
      <c r="P40" s="54">
        <f>N40-L40</f>
        <v>5.2880000000004657</v>
      </c>
      <c r="Q40" s="396">
        <f t="shared" ref="Q40" si="11">P40/L40</f>
        <v>6.3132375865434273E-4</v>
      </c>
      <c r="R40" s="48"/>
      <c r="S40" s="55">
        <f>N40/J40*100</f>
        <v>0.42041212284198093</v>
      </c>
      <c r="T40" s="50"/>
      <c r="U40" s="54">
        <f>'[1](JAP4) Rate Spread'!$J$26</f>
        <v>5.2880000000000003</v>
      </c>
      <c r="V40" s="54">
        <f>U40-P40</f>
        <v>-4.6540549192286562E-13</v>
      </c>
      <c r="Y40" s="56"/>
    </row>
    <row r="41" spans="2:25">
      <c r="B41" s="51"/>
      <c r="F41" s="29"/>
      <c r="G41" s="30"/>
      <c r="H41" s="45"/>
      <c r="J41" s="45"/>
      <c r="L41" s="46"/>
      <c r="M41" s="47"/>
      <c r="N41" s="46"/>
      <c r="O41" s="46"/>
      <c r="P41" s="46"/>
      <c r="Q41" s="48"/>
      <c r="R41" s="48"/>
      <c r="S41" s="49"/>
      <c r="T41" s="50"/>
      <c r="U41" s="46"/>
      <c r="V41" s="46"/>
      <c r="Y41" s="56"/>
    </row>
    <row r="42" spans="2:25">
      <c r="B42" s="51">
        <f>MAX(B$14:B41)+1</f>
        <v>17</v>
      </c>
      <c r="D42" s="17" t="s">
        <v>82</v>
      </c>
      <c r="F42" s="29" t="s">
        <v>20</v>
      </c>
      <c r="G42" s="30"/>
      <c r="H42" s="53">
        <f>'[1](JAP4) Proposed ERF Rev'!H42</f>
        <v>7697.083333333333</v>
      </c>
      <c r="J42" s="53">
        <f>'[1](JAP4) Proposed ERF Rev'!J42</f>
        <v>70906.886296500015</v>
      </c>
      <c r="L42" s="54">
        <f>'[1](JAP4) Proposed ERF Rev'!L42</f>
        <v>16588.931</v>
      </c>
      <c r="M42" s="47"/>
      <c r="N42" s="54">
        <f>'[1](JAP4) Proposed ERF Rev'!N42</f>
        <v>16772.664000000001</v>
      </c>
      <c r="O42" s="46"/>
      <c r="P42" s="54">
        <f>N42-L42</f>
        <v>183.73300000000017</v>
      </c>
      <c r="Q42" s="396">
        <f t="shared" ref="Q42" si="12">P42/L42</f>
        <v>1.1075638327750001E-2</v>
      </c>
      <c r="R42" s="48"/>
      <c r="S42" s="55">
        <f>N42/J42*100</f>
        <v>23.654492357575013</v>
      </c>
      <c r="T42" s="50"/>
      <c r="U42" s="54">
        <f>'[1](JAP4) Rate Spread'!$J$28</f>
        <v>180.45918210502231</v>
      </c>
      <c r="V42" s="54">
        <f>U42-P42</f>
        <v>-3.2738178949778671</v>
      </c>
      <c r="Y42" s="56"/>
    </row>
    <row r="43" spans="2:25">
      <c r="B43" s="51"/>
      <c r="F43" s="29"/>
      <c r="G43" s="30"/>
      <c r="H43" s="45"/>
      <c r="J43" s="45"/>
      <c r="L43" s="46"/>
      <c r="M43" s="47"/>
      <c r="N43" s="46"/>
      <c r="O43" s="46"/>
      <c r="P43" s="46"/>
      <c r="Q43" s="48"/>
      <c r="R43" s="48"/>
      <c r="S43" s="49"/>
      <c r="T43" s="50"/>
      <c r="U43" s="46"/>
      <c r="V43" s="46"/>
      <c r="Y43" s="56"/>
    </row>
    <row r="44" spans="2:25">
      <c r="B44" s="51">
        <f>MAX(B$14:B43)+1</f>
        <v>18</v>
      </c>
      <c r="D44" s="52" t="s">
        <v>83</v>
      </c>
      <c r="H44" s="53">
        <f>SUM(H42,H40,H38,H33,H31,H25,H18)</f>
        <v>1179647.75</v>
      </c>
      <c r="J44" s="53">
        <f>SUM(J42,J40,J38,J33,J31,J25,J18)</f>
        <v>22962663.079933044</v>
      </c>
      <c r="L44" s="54">
        <f>SUM(L42,L40,L38,L33,L31,L25,L18)</f>
        <v>2026039.736</v>
      </c>
      <c r="M44" s="47"/>
      <c r="N44" s="54">
        <f>SUM(N42,N40,N38,N33,N31,N25,N18)</f>
        <v>2044889.9110000001</v>
      </c>
      <c r="O44" s="46"/>
      <c r="P44" s="54">
        <f>SUM(P42,P40,P38,P33,P31,P25,P18)</f>
        <v>18850.17499999993</v>
      </c>
      <c r="Q44" s="396">
        <f>P44/L44</f>
        <v>9.3039512824243682E-3</v>
      </c>
      <c r="R44" s="48"/>
      <c r="S44" s="55">
        <f>N44/J44*100</f>
        <v>8.9052820392902028</v>
      </c>
      <c r="T44" s="50"/>
      <c r="U44" s="54">
        <f>SUM(U42,U40,U38,U33,U31,U25,U18)</f>
        <v>18850.551993076464</v>
      </c>
      <c r="V44" s="54">
        <f>U44-P44</f>
        <v>0.37699307653383585</v>
      </c>
      <c r="Y44" s="56"/>
    </row>
    <row r="45" spans="2:25">
      <c r="B45" s="33"/>
      <c r="L45" s="56"/>
      <c r="M45" s="56"/>
      <c r="N45" s="56"/>
      <c r="O45" s="56"/>
      <c r="P45" s="56"/>
      <c r="Q45" s="57"/>
      <c r="T45" s="22"/>
      <c r="U45" s="56"/>
      <c r="V45" s="56"/>
      <c r="Y45" s="56"/>
    </row>
    <row r="46" spans="2:25">
      <c r="B46" s="51">
        <f>MAX(B$14:B45)+1</f>
        <v>19</v>
      </c>
      <c r="D46" s="17" t="s">
        <v>84</v>
      </c>
      <c r="F46" s="29" t="s">
        <v>20</v>
      </c>
      <c r="G46" s="30"/>
      <c r="H46" s="53">
        <f>'[1](JAP4) Proposed ERF Rev'!H46</f>
        <v>8</v>
      </c>
      <c r="J46" s="53">
        <f>'[1](JAP4) Proposed ERF Rev'!J46</f>
        <v>7237.6555782419</v>
      </c>
      <c r="L46" s="54">
        <f>'[1](JAP4) Proposed ERF Rev'!L46</f>
        <v>329.85399999999998</v>
      </c>
      <c r="M46" s="47"/>
      <c r="N46" s="54">
        <f>'[1](JAP4) Proposed ERF Rev'!N46</f>
        <v>332.92300692352671</v>
      </c>
      <c r="O46" s="46"/>
      <c r="P46" s="54">
        <f>N46-L46</f>
        <v>3.0690069235267288</v>
      </c>
      <c r="Q46" s="396">
        <f t="shared" ref="Q46" si="13">P46/L46</f>
        <v>9.3041373563053018E-3</v>
      </c>
      <c r="R46" s="48"/>
      <c r="S46" s="55">
        <f>N46/J46*100</f>
        <v>4.5998735823292254</v>
      </c>
      <c r="T46" s="50"/>
      <c r="U46" s="54">
        <f>'[1](JAP4) Rate Spread'!$J$32</f>
        <v>3.069006923526719</v>
      </c>
      <c r="V46" s="54">
        <f>U46-P46</f>
        <v>-9.7699626167013776E-15</v>
      </c>
      <c r="Y46" s="56"/>
    </row>
    <row r="47" spans="2:25">
      <c r="B47" s="33"/>
      <c r="L47" s="56"/>
      <c r="M47" s="56"/>
      <c r="N47" s="56"/>
      <c r="O47" s="56"/>
      <c r="P47" s="56"/>
      <c r="Q47" s="57"/>
      <c r="S47" s="57"/>
      <c r="T47" s="22"/>
      <c r="U47" s="56"/>
      <c r="V47" s="56"/>
      <c r="Y47" s="56"/>
    </row>
    <row r="48" spans="2:25" ht="16.2" thickBot="1">
      <c r="B48" s="51">
        <f>MAX(B$14:B47)+1</f>
        <v>20</v>
      </c>
      <c r="D48" s="62" t="s">
        <v>85</v>
      </c>
      <c r="H48" s="63">
        <f>H46+H44</f>
        <v>1179655.75</v>
      </c>
      <c r="J48" s="63">
        <f>J46+J44</f>
        <v>22969900.735511284</v>
      </c>
      <c r="L48" s="64">
        <f>L46+L44</f>
        <v>2026369.59</v>
      </c>
      <c r="M48" s="65"/>
      <c r="N48" s="64">
        <f>N46+N44</f>
        <v>2045222.8340069237</v>
      </c>
      <c r="O48" s="66"/>
      <c r="P48" s="64">
        <f>P46+P44</f>
        <v>18853.244006923458</v>
      </c>
      <c r="Q48" s="398">
        <f>P48/L48</f>
        <v>9.3039513127136184E-3</v>
      </c>
      <c r="R48" s="50"/>
      <c r="S48" s="399">
        <f>N48/J48*100</f>
        <v>8.9039254351022308</v>
      </c>
      <c r="T48" s="50"/>
      <c r="U48" s="64">
        <f t="shared" ref="U48:V48" si="14">U46+U44</f>
        <v>18853.620999999992</v>
      </c>
      <c r="V48" s="64">
        <f t="shared" si="14"/>
        <v>0.37699307653382608</v>
      </c>
      <c r="Y48" s="56"/>
    </row>
    <row r="49" spans="2:25" ht="16.2" thickTop="1">
      <c r="B49" s="543" t="s">
        <v>24</v>
      </c>
      <c r="C49" s="544"/>
      <c r="D49" s="544"/>
      <c r="H49" s="67"/>
      <c r="J49" s="67"/>
      <c r="L49" s="68"/>
      <c r="M49" s="50"/>
      <c r="N49" s="68"/>
      <c r="O49" s="68"/>
      <c r="P49" s="68"/>
      <c r="Q49" s="57"/>
      <c r="R49" s="50"/>
      <c r="S49" s="50"/>
      <c r="T49" s="50"/>
      <c r="Y49" s="56"/>
    </row>
    <row r="50" spans="2:25" ht="18.75" customHeight="1">
      <c r="H50" s="282"/>
      <c r="I50" s="282"/>
      <c r="J50" s="59"/>
      <c r="K50" s="282"/>
      <c r="L50" s="73"/>
      <c r="P50" s="69" t="s">
        <v>24</v>
      </c>
      <c r="Q50" s="70" t="s">
        <v>24</v>
      </c>
      <c r="Y50" s="56"/>
    </row>
    <row r="51" spans="2:25">
      <c r="H51" s="282"/>
      <c r="I51" s="282"/>
      <c r="J51" s="59"/>
      <c r="K51" s="282"/>
      <c r="L51" s="73"/>
      <c r="M51" s="22"/>
      <c r="N51" s="71"/>
      <c r="P51" s="71"/>
      <c r="Q51" s="72"/>
      <c r="R51" s="22"/>
      <c r="S51" s="22"/>
      <c r="T51" s="22"/>
      <c r="Y51" s="56"/>
    </row>
    <row r="52" spans="2:25">
      <c r="J52" s="59"/>
      <c r="L52" s="73"/>
      <c r="M52" s="22"/>
      <c r="N52" s="73"/>
      <c r="P52" s="73"/>
      <c r="R52" s="22"/>
      <c r="S52" s="68"/>
      <c r="T52" s="22"/>
    </row>
    <row r="53" spans="2:25">
      <c r="N53" s="74"/>
      <c r="P53" s="75"/>
      <c r="Q53" s="76"/>
    </row>
    <row r="54" spans="2:25">
      <c r="N54" s="22"/>
      <c r="P54" s="77"/>
      <c r="Q54" s="78"/>
    </row>
    <row r="55" spans="2:25">
      <c r="N55" s="43"/>
      <c r="P55" s="79"/>
      <c r="Q55" s="80"/>
    </row>
    <row r="56" spans="2:25">
      <c r="N56" s="81"/>
      <c r="Q56" s="82"/>
    </row>
    <row r="57" spans="2:25">
      <c r="N57" s="18"/>
      <c r="Q57" s="83"/>
    </row>
    <row r="59" spans="2:25">
      <c r="N59" s="43"/>
    </row>
  </sheetData>
  <mergeCells count="11">
    <mergeCell ref="N9:Q9"/>
    <mergeCell ref="N10:Q10"/>
    <mergeCell ref="U11:U13"/>
    <mergeCell ref="V11:V13"/>
    <mergeCell ref="B49:D49"/>
    <mergeCell ref="B7:R7"/>
    <mergeCell ref="B2:R2"/>
    <mergeCell ref="B3:R3"/>
    <mergeCell ref="B4:R4"/>
    <mergeCell ref="B5:R5"/>
    <mergeCell ref="B6:R6"/>
  </mergeCells>
  <printOptions horizontalCentered="1"/>
  <pageMargins left="0.7" right="0.7" top="0.75" bottom="0.75" header="0.3" footer="0.3"/>
  <pageSetup scale="7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"/>
  <sheetViews>
    <sheetView workbookViewId="0"/>
  </sheetViews>
  <sheetFormatPr defaultColWidth="8.88671875" defaultRowHeight="13.2"/>
  <cols>
    <col min="1" max="16384" width="8.88671875" style="497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4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88671875" defaultRowHeight="13.2"/>
  <cols>
    <col min="1" max="1" width="7.664062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1.5546875" style="1" bestFit="1" customWidth="1"/>
    <col min="6" max="6" width="13.33203125" style="1" bestFit="1" customWidth="1"/>
    <col min="7" max="16384" width="8.88671875" style="1"/>
  </cols>
  <sheetData>
    <row r="1" spans="1:6">
      <c r="A1" s="545" t="s">
        <v>0</v>
      </c>
      <c r="B1" s="545"/>
      <c r="C1" s="545"/>
      <c r="D1" s="545"/>
      <c r="E1" s="545"/>
      <c r="F1" s="545"/>
    </row>
    <row r="2" spans="1:6">
      <c r="A2" s="546" t="s">
        <v>90</v>
      </c>
      <c r="B2" s="545"/>
      <c r="C2" s="545"/>
      <c r="D2" s="545"/>
      <c r="E2" s="545"/>
      <c r="F2" s="545"/>
    </row>
    <row r="3" spans="1:6">
      <c r="A3" s="545" t="str">
        <f>+'JAP-4 (ERF Impacts)'!A3</f>
        <v>Test Year ended June 2018</v>
      </c>
      <c r="B3" s="545"/>
      <c r="C3" s="545"/>
      <c r="D3" s="545"/>
      <c r="E3" s="545"/>
      <c r="F3" s="545"/>
    </row>
    <row r="4" spans="1:6">
      <c r="A4" s="545"/>
      <c r="B4" s="545"/>
      <c r="C4" s="545"/>
      <c r="D4" s="545"/>
      <c r="E4" s="545"/>
      <c r="F4" s="545"/>
    </row>
    <row r="5" spans="1:6">
      <c r="A5" s="2"/>
      <c r="B5" s="3"/>
      <c r="C5" s="3"/>
      <c r="D5" s="3"/>
      <c r="E5" s="4"/>
      <c r="F5" s="4"/>
    </row>
    <row r="6" spans="1:6" ht="52.8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61" t="s">
        <v>463</v>
      </c>
      <c r="F6" s="7" t="s">
        <v>207</v>
      </c>
    </row>
    <row r="7" spans="1:6">
      <c r="A7" s="3">
        <v>1</v>
      </c>
      <c r="B7" s="3">
        <v>7</v>
      </c>
      <c r="C7" s="4"/>
      <c r="D7" s="9">
        <f>+'JAP-4 (ERF Impacts)'!C9</f>
        <v>10657340</v>
      </c>
      <c r="E7" s="184">
        <v>0</v>
      </c>
      <c r="F7" s="185">
        <f>ROUND(D7*E7,0)</f>
        <v>0</v>
      </c>
    </row>
    <row r="8" spans="1:6">
      <c r="A8" s="3">
        <f t="shared" ref="A8:A40" si="0">+A7+1</f>
        <v>2</v>
      </c>
      <c r="B8" s="2" t="s">
        <v>14</v>
      </c>
      <c r="C8" s="4"/>
      <c r="D8" s="9">
        <v>0</v>
      </c>
      <c r="E8" s="184">
        <v>0</v>
      </c>
      <c r="F8" s="185">
        <f>ROUND(D8*E8,0)</f>
        <v>0</v>
      </c>
    </row>
    <row r="9" spans="1:6">
      <c r="A9" s="3">
        <f t="shared" si="0"/>
        <v>3</v>
      </c>
      <c r="B9" s="3"/>
      <c r="C9" s="4" t="s">
        <v>15</v>
      </c>
      <c r="D9" s="12">
        <f>SUM(D7:D8)</f>
        <v>10657340</v>
      </c>
      <c r="E9" s="186"/>
      <c r="F9" s="187">
        <f t="shared" ref="F9" si="1">SUM(F7:F8)</f>
        <v>0</v>
      </c>
    </row>
    <row r="10" spans="1:6">
      <c r="A10" s="3">
        <f t="shared" si="0"/>
        <v>4</v>
      </c>
      <c r="B10" s="3"/>
      <c r="C10" s="4"/>
      <c r="D10" s="9"/>
      <c r="E10" s="184"/>
      <c r="F10" s="185"/>
    </row>
    <row r="11" spans="1:6">
      <c r="A11" s="3">
        <f t="shared" si="0"/>
        <v>5</v>
      </c>
      <c r="B11" s="3">
        <v>8</v>
      </c>
      <c r="C11" s="4"/>
      <c r="D11" s="9">
        <v>0</v>
      </c>
      <c r="E11" s="184">
        <v>0</v>
      </c>
      <c r="F11" s="185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+'JAP-4 (ERF Impacts)'!C12</f>
        <v>2769974</v>
      </c>
      <c r="E12" s="184">
        <v>0</v>
      </c>
      <c r="F12" s="185">
        <f t="shared" si="2"/>
        <v>0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84">
        <v>0</v>
      </c>
      <c r="F13" s="185">
        <f t="shared" si="2"/>
        <v>0</v>
      </c>
    </row>
    <row r="14" spans="1:6">
      <c r="A14" s="3">
        <f t="shared" si="0"/>
        <v>8</v>
      </c>
      <c r="B14" s="2">
        <v>25</v>
      </c>
      <c r="D14" s="9">
        <f>+'JAP-4 (ERF Impacts)'!C13</f>
        <v>2962665</v>
      </c>
      <c r="E14" s="184">
        <v>0</v>
      </c>
      <c r="F14" s="185">
        <f t="shared" si="2"/>
        <v>0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84">
        <v>0</v>
      </c>
      <c r="F15" s="185">
        <f t="shared" si="2"/>
        <v>0</v>
      </c>
    </row>
    <row r="16" spans="1:6">
      <c r="A16" s="3">
        <f t="shared" si="0"/>
        <v>10</v>
      </c>
      <c r="B16" s="3" t="s">
        <v>16</v>
      </c>
      <c r="D16" s="9">
        <f>+'JAP-4 (ERF Impacts)'!C14</f>
        <v>1872506</v>
      </c>
      <c r="E16" s="184">
        <v>0</v>
      </c>
      <c r="F16" s="185">
        <f t="shared" si="2"/>
        <v>0</v>
      </c>
    </row>
    <row r="17" spans="1:6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4">
        <v>0</v>
      </c>
      <c r="F17" s="185">
        <f t="shared" si="2"/>
        <v>0</v>
      </c>
    </row>
    <row r="18" spans="1:6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6"/>
      <c r="F18" s="187">
        <f t="shared" ref="F18" si="3">SUM(F11:F17)</f>
        <v>0</v>
      </c>
    </row>
    <row r="19" spans="1:6">
      <c r="A19" s="3">
        <f t="shared" si="0"/>
        <v>13</v>
      </c>
      <c r="B19" s="3"/>
      <c r="C19" s="4"/>
      <c r="D19" s="9"/>
      <c r="E19" s="184"/>
      <c r="F19" s="185"/>
    </row>
    <row r="20" spans="1:6">
      <c r="A20" s="3">
        <f t="shared" si="0"/>
        <v>14</v>
      </c>
      <c r="B20" s="3">
        <v>10</v>
      </c>
      <c r="D20" s="9">
        <v>0</v>
      </c>
      <c r="E20" s="184">
        <v>0</v>
      </c>
      <c r="F20" s="185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4">
        <v>0</v>
      </c>
      <c r="F21" s="185">
        <f>ROUND(D21*E21,0)</f>
        <v>0</v>
      </c>
    </row>
    <row r="22" spans="1:6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4">
        <v>0</v>
      </c>
      <c r="F22" s="185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4">
        <v>0</v>
      </c>
      <c r="F23" s="185">
        <f>ROUND(D23*E23,0)</f>
        <v>0</v>
      </c>
    </row>
    <row r="24" spans="1:6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6"/>
      <c r="F24" s="187">
        <f t="shared" ref="F24" si="4">SUM(F20:F23)</f>
        <v>0</v>
      </c>
    </row>
    <row r="25" spans="1:6">
      <c r="A25" s="3">
        <f t="shared" si="0"/>
        <v>19</v>
      </c>
      <c r="B25" s="3"/>
      <c r="C25" s="4"/>
      <c r="D25" s="9"/>
      <c r="E25" s="184"/>
      <c r="F25" s="185"/>
    </row>
    <row r="26" spans="1:6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6">
        <v>0</v>
      </c>
      <c r="F26" s="187">
        <f>ROUND(D26*E26,0)</f>
        <v>0</v>
      </c>
    </row>
    <row r="27" spans="1:6">
      <c r="A27" s="3">
        <f t="shared" si="0"/>
        <v>21</v>
      </c>
      <c r="B27" s="3"/>
      <c r="C27" s="4"/>
      <c r="D27" s="9"/>
      <c r="E27" s="184"/>
      <c r="F27" s="185"/>
    </row>
    <row r="28" spans="1:6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4">
        <v>0</v>
      </c>
      <c r="F28" s="185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4">
        <v>0</v>
      </c>
      <c r="F29" s="185">
        <f>ROUND(D29*E29,0)</f>
        <v>0</v>
      </c>
    </row>
    <row r="30" spans="1:6">
      <c r="A30" s="3">
        <f t="shared" si="0"/>
        <v>24</v>
      </c>
      <c r="B30" s="3"/>
      <c r="C30" s="4" t="s">
        <v>19</v>
      </c>
      <c r="D30" s="12">
        <f>SUM(D28:D29)</f>
        <v>634643</v>
      </c>
      <c r="E30" s="186"/>
      <c r="F30" s="187">
        <f t="shared" ref="F30" si="5">SUM(F28:F29)</f>
        <v>0</v>
      </c>
    </row>
    <row r="31" spans="1:6">
      <c r="A31" s="3">
        <f t="shared" si="0"/>
        <v>25</v>
      </c>
      <c r="B31" s="3"/>
      <c r="C31" s="4"/>
      <c r="D31" s="9"/>
      <c r="E31" s="184"/>
      <c r="F31" s="185"/>
    </row>
    <row r="32" spans="1:6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6">
        <v>0</v>
      </c>
      <c r="F32" s="187">
        <f>ROUND(D32*E32,0)</f>
        <v>0</v>
      </c>
    </row>
    <row r="33" spans="1:6">
      <c r="A33" s="3">
        <f t="shared" si="0"/>
        <v>27</v>
      </c>
      <c r="B33" s="3"/>
      <c r="C33" s="4"/>
      <c r="D33" s="9"/>
      <c r="E33" s="184"/>
      <c r="F33" s="185"/>
    </row>
    <row r="34" spans="1:6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6">
        <v>0</v>
      </c>
      <c r="F34" s="187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184"/>
      <c r="F35" s="185"/>
    </row>
    <row r="36" spans="1:6" ht="13.8" thickBot="1">
      <c r="A36" s="3">
        <f t="shared" si="0"/>
        <v>30</v>
      </c>
      <c r="B36" s="3"/>
      <c r="C36" s="11" t="s">
        <v>91</v>
      </c>
      <c r="D36" s="13">
        <f>SUM(D9,D18,D24,D26,D30,D32,D34)</f>
        <v>22962662</v>
      </c>
      <c r="E36" s="189"/>
      <c r="F36" s="190">
        <f t="shared" ref="F36" si="6">SUM(F9,F18,F24,F26,F30,F32,F34)</f>
        <v>0</v>
      </c>
    </row>
    <row r="37" spans="1:6" ht="13.8" thickTop="1">
      <c r="A37" s="3">
        <f t="shared" si="0"/>
        <v>31</v>
      </c>
      <c r="B37" s="3"/>
      <c r="F37" s="185"/>
    </row>
    <row r="38" spans="1:6">
      <c r="A38" s="3">
        <f t="shared" si="0"/>
        <v>32</v>
      </c>
      <c r="B38" s="3">
        <v>5</v>
      </c>
      <c r="C38" s="1" t="s">
        <v>92</v>
      </c>
      <c r="D38" s="9">
        <f>+'JAP-4 (ERF Impacts)'!C35</f>
        <v>7238</v>
      </c>
      <c r="E38" s="186">
        <v>0</v>
      </c>
      <c r="F38" s="187">
        <f>ROUND(D38*E38,0)</f>
        <v>0</v>
      </c>
    </row>
    <row r="39" spans="1:6">
      <c r="A39" s="3">
        <f t="shared" si="0"/>
        <v>33</v>
      </c>
      <c r="B39" s="3"/>
      <c r="F39" s="185"/>
    </row>
    <row r="40" spans="1:6" ht="13.8" thickBot="1">
      <c r="A40" s="3">
        <f t="shared" si="0"/>
        <v>34</v>
      </c>
      <c r="B40" s="3"/>
      <c r="C40" s="11" t="s">
        <v>93</v>
      </c>
      <c r="D40" s="13">
        <f>SUM(D36,D38)</f>
        <v>22969900</v>
      </c>
      <c r="F40" s="190">
        <f t="shared" ref="F40" si="7">SUM(F36,F38)</f>
        <v>0</v>
      </c>
    </row>
    <row r="41" spans="1:6" ht="13.8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H38" sqref="H38"/>
    </sheetView>
  </sheetViews>
  <sheetFormatPr defaultColWidth="8.88671875" defaultRowHeight="13.2"/>
  <cols>
    <col min="1" max="1" width="7.664062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4" style="1" bestFit="1" customWidth="1"/>
    <col min="6" max="6" width="13.33203125" style="1" bestFit="1" customWidth="1"/>
    <col min="7" max="7" width="2.44140625" style="1" customWidth="1"/>
    <col min="8" max="8" width="18.33203125" style="1" bestFit="1" customWidth="1"/>
    <col min="9" max="9" width="9.5546875" style="1" bestFit="1" customWidth="1"/>
    <col min="10" max="10" width="2.33203125" style="1" customWidth="1"/>
    <col min="11" max="11" width="12.6640625" style="1" customWidth="1"/>
    <col min="12" max="16384" width="8.88671875" style="1"/>
  </cols>
  <sheetData>
    <row r="1" spans="1:11">
      <c r="A1" s="545" t="s">
        <v>0</v>
      </c>
      <c r="B1" s="545"/>
      <c r="C1" s="545"/>
      <c r="D1" s="545"/>
      <c r="E1" s="545"/>
      <c r="F1" s="545"/>
    </row>
    <row r="2" spans="1:11">
      <c r="A2" s="546" t="s">
        <v>94</v>
      </c>
      <c r="B2" s="545"/>
      <c r="C2" s="545"/>
      <c r="D2" s="545"/>
      <c r="E2" s="545"/>
      <c r="F2" s="545"/>
    </row>
    <row r="3" spans="1:11">
      <c r="A3" s="545" t="str">
        <f>+'JAP-4 (ERF Impacts)'!A3</f>
        <v>Test Year ended June 2018</v>
      </c>
      <c r="B3" s="545"/>
      <c r="C3" s="545"/>
      <c r="D3" s="545"/>
      <c r="E3" s="545"/>
      <c r="F3" s="545"/>
    </row>
    <row r="4" spans="1:11">
      <c r="A4" s="545"/>
      <c r="B4" s="545"/>
      <c r="C4" s="545"/>
      <c r="D4" s="545"/>
      <c r="E4" s="545"/>
      <c r="F4" s="545"/>
    </row>
    <row r="5" spans="1:11">
      <c r="A5" s="2"/>
      <c r="B5" s="3"/>
      <c r="C5" s="3"/>
      <c r="D5" s="3"/>
      <c r="E5" s="4"/>
      <c r="F5" s="4" t="s">
        <v>127</v>
      </c>
    </row>
    <row r="6" spans="1:11" ht="66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61" t="s">
        <v>390</v>
      </c>
      <c r="F6" s="7" t="s">
        <v>206</v>
      </c>
      <c r="H6" s="361" t="s">
        <v>423</v>
      </c>
      <c r="I6" s="361" t="s">
        <v>206</v>
      </c>
      <c r="K6" s="89" t="s">
        <v>33</v>
      </c>
    </row>
    <row r="7" spans="1:11">
      <c r="A7" s="3">
        <v>1</v>
      </c>
      <c r="B7" s="3">
        <v>7</v>
      </c>
      <c r="C7" s="4"/>
      <c r="D7" s="9">
        <f>+'JAP-4 (ERF Impacts)'!C9</f>
        <v>10657340</v>
      </c>
      <c r="E7" s="184">
        <f>+'UE-180284 Sch 95A'!F8</f>
        <v>-2.4910000000000002E-3</v>
      </c>
      <c r="F7" s="185">
        <f>ROUND(D7*E7,0)</f>
        <v>-26547</v>
      </c>
      <c r="H7" s="184">
        <f>+'UE-180284 Sch 95A'!G8</f>
        <v>-2.0720000000000001E-3</v>
      </c>
      <c r="I7" s="393">
        <f>ROUND(D7*H7,0)</f>
        <v>-22082</v>
      </c>
      <c r="K7" s="414">
        <f>+I7-F7</f>
        <v>4465</v>
      </c>
    </row>
    <row r="8" spans="1:11">
      <c r="A8" s="3">
        <f t="shared" ref="A8:A40" si="0">+A7+1</f>
        <v>2</v>
      </c>
      <c r="B8" s="2" t="s">
        <v>14</v>
      </c>
      <c r="C8" s="4"/>
      <c r="D8" s="9">
        <v>0</v>
      </c>
      <c r="E8" s="184">
        <f>+'UE-180284 Sch 95A'!F11</f>
        <v>-2.0590000000000001E-3</v>
      </c>
      <c r="F8" s="185">
        <f>ROUND(D8*E8,0)</f>
        <v>0</v>
      </c>
      <c r="H8" s="184">
        <f>+'UE-180284 Sch 95A'!G11</f>
        <v>-1.7129999999999999E-3</v>
      </c>
      <c r="I8" s="393">
        <f>ROUND(D8*H8,0)</f>
        <v>0</v>
      </c>
      <c r="K8" s="414">
        <f>+I8-F8</f>
        <v>0</v>
      </c>
    </row>
    <row r="9" spans="1:11">
      <c r="A9" s="3">
        <f t="shared" si="0"/>
        <v>3</v>
      </c>
      <c r="B9" s="3"/>
      <c r="C9" s="4" t="s">
        <v>15</v>
      </c>
      <c r="D9" s="12">
        <f>SUM(D7:D8)</f>
        <v>10657340</v>
      </c>
      <c r="E9" s="186"/>
      <c r="F9" s="187">
        <f t="shared" ref="F9" si="1">SUM(F7:F8)</f>
        <v>-26547</v>
      </c>
      <c r="H9" s="186"/>
      <c r="I9" s="394">
        <f t="shared" ref="I9:K9" si="2">SUM(I7:I8)</f>
        <v>-22082</v>
      </c>
      <c r="K9" s="394">
        <f t="shared" si="2"/>
        <v>4465</v>
      </c>
    </row>
    <row r="10" spans="1:11">
      <c r="A10" s="3">
        <f t="shared" si="0"/>
        <v>4</v>
      </c>
      <c r="B10" s="3"/>
      <c r="C10" s="4"/>
      <c r="D10" s="9"/>
      <c r="E10" s="184"/>
      <c r="F10" s="185"/>
      <c r="H10" s="184"/>
      <c r="I10" s="393"/>
      <c r="K10" s="393"/>
    </row>
    <row r="11" spans="1:11">
      <c r="A11" s="3">
        <f t="shared" si="0"/>
        <v>5</v>
      </c>
      <c r="B11" s="3">
        <v>8</v>
      </c>
      <c r="C11" s="4"/>
      <c r="D11" s="9">
        <v>0</v>
      </c>
      <c r="E11" s="184">
        <f>+'UE-180284 Sch 95A'!F10</f>
        <v>-2.0119999999999999E-3</v>
      </c>
      <c r="F11" s="185">
        <f t="shared" ref="F11:F17" si="3">ROUND(D11*E11,0)</f>
        <v>0</v>
      </c>
      <c r="H11" s="184">
        <f>+'UE-180284 Sch 95A'!G10</f>
        <v>-1.6739999999999999E-3</v>
      </c>
      <c r="I11" s="393">
        <f t="shared" ref="I11:I17" si="4">ROUND(D11*H11,0)</f>
        <v>0</v>
      </c>
      <c r="K11" s="414">
        <f t="shared" ref="K11:K17" si="5">+I11-F11</f>
        <v>0</v>
      </c>
    </row>
    <row r="12" spans="1:11">
      <c r="A12" s="3">
        <f t="shared" si="0"/>
        <v>6</v>
      </c>
      <c r="B12" s="3">
        <v>24</v>
      </c>
      <c r="D12" s="9">
        <f>+'JAP-4 (ERF Impacts)'!C12</f>
        <v>2769974</v>
      </c>
      <c r="E12" s="188">
        <f>+E11</f>
        <v>-2.0119999999999999E-3</v>
      </c>
      <c r="F12" s="185">
        <f t="shared" si="3"/>
        <v>-5573</v>
      </c>
      <c r="H12" s="188">
        <f>+H11</f>
        <v>-1.6739999999999999E-3</v>
      </c>
      <c r="I12" s="393">
        <f t="shared" si="4"/>
        <v>-4637</v>
      </c>
      <c r="K12" s="414">
        <f t="shared" si="5"/>
        <v>936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184">
        <f>+E8</f>
        <v>-2.0590000000000001E-3</v>
      </c>
      <c r="F13" s="185">
        <f t="shared" si="3"/>
        <v>0</v>
      </c>
      <c r="H13" s="184">
        <f>+H8</f>
        <v>-1.7129999999999999E-3</v>
      </c>
      <c r="I13" s="393">
        <f t="shared" si="4"/>
        <v>0</v>
      </c>
      <c r="K13" s="414">
        <f t="shared" si="5"/>
        <v>0</v>
      </c>
    </row>
    <row r="14" spans="1:11">
      <c r="A14" s="3">
        <f t="shared" si="0"/>
        <v>8</v>
      </c>
      <c r="B14" s="2">
        <v>25</v>
      </c>
      <c r="D14" s="9">
        <f>+'JAP-4 (ERF Impacts)'!C13</f>
        <v>2962665</v>
      </c>
      <c r="E14" s="188">
        <f>+E13</f>
        <v>-2.0590000000000001E-3</v>
      </c>
      <c r="F14" s="185">
        <f t="shared" si="3"/>
        <v>-6100</v>
      </c>
      <c r="H14" s="188">
        <f>+H13</f>
        <v>-1.7129999999999999E-3</v>
      </c>
      <c r="I14" s="393">
        <f t="shared" si="4"/>
        <v>-5075</v>
      </c>
      <c r="K14" s="414">
        <f t="shared" si="5"/>
        <v>1025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184">
        <f>+'UE-180284 Sch 95A'!F12</f>
        <v>-2.147E-3</v>
      </c>
      <c r="F15" s="185">
        <f t="shared" si="3"/>
        <v>0</v>
      </c>
      <c r="H15" s="184">
        <f>+'UE-180284 Sch 95A'!G12</f>
        <v>-1.786E-3</v>
      </c>
      <c r="I15" s="393">
        <f t="shared" si="4"/>
        <v>0</v>
      </c>
      <c r="K15" s="414">
        <f t="shared" si="5"/>
        <v>0</v>
      </c>
    </row>
    <row r="16" spans="1:11">
      <c r="A16" s="3">
        <f t="shared" si="0"/>
        <v>10</v>
      </c>
      <c r="B16" s="3" t="s">
        <v>16</v>
      </c>
      <c r="D16" s="9">
        <f>+'JAP-4 (ERF Impacts)'!C14</f>
        <v>1872506</v>
      </c>
      <c r="E16" s="188">
        <f>+E15</f>
        <v>-2.147E-3</v>
      </c>
      <c r="F16" s="185">
        <f t="shared" si="3"/>
        <v>-4020</v>
      </c>
      <c r="H16" s="188">
        <f>+H15</f>
        <v>-1.786E-3</v>
      </c>
      <c r="I16" s="393">
        <f t="shared" si="4"/>
        <v>-3344</v>
      </c>
      <c r="K16" s="414">
        <f t="shared" si="5"/>
        <v>676</v>
      </c>
    </row>
    <row r="17" spans="1:11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4">
        <f>+'UE-180284 Sch 95A'!F13</f>
        <v>-1.877E-3</v>
      </c>
      <c r="F17" s="185">
        <f t="shared" si="3"/>
        <v>-34</v>
      </c>
      <c r="H17" s="184">
        <f>+'UE-180284 Sch 95A'!G13</f>
        <v>-1.562E-3</v>
      </c>
      <c r="I17" s="393">
        <f t="shared" si="4"/>
        <v>-28</v>
      </c>
      <c r="K17" s="414">
        <f t="shared" si="5"/>
        <v>6</v>
      </c>
    </row>
    <row r="18" spans="1:11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6"/>
      <c r="F18" s="187">
        <f t="shared" ref="F18" si="6">SUM(F11:F17)</f>
        <v>-15727</v>
      </c>
      <c r="H18" s="186"/>
      <c r="I18" s="394">
        <f t="shared" ref="I18:K18" si="7">SUM(I11:I17)</f>
        <v>-13084</v>
      </c>
      <c r="K18" s="394">
        <f t="shared" si="7"/>
        <v>2643</v>
      </c>
    </row>
    <row r="19" spans="1:11">
      <c r="A19" s="3">
        <f t="shared" si="0"/>
        <v>13</v>
      </c>
      <c r="B19" s="3"/>
      <c r="C19" s="4"/>
      <c r="D19" s="9"/>
      <c r="E19" s="184"/>
      <c r="F19" s="185"/>
      <c r="H19" s="184"/>
      <c r="I19" s="393"/>
      <c r="K19" s="393"/>
    </row>
    <row r="20" spans="1:11">
      <c r="A20" s="3">
        <f t="shared" si="0"/>
        <v>14</v>
      </c>
      <c r="B20" s="3">
        <v>10</v>
      </c>
      <c r="D20" s="9">
        <v>0</v>
      </c>
      <c r="E20" s="184">
        <f>+'UE-180284 Sch 95A'!F17</f>
        <v>-2.0049999999999998E-3</v>
      </c>
      <c r="F20" s="185">
        <f>ROUND(D20*E20,0)</f>
        <v>0</v>
      </c>
      <c r="H20" s="184">
        <f>+'UE-180284 Sch 95A'!G17</f>
        <v>-1.668E-3</v>
      </c>
      <c r="I20" s="393">
        <f t="shared" ref="I20:I23" si="8">ROUND(D20*H20,0)</f>
        <v>0</v>
      </c>
      <c r="K20" s="414">
        <f t="shared" ref="K20:K23" si="9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8">
        <f>+E20</f>
        <v>-2.0049999999999998E-3</v>
      </c>
      <c r="F21" s="185">
        <f>ROUND(D21*E21,0)</f>
        <v>-2649</v>
      </c>
      <c r="H21" s="188">
        <f>+H20</f>
        <v>-1.668E-3</v>
      </c>
      <c r="I21" s="393">
        <f t="shared" si="8"/>
        <v>-2204</v>
      </c>
      <c r="K21" s="414">
        <f t="shared" si="9"/>
        <v>445</v>
      </c>
    </row>
    <row r="22" spans="1:11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4">
        <f>+'UE-180284 Sch 95A'!F18</f>
        <v>-1.3569999999999999E-3</v>
      </c>
      <c r="F22" s="185">
        <f>ROUND(D22*E22,0)</f>
        <v>-5</v>
      </c>
      <c r="H22" s="184">
        <f>+'UE-180284 Sch 95A'!G18</f>
        <v>-1.129E-3</v>
      </c>
      <c r="I22" s="393">
        <f t="shared" si="8"/>
        <v>-4</v>
      </c>
      <c r="K22" s="414">
        <f t="shared" si="9"/>
        <v>1</v>
      </c>
    </row>
    <row r="23" spans="1:11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4">
        <f>+'UE-180284 Sch 95A'!F19</f>
        <v>-1.812E-3</v>
      </c>
      <c r="F23" s="185">
        <f>ROUND(D23*E23,0)</f>
        <v>-223</v>
      </c>
      <c r="H23" s="184">
        <f>+'UE-180284 Sch 95A'!G19</f>
        <v>-1.508E-3</v>
      </c>
      <c r="I23" s="393">
        <f t="shared" si="8"/>
        <v>-186</v>
      </c>
      <c r="K23" s="414">
        <f t="shared" si="9"/>
        <v>37</v>
      </c>
    </row>
    <row r="24" spans="1:11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6"/>
      <c r="F24" s="187">
        <f t="shared" ref="F24" si="10">SUM(F20:F23)</f>
        <v>-2877</v>
      </c>
      <c r="H24" s="186"/>
      <c r="I24" s="394">
        <f t="shared" ref="I24:K24" si="11">SUM(I20:I23)</f>
        <v>-2394</v>
      </c>
      <c r="K24" s="394">
        <f t="shared" si="11"/>
        <v>483</v>
      </c>
    </row>
    <row r="25" spans="1:11">
      <c r="A25" s="3">
        <f t="shared" si="0"/>
        <v>19</v>
      </c>
      <c r="B25" s="3"/>
      <c r="C25" s="4"/>
      <c r="D25" s="9"/>
      <c r="E25" s="184"/>
      <c r="F25" s="185"/>
      <c r="H25" s="184"/>
      <c r="I25" s="393"/>
      <c r="K25" s="393"/>
    </row>
    <row r="26" spans="1:11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6">
        <f>+'UE-180284 Sch 95A'!F23</f>
        <v>-2.1289999999999998E-3</v>
      </c>
      <c r="F26" s="187">
        <f>ROUND(D26*E26,0)</f>
        <v>-1139</v>
      </c>
      <c r="H26" s="186">
        <f>+'UE-180284 Sch 95A'!G23</f>
        <v>-1.7719999999999999E-3</v>
      </c>
      <c r="I26" s="393">
        <f>ROUND(D26*H26,0)</f>
        <v>-948</v>
      </c>
      <c r="K26" s="414">
        <f>+I26-F26</f>
        <v>191</v>
      </c>
    </row>
    <row r="27" spans="1:11">
      <c r="A27" s="3">
        <f t="shared" si="0"/>
        <v>21</v>
      </c>
      <c r="B27" s="3"/>
      <c r="C27" s="4"/>
      <c r="D27" s="9"/>
      <c r="E27" s="184"/>
      <c r="F27" s="185"/>
      <c r="H27" s="184"/>
      <c r="I27" s="393"/>
      <c r="K27" s="393"/>
    </row>
    <row r="28" spans="1:11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4">
        <f>+'UE-180284 Sch 95A'!F25</f>
        <v>-1.0250000000000001E-3</v>
      </c>
      <c r="F28" s="185">
        <f>ROUND(D28*E28,0)</f>
        <v>-83</v>
      </c>
      <c r="H28" s="184">
        <f>+'UE-180284 Sch 95A'!G25</f>
        <v>-8.5300000000000003E-4</v>
      </c>
      <c r="I28" s="393">
        <f t="shared" ref="I28:I29" si="12">ROUND(D28*H28,0)</f>
        <v>-69</v>
      </c>
      <c r="K28" s="414">
        <f t="shared" ref="K28:K29" si="13">+I28-F28</f>
        <v>14</v>
      </c>
    </row>
    <row r="29" spans="1:11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4">
        <f>+'UE-180284 Sch 95A'!F26</f>
        <v>-2.0379999999999999E-3</v>
      </c>
      <c r="F29" s="185">
        <f>ROUND(D29*E29,0)</f>
        <v>-1128</v>
      </c>
      <c r="H29" s="184">
        <f>+'UE-180284 Sch 95A'!G26</f>
        <v>-1.6949999999999999E-3</v>
      </c>
      <c r="I29" s="393">
        <f t="shared" si="12"/>
        <v>-938</v>
      </c>
      <c r="K29" s="414">
        <f t="shared" si="13"/>
        <v>190</v>
      </c>
    </row>
    <row r="30" spans="1:11">
      <c r="A30" s="3">
        <f t="shared" si="0"/>
        <v>24</v>
      </c>
      <c r="B30" s="3"/>
      <c r="C30" s="4" t="s">
        <v>19</v>
      </c>
      <c r="D30" s="12">
        <f>SUM(D28:D29)</f>
        <v>634643</v>
      </c>
      <c r="E30" s="186"/>
      <c r="F30" s="187">
        <f t="shared" ref="F30" si="14">SUM(F28:F29)</f>
        <v>-1211</v>
      </c>
      <c r="H30" s="186"/>
      <c r="I30" s="394">
        <f t="shared" ref="I30:K30" si="15">SUM(I28:I29)</f>
        <v>-1007</v>
      </c>
      <c r="K30" s="394">
        <f t="shared" si="15"/>
        <v>204</v>
      </c>
    </row>
    <row r="31" spans="1:11">
      <c r="A31" s="3">
        <f t="shared" si="0"/>
        <v>25</v>
      </c>
      <c r="B31" s="3"/>
      <c r="C31" s="4"/>
      <c r="D31" s="9"/>
      <c r="E31" s="184"/>
      <c r="F31" s="185"/>
      <c r="H31" s="184"/>
      <c r="I31" s="393"/>
      <c r="K31" s="393"/>
    </row>
    <row r="32" spans="1:11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6">
        <f>+'UE-180284 Sch 95A'!F30</f>
        <v>-2.5379999999999999E-3</v>
      </c>
      <c r="F32" s="187">
        <f>ROUND(D32*E32,0)</f>
        <v>-180</v>
      </c>
      <c r="H32" s="186">
        <f>+'UE-180284 Sch 95A'!G30</f>
        <v>-2.1120000000000002E-3</v>
      </c>
      <c r="I32" s="393">
        <f>ROUND(D32*H32,0)</f>
        <v>-150</v>
      </c>
      <c r="K32" s="414">
        <f>+I32-F32</f>
        <v>30</v>
      </c>
    </row>
    <row r="33" spans="1:11">
      <c r="A33" s="3">
        <f t="shared" si="0"/>
        <v>27</v>
      </c>
      <c r="B33" s="3"/>
      <c r="C33" s="4"/>
      <c r="D33" s="9"/>
      <c r="E33" s="184"/>
      <c r="F33" s="185"/>
      <c r="H33" s="184"/>
      <c r="I33" s="393"/>
      <c r="K33" s="393"/>
    </row>
    <row r="34" spans="1:11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6">
        <f>+'UE-180284 Sch 95A'!F37</f>
        <v>0</v>
      </c>
      <c r="F34" s="187">
        <f>ROUND(D34*E34,0)</f>
        <v>0</v>
      </c>
      <c r="H34" s="186">
        <f>+'UE-180284 Sch 95A'!G37</f>
        <v>0</v>
      </c>
      <c r="I34" s="393">
        <f>ROUND(D34*H34,0)</f>
        <v>0</v>
      </c>
      <c r="K34" s="414">
        <f>+I34-F34</f>
        <v>0</v>
      </c>
    </row>
    <row r="35" spans="1:11">
      <c r="A35" s="3">
        <f t="shared" si="0"/>
        <v>29</v>
      </c>
      <c r="B35" s="3"/>
      <c r="C35" s="4"/>
      <c r="D35" s="9"/>
      <c r="E35" s="184"/>
      <c r="F35" s="185"/>
      <c r="H35" s="184"/>
      <c r="I35" s="393"/>
      <c r="K35" s="393"/>
    </row>
    <row r="36" spans="1:11" ht="13.8" thickBot="1">
      <c r="A36" s="3">
        <f t="shared" si="0"/>
        <v>30</v>
      </c>
      <c r="B36" s="3"/>
      <c r="C36" s="11" t="s">
        <v>91</v>
      </c>
      <c r="D36" s="13">
        <f>SUM(D9,D18,D24,D26,D30,D32,D34)</f>
        <v>22962662</v>
      </c>
      <c r="E36" s="189"/>
      <c r="F36" s="190">
        <f t="shared" ref="F36" si="16">SUM(F9,F18,F24,F26,F30,F32,F34)</f>
        <v>-47681</v>
      </c>
      <c r="H36" s="189"/>
      <c r="I36" s="190">
        <f t="shared" ref="I36:K36" si="17">SUM(I9,I18,I24,I26,I30,I32,I34)</f>
        <v>-39665</v>
      </c>
      <c r="K36" s="190">
        <f t="shared" si="17"/>
        <v>8016</v>
      </c>
    </row>
    <row r="37" spans="1:11" ht="13.8" thickTop="1">
      <c r="A37" s="3">
        <f t="shared" si="0"/>
        <v>31</v>
      </c>
      <c r="B37" s="3"/>
      <c r="F37" s="185"/>
      <c r="I37" s="393"/>
      <c r="K37" s="393"/>
    </row>
    <row r="38" spans="1:11">
      <c r="A38" s="3">
        <f t="shared" si="0"/>
        <v>32</v>
      </c>
      <c r="B38" s="3">
        <v>5</v>
      </c>
      <c r="C38" s="1" t="s">
        <v>92</v>
      </c>
      <c r="D38" s="9">
        <f>+'JAP-4 (ERF Impacts)'!C35</f>
        <v>7238</v>
      </c>
      <c r="E38" s="186"/>
      <c r="F38" s="187">
        <f>ROUND(D38*E38,0)</f>
        <v>0</v>
      </c>
      <c r="H38" s="186"/>
      <c r="I38" s="393">
        <f>ROUND(D38*H38,0)</f>
        <v>0</v>
      </c>
      <c r="K38" s="414">
        <f>+I38-F38</f>
        <v>0</v>
      </c>
    </row>
    <row r="39" spans="1:11">
      <c r="A39" s="3">
        <f t="shared" si="0"/>
        <v>33</v>
      </c>
      <c r="B39" s="3"/>
      <c r="F39" s="185"/>
      <c r="I39" s="393"/>
      <c r="K39" s="393"/>
    </row>
    <row r="40" spans="1:11" ht="13.8" thickBot="1">
      <c r="A40" s="3">
        <f t="shared" si="0"/>
        <v>34</v>
      </c>
      <c r="B40" s="3"/>
      <c r="C40" s="11" t="s">
        <v>93</v>
      </c>
      <c r="D40" s="13">
        <f>SUM(D36,D38)</f>
        <v>22969900</v>
      </c>
      <c r="F40" s="190">
        <f t="shared" ref="F40" si="18">SUM(F36,F38)</f>
        <v>-47681</v>
      </c>
      <c r="I40" s="190">
        <f t="shared" ref="I40:K40" si="19">SUM(I36,I38)</f>
        <v>-39665</v>
      </c>
      <c r="K40" s="190">
        <f t="shared" si="19"/>
        <v>8016</v>
      </c>
    </row>
    <row r="41" spans="1:11" ht="13.8" thickTop="1">
      <c r="I41" s="414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2"/>
  <sheetViews>
    <sheetView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88671875" defaultRowHeight="13.2"/>
  <cols>
    <col min="1" max="1" width="7.664062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4" style="1" bestFit="1" customWidth="1"/>
    <col min="6" max="6" width="13.33203125" style="1" bestFit="1" customWidth="1"/>
    <col min="7" max="7" width="8.88671875" style="1"/>
    <col min="8" max="8" width="10.88671875" style="1" bestFit="1" customWidth="1"/>
    <col min="9" max="9" width="9.5546875" style="1" bestFit="1" customWidth="1"/>
    <col min="10" max="10" width="8.88671875" style="1"/>
    <col min="11" max="11" width="9.5546875" style="1" bestFit="1" customWidth="1"/>
    <col min="12" max="16384" width="8.88671875" style="1"/>
  </cols>
  <sheetData>
    <row r="1" spans="1:11">
      <c r="A1" s="545" t="s">
        <v>0</v>
      </c>
      <c r="B1" s="545"/>
      <c r="C1" s="545"/>
      <c r="D1" s="545"/>
      <c r="E1" s="545"/>
      <c r="F1" s="545"/>
    </row>
    <row r="2" spans="1:11">
      <c r="A2" s="546" t="s">
        <v>204</v>
      </c>
      <c r="B2" s="545"/>
      <c r="C2" s="545"/>
      <c r="D2" s="545"/>
      <c r="E2" s="545"/>
      <c r="F2" s="545"/>
    </row>
    <row r="3" spans="1:11">
      <c r="A3" s="545" t="str">
        <f>+'JAP-4 (ERF Impacts)'!A3</f>
        <v>Test Year ended June 2018</v>
      </c>
      <c r="B3" s="545"/>
      <c r="C3" s="545"/>
      <c r="D3" s="545"/>
      <c r="E3" s="545"/>
      <c r="F3" s="545"/>
    </row>
    <row r="4" spans="1:11">
      <c r="A4" s="545"/>
      <c r="B4" s="545"/>
      <c r="C4" s="545"/>
      <c r="D4" s="545"/>
      <c r="E4" s="545"/>
      <c r="F4" s="545"/>
    </row>
    <row r="5" spans="1:11">
      <c r="A5" s="2"/>
      <c r="B5" s="3"/>
      <c r="C5" s="3"/>
      <c r="D5" s="3"/>
      <c r="E5" s="4"/>
      <c r="F5" s="4" t="s">
        <v>127</v>
      </c>
    </row>
    <row r="6" spans="1:11" ht="52.8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7" t="s">
        <v>364</v>
      </c>
      <c r="F6" s="7" t="s">
        <v>205</v>
      </c>
      <c r="H6" s="361" t="s">
        <v>423</v>
      </c>
      <c r="I6" s="361" t="s">
        <v>205</v>
      </c>
      <c r="K6" s="361" t="s">
        <v>424</v>
      </c>
    </row>
    <row r="7" spans="1:11">
      <c r="A7" s="3">
        <v>1</v>
      </c>
      <c r="B7" s="3">
        <v>7</v>
      </c>
      <c r="C7" s="4"/>
      <c r="D7" s="9">
        <f>+'JAP-4 (ERF Impacts)'!C9</f>
        <v>10657340</v>
      </c>
      <c r="E7" s="184">
        <f>+'UE-180285 Sch 120 '!F7</f>
        <v>6.0750000000000005E-3</v>
      </c>
      <c r="F7" s="185">
        <f>ROUND(D7*E7,0)</f>
        <v>64743</v>
      </c>
      <c r="H7" s="184">
        <f>+'UE-180285 Sch 120 '!G7</f>
        <v>4.8599999999999997E-3</v>
      </c>
      <c r="I7" s="393">
        <f>ROUND(D7*H7,0)</f>
        <v>51795</v>
      </c>
      <c r="K7" s="393">
        <f>+I7-F7</f>
        <v>-12948</v>
      </c>
    </row>
    <row r="8" spans="1:11">
      <c r="A8" s="3">
        <f t="shared" ref="A8:A40" si="0">+A7+1</f>
        <v>2</v>
      </c>
      <c r="B8" s="2" t="s">
        <v>14</v>
      </c>
      <c r="C8" s="4"/>
      <c r="D8" s="9">
        <v>0</v>
      </c>
      <c r="E8" s="184">
        <f>+'UE-180285 Sch 120 '!F10</f>
        <v>4.4990000000000004E-3</v>
      </c>
      <c r="F8" s="185">
        <f>ROUND(D8*E8,0)</f>
        <v>0</v>
      </c>
      <c r="H8" s="184">
        <f>+'UE-180285 Sch 120 '!G10</f>
        <v>4.2570000000000004E-3</v>
      </c>
      <c r="I8" s="393">
        <f>ROUND(D8*H8,0)</f>
        <v>0</v>
      </c>
      <c r="K8" s="393">
        <f>+I8-F8</f>
        <v>0</v>
      </c>
    </row>
    <row r="9" spans="1:11">
      <c r="A9" s="3">
        <f t="shared" si="0"/>
        <v>3</v>
      </c>
      <c r="B9" s="3"/>
      <c r="C9" s="4" t="s">
        <v>15</v>
      </c>
      <c r="D9" s="12">
        <f>SUM(D7:D8)</f>
        <v>10657340</v>
      </c>
      <c r="E9" s="186"/>
      <c r="F9" s="187">
        <f t="shared" ref="F9" si="1">SUM(F7:F8)</f>
        <v>64743</v>
      </c>
      <c r="H9" s="186"/>
      <c r="I9" s="394">
        <f t="shared" ref="I9:K9" si="2">SUM(I7:I8)</f>
        <v>51795</v>
      </c>
      <c r="K9" s="394">
        <f t="shared" si="2"/>
        <v>-12948</v>
      </c>
    </row>
    <row r="10" spans="1:11">
      <c r="A10" s="3">
        <f t="shared" si="0"/>
        <v>4</v>
      </c>
      <c r="B10" s="3"/>
      <c r="C10" s="4"/>
      <c r="D10" s="9"/>
      <c r="E10" s="184"/>
      <c r="F10" s="185"/>
      <c r="H10" s="184"/>
      <c r="I10" s="393"/>
      <c r="K10" s="393"/>
    </row>
    <row r="11" spans="1:11">
      <c r="A11" s="3">
        <f t="shared" si="0"/>
        <v>5</v>
      </c>
      <c r="B11" s="3">
        <v>8</v>
      </c>
      <c r="C11" s="4"/>
      <c r="D11" s="9">
        <v>0</v>
      </c>
      <c r="E11" s="184">
        <f>+'UE-180285 Sch 120 '!F9</f>
        <v>4.6410000000000002E-3</v>
      </c>
      <c r="F11" s="185">
        <f t="shared" ref="F11:F17" si="3">ROUND(D11*E11,0)</f>
        <v>0</v>
      </c>
      <c r="H11" s="184">
        <f>+'UE-180285 Sch 120 '!G9</f>
        <v>4.2079999999999999E-3</v>
      </c>
      <c r="I11" s="393">
        <f t="shared" ref="I11:I17" si="4">ROUND(D11*H11,0)</f>
        <v>0</v>
      </c>
      <c r="K11" s="393">
        <f t="shared" ref="K11:K17" si="5">+I11-F11</f>
        <v>0</v>
      </c>
    </row>
    <row r="12" spans="1:11">
      <c r="A12" s="3">
        <f t="shared" si="0"/>
        <v>6</v>
      </c>
      <c r="B12" s="3">
        <v>24</v>
      </c>
      <c r="D12" s="9">
        <f>+'JAP-4 (ERF Impacts)'!C12</f>
        <v>2769974</v>
      </c>
      <c r="E12" s="188">
        <f>+E11</f>
        <v>4.6410000000000002E-3</v>
      </c>
      <c r="F12" s="185">
        <f t="shared" si="3"/>
        <v>12855</v>
      </c>
      <c r="H12" s="188">
        <f>+H11</f>
        <v>4.2079999999999999E-3</v>
      </c>
      <c r="I12" s="393">
        <f t="shared" si="4"/>
        <v>11656</v>
      </c>
      <c r="K12" s="393">
        <f t="shared" si="5"/>
        <v>-1199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184">
        <f>+E8</f>
        <v>4.4990000000000004E-3</v>
      </c>
      <c r="F13" s="185">
        <f t="shared" si="3"/>
        <v>0</v>
      </c>
      <c r="H13" s="184">
        <f>+H8</f>
        <v>4.2570000000000004E-3</v>
      </c>
      <c r="I13" s="393">
        <f t="shared" si="4"/>
        <v>0</v>
      </c>
      <c r="K13" s="393">
        <f t="shared" si="5"/>
        <v>0</v>
      </c>
    </row>
    <row r="14" spans="1:11">
      <c r="A14" s="3">
        <f t="shared" si="0"/>
        <v>8</v>
      </c>
      <c r="B14" s="2">
        <v>25</v>
      </c>
      <c r="D14" s="9">
        <f>+'JAP-4 (ERF Impacts)'!C13</f>
        <v>2962665</v>
      </c>
      <c r="E14" s="188">
        <f>+E13</f>
        <v>4.4990000000000004E-3</v>
      </c>
      <c r="F14" s="185">
        <f t="shared" si="3"/>
        <v>13329</v>
      </c>
      <c r="H14" s="188">
        <f>+H13</f>
        <v>4.2570000000000004E-3</v>
      </c>
      <c r="I14" s="393">
        <f t="shared" si="4"/>
        <v>12612</v>
      </c>
      <c r="K14" s="393">
        <f t="shared" si="5"/>
        <v>-717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184">
        <f>+'UE-180285 Sch 120 '!F11</f>
        <v>4.8000000000000004E-3</v>
      </c>
      <c r="F15" s="185">
        <f t="shared" si="3"/>
        <v>0</v>
      </c>
      <c r="H15" s="184">
        <f>+'UE-180285 Sch 120 '!G11</f>
        <v>4.3249999999999999E-3</v>
      </c>
      <c r="I15" s="393">
        <f t="shared" si="4"/>
        <v>0</v>
      </c>
      <c r="K15" s="393">
        <f t="shared" si="5"/>
        <v>0</v>
      </c>
    </row>
    <row r="16" spans="1:11">
      <c r="A16" s="3">
        <f t="shared" si="0"/>
        <v>10</v>
      </c>
      <c r="B16" s="3" t="s">
        <v>16</v>
      </c>
      <c r="D16" s="9">
        <f>+'JAP-4 (ERF Impacts)'!C14</f>
        <v>1872506</v>
      </c>
      <c r="E16" s="188">
        <f>+E15</f>
        <v>4.8000000000000004E-3</v>
      </c>
      <c r="F16" s="185">
        <f t="shared" si="3"/>
        <v>8988</v>
      </c>
      <c r="H16" s="188">
        <f>+H15</f>
        <v>4.3249999999999999E-3</v>
      </c>
      <c r="I16" s="393">
        <f t="shared" si="4"/>
        <v>8099</v>
      </c>
      <c r="K16" s="393">
        <f t="shared" si="5"/>
        <v>-889</v>
      </c>
    </row>
    <row r="17" spans="1:11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4">
        <f>+'UE-180285 Sch 120 '!F12</f>
        <v>4.5799999999999999E-3</v>
      </c>
      <c r="F17" s="185">
        <f t="shared" si="3"/>
        <v>84</v>
      </c>
      <c r="H17" s="184">
        <f>+'UE-180285 Sch 120 '!G12</f>
        <v>3.1960000000000001E-3</v>
      </c>
      <c r="I17" s="393">
        <f t="shared" si="4"/>
        <v>58</v>
      </c>
      <c r="K17" s="393">
        <f t="shared" si="5"/>
        <v>-26</v>
      </c>
    </row>
    <row r="18" spans="1:11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6"/>
      <c r="F18" s="187">
        <f t="shared" ref="F18" si="6">SUM(F11:F17)</f>
        <v>35256</v>
      </c>
      <c r="H18" s="186"/>
      <c r="I18" s="394">
        <f t="shared" ref="I18:K18" si="7">SUM(I11:I17)</f>
        <v>32425</v>
      </c>
      <c r="K18" s="394">
        <f t="shared" si="7"/>
        <v>-2831</v>
      </c>
    </row>
    <row r="19" spans="1:11">
      <c r="A19" s="3">
        <f t="shared" si="0"/>
        <v>13</v>
      </c>
      <c r="B19" s="3"/>
      <c r="C19" s="4"/>
      <c r="D19" s="9"/>
      <c r="E19" s="184"/>
      <c r="F19" s="185"/>
      <c r="H19" s="184"/>
      <c r="I19" s="393"/>
      <c r="K19" s="393"/>
    </row>
    <row r="20" spans="1:11">
      <c r="A20" s="3">
        <f t="shared" si="0"/>
        <v>14</v>
      </c>
      <c r="B20" s="3">
        <v>10</v>
      </c>
      <c r="D20" s="9">
        <v>0</v>
      </c>
      <c r="E20" s="184">
        <f>+'UE-180285 Sch 120 '!F16</f>
        <v>4.5519999999999996E-3</v>
      </c>
      <c r="F20" s="185">
        <f>ROUND(D20*E20,0)</f>
        <v>0</v>
      </c>
      <c r="H20" s="184">
        <f>+'UE-180285 Sch 120 '!G16</f>
        <v>4.1520000000000003E-3</v>
      </c>
      <c r="I20" s="393">
        <f t="shared" ref="I20:I23" si="8">ROUND(D20*H20,0)</f>
        <v>0</v>
      </c>
      <c r="K20" s="393">
        <f t="shared" ref="K20:K23" si="9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8">
        <f>+E20</f>
        <v>4.5519999999999996E-3</v>
      </c>
      <c r="F21" s="185">
        <f>ROUND(D21*E21,0)</f>
        <v>6014</v>
      </c>
      <c r="H21" s="188">
        <f>+H20</f>
        <v>4.1520000000000003E-3</v>
      </c>
      <c r="I21" s="393">
        <f t="shared" si="8"/>
        <v>5486</v>
      </c>
      <c r="K21" s="393">
        <f t="shared" si="9"/>
        <v>-528</v>
      </c>
    </row>
    <row r="22" spans="1:11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4">
        <f>+'UE-180285 Sch 120 '!F17</f>
        <v>3.1360000000000003E-3</v>
      </c>
      <c r="F22" s="185">
        <f>ROUND(D22*E22,0)</f>
        <v>12</v>
      </c>
      <c r="H22" s="184">
        <f>+'UE-180285 Sch 120 '!G17</f>
        <v>2.9009999999999999E-3</v>
      </c>
      <c r="I22" s="393">
        <f t="shared" si="8"/>
        <v>11</v>
      </c>
      <c r="K22" s="393">
        <f t="shared" si="9"/>
        <v>-1</v>
      </c>
    </row>
    <row r="23" spans="1:11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4">
        <f>+'UE-180285 Sch 120 '!F18</f>
        <v>4.2499999999999994E-3</v>
      </c>
      <c r="F23" s="185">
        <f>ROUND(D23*E23,0)</f>
        <v>523</v>
      </c>
      <c r="H23" s="184">
        <f>+'UE-180285 Sch 120 '!G18</f>
        <v>3.2989999999999998E-3</v>
      </c>
      <c r="I23" s="393">
        <f t="shared" si="8"/>
        <v>406</v>
      </c>
      <c r="K23" s="393">
        <f t="shared" si="9"/>
        <v>-117</v>
      </c>
    </row>
    <row r="24" spans="1:11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6"/>
      <c r="F24" s="187">
        <f t="shared" ref="F24" si="10">SUM(F20:F23)</f>
        <v>6549</v>
      </c>
      <c r="H24" s="186"/>
      <c r="I24" s="394">
        <f t="shared" ref="I24:K24" si="11">SUM(I20:I23)</f>
        <v>5903</v>
      </c>
      <c r="K24" s="394">
        <f t="shared" si="11"/>
        <v>-646</v>
      </c>
    </row>
    <row r="25" spans="1:11">
      <c r="A25" s="3">
        <f t="shared" si="0"/>
        <v>19</v>
      </c>
      <c r="B25" s="3"/>
      <c r="C25" s="4"/>
      <c r="D25" s="9"/>
      <c r="E25" s="184"/>
      <c r="F25" s="185"/>
      <c r="H25" s="184"/>
      <c r="I25" s="393"/>
      <c r="K25" s="393"/>
    </row>
    <row r="26" spans="1:11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6">
        <f>+'UE-180285 Sch 120 '!F22</f>
        <v>5.1419999999999999E-3</v>
      </c>
      <c r="F26" s="187">
        <f>ROUND(D26*E26,0)</f>
        <v>2750</v>
      </c>
      <c r="H26" s="186">
        <f>+'UE-180285 Sch 120 '!G22</f>
        <v>3.79E-3</v>
      </c>
      <c r="I26" s="394">
        <f>ROUND(D26*H26,0)</f>
        <v>2027</v>
      </c>
      <c r="K26" s="394">
        <f>+I26-F26</f>
        <v>-723</v>
      </c>
    </row>
    <row r="27" spans="1:11">
      <c r="A27" s="3">
        <f t="shared" si="0"/>
        <v>21</v>
      </c>
      <c r="B27" s="3"/>
      <c r="C27" s="4"/>
      <c r="D27" s="9"/>
      <c r="E27" s="184"/>
      <c r="F27" s="185"/>
      <c r="H27" s="184"/>
      <c r="I27" s="393"/>
      <c r="K27" s="393"/>
    </row>
    <row r="28" spans="1:11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4">
        <f>+'UE-180285 Sch 120 '!F24</f>
        <v>2.9170000000000003E-3</v>
      </c>
      <c r="F28" s="185">
        <f>ROUND(D28*E28,0)</f>
        <v>237</v>
      </c>
      <c r="H28" s="184">
        <f>+'UE-180285 Sch 120 '!G24</f>
        <v>2.6159999999999998E-3</v>
      </c>
      <c r="I28" s="393">
        <f t="shared" ref="I28:I29" si="12">ROUND(D28*H28,0)</f>
        <v>212</v>
      </c>
      <c r="K28" s="393">
        <f t="shared" ref="K28:K29" si="13">+I28-F28</f>
        <v>-25</v>
      </c>
    </row>
    <row r="29" spans="1:11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4">
        <f>+'UE-180285 Sch 120 '!F25</f>
        <v>4.4260000000000002E-3</v>
      </c>
      <c r="F29" s="185">
        <f>ROUND(D29*E29,0)</f>
        <v>2450</v>
      </c>
      <c r="H29" s="184">
        <f>+'UE-180285 Sch 120 '!G25</f>
        <v>3.9039999999999999E-3</v>
      </c>
      <c r="I29" s="393">
        <f t="shared" si="12"/>
        <v>2161</v>
      </c>
      <c r="K29" s="393">
        <f t="shared" si="13"/>
        <v>-289</v>
      </c>
    </row>
    <row r="30" spans="1:11">
      <c r="A30" s="3">
        <f t="shared" si="0"/>
        <v>24</v>
      </c>
      <c r="B30" s="3"/>
      <c r="C30" s="4" t="s">
        <v>19</v>
      </c>
      <c r="D30" s="12">
        <f>SUM(D28:D29)</f>
        <v>634643</v>
      </c>
      <c r="E30" s="186"/>
      <c r="F30" s="187">
        <f t="shared" ref="F30" si="14">SUM(F28:F29)</f>
        <v>2687</v>
      </c>
      <c r="H30" s="186"/>
      <c r="I30" s="394">
        <f t="shared" ref="I30:K30" si="15">SUM(I28:I29)</f>
        <v>2373</v>
      </c>
      <c r="K30" s="394">
        <f t="shared" si="15"/>
        <v>-314</v>
      </c>
    </row>
    <row r="31" spans="1:11">
      <c r="A31" s="3">
        <f t="shared" si="0"/>
        <v>25</v>
      </c>
      <c r="B31" s="3"/>
      <c r="C31" s="4"/>
      <c r="D31" s="9"/>
      <c r="E31" s="184"/>
      <c r="F31" s="185"/>
      <c r="H31" s="184"/>
      <c r="I31" s="393"/>
      <c r="K31" s="393"/>
    </row>
    <row r="32" spans="1:11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6">
        <f>+'UE-180285 Sch 120 '!F31</f>
        <v>6.2750000000000002E-3</v>
      </c>
      <c r="F32" s="187">
        <f>ROUND(D32*E32,0)</f>
        <v>445</v>
      </c>
      <c r="H32" s="186">
        <f>+'UE-180285 Sch 120 '!G31</f>
        <v>4.5710000000000004E-3</v>
      </c>
      <c r="I32" s="394">
        <f>ROUND(D32*H32,0)</f>
        <v>324</v>
      </c>
      <c r="K32" s="394">
        <f>+I32-F32</f>
        <v>-121</v>
      </c>
    </row>
    <row r="33" spans="1:11">
      <c r="A33" s="3">
        <f t="shared" si="0"/>
        <v>27</v>
      </c>
      <c r="B33" s="3"/>
      <c r="C33" s="4"/>
      <c r="D33" s="9"/>
      <c r="E33" s="184"/>
      <c r="F33" s="185"/>
      <c r="H33" s="184"/>
      <c r="I33" s="393"/>
      <c r="K33" s="393"/>
    </row>
    <row r="34" spans="1:11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6">
        <f>+'UE-180285 Sch 120 '!F29</f>
        <v>1.0820000000000001E-3</v>
      </c>
      <c r="F34" s="187">
        <f>ROUND(D34*E34,0)</f>
        <v>2157</v>
      </c>
      <c r="H34" s="186">
        <f>+'UE-180285 Sch 120 '!G29</f>
        <v>1.047E-3</v>
      </c>
      <c r="I34" s="394">
        <f>ROUND(D34*H34,0)</f>
        <v>2087</v>
      </c>
      <c r="K34" s="394">
        <f>+I34-F34</f>
        <v>-70</v>
      </c>
    </row>
    <row r="35" spans="1:11">
      <c r="A35" s="3">
        <f t="shared" si="0"/>
        <v>29</v>
      </c>
      <c r="B35" s="3"/>
      <c r="C35" s="4"/>
      <c r="D35" s="9"/>
      <c r="E35" s="184"/>
      <c r="F35" s="185"/>
      <c r="H35" s="184"/>
      <c r="I35" s="393"/>
      <c r="K35" s="393"/>
    </row>
    <row r="36" spans="1:11" ht="13.8" thickBot="1">
      <c r="A36" s="3">
        <f t="shared" si="0"/>
        <v>30</v>
      </c>
      <c r="B36" s="3"/>
      <c r="C36" s="11" t="s">
        <v>91</v>
      </c>
      <c r="D36" s="13">
        <f>SUM(D9,D18,D24,D26,D30,D32,D34)</f>
        <v>22962662</v>
      </c>
      <c r="E36" s="189"/>
      <c r="F36" s="190">
        <f t="shared" ref="F36" si="16">SUM(F9,F18,F24,F26,F30,F32,F34)</f>
        <v>114587</v>
      </c>
      <c r="H36" s="189"/>
      <c r="I36" s="190">
        <f t="shared" ref="I36:K36" si="17">SUM(I9,I18,I24,I26,I30,I32,I34)</f>
        <v>96934</v>
      </c>
      <c r="K36" s="190">
        <f t="shared" si="17"/>
        <v>-17653</v>
      </c>
    </row>
    <row r="37" spans="1:11" ht="13.8" thickTop="1">
      <c r="A37" s="3">
        <f t="shared" si="0"/>
        <v>31</v>
      </c>
      <c r="B37" s="3"/>
      <c r="F37" s="185"/>
      <c r="I37" s="393"/>
      <c r="K37" s="393"/>
    </row>
    <row r="38" spans="1:11">
      <c r="A38" s="3">
        <f t="shared" si="0"/>
        <v>32</v>
      </c>
      <c r="B38" s="3">
        <v>5</v>
      </c>
      <c r="C38" s="1" t="s">
        <v>92</v>
      </c>
      <c r="D38" s="9">
        <f>+'JAP-4 (ERF Impacts)'!C35</f>
        <v>7238</v>
      </c>
      <c r="E38" s="186">
        <v>0</v>
      </c>
      <c r="F38" s="187">
        <f>ROUND(D38*E38,0)</f>
        <v>0</v>
      </c>
      <c r="H38" s="186">
        <v>0</v>
      </c>
      <c r="I38" s="394">
        <f>ROUND(D38*H38,0)</f>
        <v>0</v>
      </c>
      <c r="K38" s="394">
        <f>+I38-F38</f>
        <v>0</v>
      </c>
    </row>
    <row r="39" spans="1:11">
      <c r="A39" s="3">
        <f t="shared" si="0"/>
        <v>33</v>
      </c>
      <c r="B39" s="3"/>
      <c r="F39" s="185"/>
      <c r="I39" s="393"/>
      <c r="K39" s="393"/>
    </row>
    <row r="40" spans="1:11" ht="13.8" thickBot="1">
      <c r="A40" s="3">
        <f t="shared" si="0"/>
        <v>34</v>
      </c>
      <c r="B40" s="3"/>
      <c r="C40" s="11" t="s">
        <v>93</v>
      </c>
      <c r="D40" s="13">
        <f>SUM(D36,D38)</f>
        <v>22969900</v>
      </c>
      <c r="E40" s="231">
        <f>+F40/D40</f>
        <v>4.9885720007488057E-3</v>
      </c>
      <c r="F40" s="190">
        <f t="shared" ref="F40" si="18">SUM(F36,F38)</f>
        <v>114587</v>
      </c>
      <c r="H40" s="231">
        <f>+I40/D40</f>
        <v>4.2200444930104181E-3</v>
      </c>
      <c r="I40" s="190">
        <f t="shared" ref="I40:K40" si="19">SUM(I36,I38)</f>
        <v>96934</v>
      </c>
      <c r="K40" s="190">
        <f t="shared" si="19"/>
        <v>-17653</v>
      </c>
    </row>
    <row r="41" spans="1:11" ht="13.8" thickTop="1"/>
    <row r="42" spans="1:11">
      <c r="I42" s="414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H4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88671875" defaultRowHeight="13.2"/>
  <cols>
    <col min="1" max="1" width="7.664062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4" style="1" bestFit="1" customWidth="1"/>
    <col min="6" max="6" width="13.33203125" style="1" bestFit="1" customWidth="1"/>
    <col min="7" max="7" width="14" style="1" bestFit="1" customWidth="1"/>
    <col min="8" max="8" width="12.88671875" style="1" bestFit="1" customWidth="1"/>
    <col min="9" max="16384" width="8.88671875" style="1"/>
  </cols>
  <sheetData>
    <row r="1" spans="1:8">
      <c r="A1" s="545" t="s">
        <v>0</v>
      </c>
      <c r="B1" s="545"/>
      <c r="C1" s="545"/>
      <c r="D1" s="545"/>
      <c r="E1" s="545"/>
      <c r="F1" s="545"/>
    </row>
    <row r="2" spans="1:8">
      <c r="A2" s="546" t="s">
        <v>209</v>
      </c>
      <c r="B2" s="545"/>
      <c r="C2" s="545"/>
      <c r="D2" s="545"/>
      <c r="E2" s="545"/>
      <c r="F2" s="545"/>
    </row>
    <row r="3" spans="1:8">
      <c r="A3" s="545" t="str">
        <f>+'JAP-4 (ERF Impacts)'!A3</f>
        <v>Test Year ended June 2018</v>
      </c>
      <c r="B3" s="545"/>
      <c r="C3" s="545"/>
      <c r="D3" s="545"/>
      <c r="E3" s="545"/>
      <c r="F3" s="545"/>
    </row>
    <row r="4" spans="1:8">
      <c r="A4" s="545"/>
      <c r="B4" s="545"/>
      <c r="C4" s="545"/>
      <c r="D4" s="545"/>
      <c r="E4" s="545"/>
      <c r="F4" s="545"/>
    </row>
    <row r="5" spans="1:8">
      <c r="A5" s="2"/>
      <c r="B5" s="3"/>
      <c r="C5" s="3"/>
      <c r="D5" s="3"/>
      <c r="E5" s="4"/>
      <c r="F5" s="4" t="s">
        <v>127</v>
      </c>
    </row>
    <row r="6" spans="1:8" ht="52.8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61" t="s">
        <v>372</v>
      </c>
      <c r="F6" s="7" t="s">
        <v>208</v>
      </c>
      <c r="G6" s="500" t="s">
        <v>489</v>
      </c>
      <c r="H6" s="361" t="s">
        <v>208</v>
      </c>
    </row>
    <row r="7" spans="1:8">
      <c r="A7" s="3">
        <v>1</v>
      </c>
      <c r="B7" s="3">
        <v>7</v>
      </c>
      <c r="C7" s="4"/>
      <c r="D7" s="9">
        <f>+'JAP-4 (ERF Impacts)'!C9</f>
        <v>10657340</v>
      </c>
      <c r="E7" s="184">
        <f>+'UE-180739 Sch 129'!F9</f>
        <v>9.3700000000000001E-4</v>
      </c>
      <c r="F7" s="185">
        <f>ROUND(D7*E7,0)</f>
        <v>9986</v>
      </c>
      <c r="G7" s="184">
        <f>+'UE-180739 Sch 129'!G9</f>
        <v>8.9499999999999996E-4</v>
      </c>
      <c r="H7" s="393">
        <f>ROUND(D7*G7,0)</f>
        <v>9538</v>
      </c>
    </row>
    <row r="8" spans="1:8">
      <c r="A8" s="3">
        <f t="shared" ref="A8:A40" si="0">+A7+1</f>
        <v>2</v>
      </c>
      <c r="B8" s="2" t="s">
        <v>14</v>
      </c>
      <c r="C8" s="4"/>
      <c r="D8" s="9">
        <v>0</v>
      </c>
      <c r="E8" s="184">
        <f>+'UE-180739 Sch 129'!F12</f>
        <v>7.94E-4</v>
      </c>
      <c r="F8" s="185">
        <f>ROUND(D8*E8,0)</f>
        <v>0</v>
      </c>
      <c r="G8" s="184">
        <f>+'UE-180739 Sch 129'!G12</f>
        <v>7.9600000000000005E-4</v>
      </c>
      <c r="H8" s="393">
        <f>ROUND(D8*G8,0)</f>
        <v>0</v>
      </c>
    </row>
    <row r="9" spans="1:8">
      <c r="A9" s="3">
        <f t="shared" si="0"/>
        <v>3</v>
      </c>
      <c r="B9" s="3"/>
      <c r="C9" s="4" t="s">
        <v>15</v>
      </c>
      <c r="D9" s="12">
        <f>SUM(D7:D8)</f>
        <v>10657340</v>
      </c>
      <c r="E9" s="186"/>
      <c r="F9" s="187">
        <f t="shared" ref="F9:H9" si="1">SUM(F7:F8)</f>
        <v>9986</v>
      </c>
      <c r="G9" s="186"/>
      <c r="H9" s="394">
        <f t="shared" si="1"/>
        <v>9538</v>
      </c>
    </row>
    <row r="10" spans="1:8">
      <c r="A10" s="3">
        <f t="shared" si="0"/>
        <v>4</v>
      </c>
      <c r="B10" s="3"/>
      <c r="C10" s="4"/>
      <c r="D10" s="9"/>
      <c r="E10" s="184"/>
      <c r="F10" s="185"/>
      <c r="G10" s="184"/>
      <c r="H10" s="393"/>
    </row>
    <row r="11" spans="1:8">
      <c r="A11" s="3">
        <f t="shared" si="0"/>
        <v>5</v>
      </c>
      <c r="B11" s="3">
        <v>8</v>
      </c>
      <c r="C11" s="4"/>
      <c r="D11" s="9">
        <v>0</v>
      </c>
      <c r="E11" s="184">
        <f>+'UE-180739 Sch 129'!F11</f>
        <v>8.5499999999999997E-4</v>
      </c>
      <c r="F11" s="185">
        <f t="shared" ref="F11:F17" si="2">ROUND(D11*E11,0)</f>
        <v>0</v>
      </c>
      <c r="G11" s="184">
        <f>+'UE-180739 Sch 129'!G11</f>
        <v>8.5700000000000001E-4</v>
      </c>
      <c r="H11" s="393">
        <f t="shared" ref="H11:H17" si="3">ROUND(D11*G11,0)</f>
        <v>0</v>
      </c>
    </row>
    <row r="12" spans="1:8">
      <c r="A12" s="3">
        <f t="shared" si="0"/>
        <v>6</v>
      </c>
      <c r="B12" s="3">
        <v>24</v>
      </c>
      <c r="D12" s="9">
        <f>+'JAP-4 (ERF Impacts)'!C12</f>
        <v>2769974</v>
      </c>
      <c r="E12" s="188">
        <f>+E11</f>
        <v>8.5499999999999997E-4</v>
      </c>
      <c r="F12" s="185">
        <f t="shared" si="2"/>
        <v>2368</v>
      </c>
      <c r="G12" s="188">
        <f>+G11</f>
        <v>8.5700000000000001E-4</v>
      </c>
      <c r="H12" s="393">
        <f t="shared" si="3"/>
        <v>2374</v>
      </c>
    </row>
    <row r="13" spans="1:8">
      <c r="A13" s="3">
        <f t="shared" si="0"/>
        <v>7</v>
      </c>
      <c r="B13" s="2">
        <v>11</v>
      </c>
      <c r="C13" s="4"/>
      <c r="D13" s="9">
        <v>0</v>
      </c>
      <c r="E13" s="184">
        <f>+E8</f>
        <v>7.94E-4</v>
      </c>
      <c r="F13" s="185">
        <f t="shared" si="2"/>
        <v>0</v>
      </c>
      <c r="G13" s="184">
        <f>+G8</f>
        <v>7.9600000000000005E-4</v>
      </c>
      <c r="H13" s="393">
        <f t="shared" si="3"/>
        <v>0</v>
      </c>
    </row>
    <row r="14" spans="1:8">
      <c r="A14" s="3">
        <f t="shared" si="0"/>
        <v>8</v>
      </c>
      <c r="B14" s="2">
        <v>25</v>
      </c>
      <c r="D14" s="9">
        <f>+'JAP-4 (ERF Impacts)'!C13</f>
        <v>2962665</v>
      </c>
      <c r="E14" s="188">
        <f>+E13</f>
        <v>7.94E-4</v>
      </c>
      <c r="F14" s="185">
        <f t="shared" si="2"/>
        <v>2352</v>
      </c>
      <c r="G14" s="188">
        <f>+G13</f>
        <v>7.9600000000000005E-4</v>
      </c>
      <c r="H14" s="393">
        <f t="shared" si="3"/>
        <v>2358</v>
      </c>
    </row>
    <row r="15" spans="1:8">
      <c r="A15" s="3">
        <f t="shared" si="0"/>
        <v>9</v>
      </c>
      <c r="B15" s="3">
        <v>12</v>
      </c>
      <c r="C15" s="4"/>
      <c r="D15" s="9">
        <v>0</v>
      </c>
      <c r="E15" s="184">
        <f>+'UE-180739 Sch 129'!F13</f>
        <v>7.0699999999999995E-4</v>
      </c>
      <c r="F15" s="185">
        <f t="shared" si="2"/>
        <v>0</v>
      </c>
      <c r="G15" s="184">
        <f>+'UE-180739 Sch 129'!G13</f>
        <v>7.1699999999999997E-4</v>
      </c>
      <c r="H15" s="393">
        <f t="shared" si="3"/>
        <v>0</v>
      </c>
    </row>
    <row r="16" spans="1:8">
      <c r="A16" s="3">
        <f t="shared" si="0"/>
        <v>10</v>
      </c>
      <c r="B16" s="3" t="s">
        <v>16</v>
      </c>
      <c r="D16" s="9">
        <f>+'JAP-4 (ERF Impacts)'!C14</f>
        <v>1872506</v>
      </c>
      <c r="E16" s="188">
        <f>+E15</f>
        <v>7.0699999999999995E-4</v>
      </c>
      <c r="F16" s="185">
        <f t="shared" si="2"/>
        <v>1324</v>
      </c>
      <c r="G16" s="188">
        <f>+G15</f>
        <v>7.1699999999999997E-4</v>
      </c>
      <c r="H16" s="393">
        <f t="shared" si="3"/>
        <v>1343</v>
      </c>
    </row>
    <row r="17" spans="1:8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4">
        <f>+'UE-180739 Sch 129'!F14</f>
        <v>7.1199999999999996E-4</v>
      </c>
      <c r="F17" s="185">
        <f t="shared" si="2"/>
        <v>13</v>
      </c>
      <c r="G17" s="184">
        <f>+'UE-180739 Sch 129'!G14</f>
        <v>7.1199999999999996E-4</v>
      </c>
      <c r="H17" s="393">
        <f t="shared" si="3"/>
        <v>13</v>
      </c>
    </row>
    <row r="18" spans="1:8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6"/>
      <c r="F18" s="187">
        <f t="shared" ref="F18:H18" si="4">SUM(F11:F17)</f>
        <v>6057</v>
      </c>
      <c r="G18" s="186"/>
      <c r="H18" s="394">
        <f t="shared" si="4"/>
        <v>6088</v>
      </c>
    </row>
    <row r="19" spans="1:8">
      <c r="A19" s="3">
        <f t="shared" si="0"/>
        <v>13</v>
      </c>
      <c r="B19" s="3"/>
      <c r="C19" s="4"/>
      <c r="D19" s="9"/>
      <c r="E19" s="184"/>
      <c r="F19" s="185"/>
      <c r="G19" s="184"/>
      <c r="H19" s="393"/>
    </row>
    <row r="20" spans="1:8">
      <c r="A20" s="3">
        <f t="shared" si="0"/>
        <v>14</v>
      </c>
      <c r="B20" s="3">
        <v>10</v>
      </c>
      <c r="D20" s="9">
        <v>0</v>
      </c>
      <c r="E20" s="184">
        <f>+'UE-180739 Sch 129'!F18</f>
        <v>6.96E-4</v>
      </c>
      <c r="F20" s="185">
        <f>ROUND(D20*E20,0)</f>
        <v>0</v>
      </c>
      <c r="G20" s="184">
        <f>+'UE-180739 Sch 129'!G18</f>
        <v>7.0399999999999998E-4</v>
      </c>
      <c r="H20" s="393">
        <f t="shared" ref="H20:H23" si="5">ROUND(D20*G20,0)</f>
        <v>0</v>
      </c>
    </row>
    <row r="21" spans="1:8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8">
        <f>+E20</f>
        <v>6.96E-4</v>
      </c>
      <c r="F21" s="185">
        <f>ROUND(D21*E21,0)</f>
        <v>920</v>
      </c>
      <c r="G21" s="188">
        <f>+G20</f>
        <v>7.0399999999999998E-4</v>
      </c>
      <c r="H21" s="393">
        <f t="shared" si="5"/>
        <v>930</v>
      </c>
    </row>
    <row r="22" spans="1:8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4">
        <f>+'UE-180739 Sch 129'!F19</f>
        <v>4.64E-4</v>
      </c>
      <c r="F22" s="185">
        <f>ROUND(D22*E22,0)</f>
        <v>2</v>
      </c>
      <c r="G22" s="184">
        <f>+'UE-180739 Sch 129'!G19</f>
        <v>5.1199999999999998E-4</v>
      </c>
      <c r="H22" s="393">
        <f t="shared" si="5"/>
        <v>2</v>
      </c>
    </row>
    <row r="23" spans="1:8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4">
        <f>+'UE-180739 Sch 129'!F20</f>
        <v>7.6999999999999996E-4</v>
      </c>
      <c r="F23" s="185">
        <f>ROUND(D23*E23,0)</f>
        <v>95</v>
      </c>
      <c r="G23" s="184">
        <f>+'UE-180739 Sch 129'!G20</f>
        <v>7.7899999999999996E-4</v>
      </c>
      <c r="H23" s="393">
        <f t="shared" si="5"/>
        <v>96</v>
      </c>
    </row>
    <row r="24" spans="1:8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6"/>
      <c r="F24" s="187">
        <f t="shared" ref="F24:H24" si="6">SUM(F20:F23)</f>
        <v>1017</v>
      </c>
      <c r="G24" s="186"/>
      <c r="H24" s="394">
        <f t="shared" si="6"/>
        <v>1028</v>
      </c>
    </row>
    <row r="25" spans="1:8">
      <c r="A25" s="3">
        <f t="shared" si="0"/>
        <v>19</v>
      </c>
      <c r="B25" s="3"/>
      <c r="C25" s="4"/>
      <c r="D25" s="9"/>
      <c r="E25" s="184"/>
      <c r="F25" s="185"/>
      <c r="G25" s="184"/>
      <c r="H25" s="393"/>
    </row>
    <row r="26" spans="1:8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6">
        <f>+'UE-180739 Sch 129'!F24</f>
        <v>6.7000000000000002E-4</v>
      </c>
      <c r="F26" s="187">
        <f>ROUND(D26*E26,0)</f>
        <v>358</v>
      </c>
      <c r="G26" s="186">
        <f>+'UE-180739 Sch 129'!G24</f>
        <v>6.4800000000000003E-4</v>
      </c>
      <c r="H26" s="394">
        <f>ROUND(D26*G26,0)</f>
        <v>347</v>
      </c>
    </row>
    <row r="27" spans="1:8">
      <c r="A27" s="3">
        <f t="shared" si="0"/>
        <v>21</v>
      </c>
      <c r="B27" s="3"/>
      <c r="C27" s="4"/>
      <c r="D27" s="9"/>
      <c r="E27" s="184"/>
      <c r="F27" s="185"/>
      <c r="G27" s="184"/>
      <c r="H27" s="393"/>
    </row>
    <row r="28" spans="1:8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4">
        <f>+'UE-180739 Sch 129'!F26</f>
        <v>5.9800000000000001E-4</v>
      </c>
      <c r="F28" s="185">
        <f>ROUND(D28*E28,0)</f>
        <v>49</v>
      </c>
      <c r="G28" s="184">
        <f>+'UE-180739 Sch 129'!G26</f>
        <v>5.8799999999999998E-4</v>
      </c>
      <c r="H28" s="393">
        <f t="shared" ref="H28:H29" si="7">ROUND(D28*G28,0)</f>
        <v>48</v>
      </c>
    </row>
    <row r="29" spans="1:8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4">
        <f>+'UE-180739 Sch 129'!F27</f>
        <v>5.7600000000000001E-4</v>
      </c>
      <c r="F29" s="185">
        <f>ROUND(D29*E29,0)</f>
        <v>319</v>
      </c>
      <c r="G29" s="184">
        <f>+'UE-180739 Sch 129'!G27</f>
        <v>5.7300000000000005E-4</v>
      </c>
      <c r="H29" s="393">
        <f t="shared" si="7"/>
        <v>317</v>
      </c>
    </row>
    <row r="30" spans="1:8">
      <c r="A30" s="3">
        <f t="shared" si="0"/>
        <v>24</v>
      </c>
      <c r="B30" s="3"/>
      <c r="C30" s="4" t="s">
        <v>19</v>
      </c>
      <c r="D30" s="12">
        <f>SUM(D28:D29)</f>
        <v>634643</v>
      </c>
      <c r="E30" s="186"/>
      <c r="F30" s="187">
        <f t="shared" ref="F30:H30" si="8">SUM(F28:F29)</f>
        <v>368</v>
      </c>
      <c r="G30" s="186"/>
      <c r="H30" s="394">
        <f t="shared" si="8"/>
        <v>365</v>
      </c>
    </row>
    <row r="31" spans="1:8">
      <c r="A31" s="3">
        <f t="shared" si="0"/>
        <v>25</v>
      </c>
      <c r="B31" s="3"/>
      <c r="C31" s="4"/>
      <c r="D31" s="9"/>
      <c r="E31" s="184"/>
      <c r="F31" s="185"/>
      <c r="G31" s="184"/>
      <c r="H31" s="393"/>
    </row>
    <row r="32" spans="1:8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6">
        <f>+'UE-180739 Sch 129'!F31</f>
        <v>2.1689999999999999E-3</v>
      </c>
      <c r="F32" s="187">
        <f>ROUND(D32*E32,0)</f>
        <v>154</v>
      </c>
      <c r="G32" s="186">
        <f>+'UE-180739 Sch 129'!G31</f>
        <v>1.951E-3</v>
      </c>
      <c r="H32" s="394">
        <f>ROUND(D32*G32,0)</f>
        <v>138</v>
      </c>
    </row>
    <row r="33" spans="1:8">
      <c r="A33" s="3">
        <f t="shared" si="0"/>
        <v>27</v>
      </c>
      <c r="B33" s="3"/>
      <c r="C33" s="4"/>
      <c r="D33" s="9"/>
      <c r="E33" s="184"/>
      <c r="F33" s="185"/>
      <c r="G33" s="184"/>
      <c r="H33" s="393"/>
    </row>
    <row r="34" spans="1:8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6">
        <f>+'UE-180739 Sch 129'!F33</f>
        <v>3.3000000000000003E-5</v>
      </c>
      <c r="F34" s="187">
        <f>ROUND(D34*E34,0)</f>
        <v>66</v>
      </c>
      <c r="G34" s="186">
        <f>+'UE-180739 Sch 129'!G33</f>
        <v>3.3000000000000003E-5</v>
      </c>
      <c r="H34" s="394">
        <f>ROUND(D34*G34,0)</f>
        <v>66</v>
      </c>
    </row>
    <row r="35" spans="1:8">
      <c r="A35" s="3">
        <f t="shared" si="0"/>
        <v>29</v>
      </c>
      <c r="B35" s="3"/>
      <c r="C35" s="4"/>
      <c r="D35" s="9"/>
      <c r="E35" s="184"/>
      <c r="F35" s="185"/>
      <c r="G35" s="184"/>
      <c r="H35" s="393"/>
    </row>
    <row r="36" spans="1:8" ht="13.8" thickBot="1">
      <c r="A36" s="3">
        <f t="shared" si="0"/>
        <v>30</v>
      </c>
      <c r="B36" s="3"/>
      <c r="C36" s="11" t="s">
        <v>91</v>
      </c>
      <c r="D36" s="13">
        <f>SUM(D9,D18,D24,D26,D30,D32,D34)</f>
        <v>22962662</v>
      </c>
      <c r="E36" s="189"/>
      <c r="F36" s="190">
        <f t="shared" ref="F36:H36" si="9">SUM(F9,F18,F24,F26,F30,F32,F34)</f>
        <v>18006</v>
      </c>
      <c r="G36" s="189"/>
      <c r="H36" s="190">
        <f t="shared" si="9"/>
        <v>17570</v>
      </c>
    </row>
    <row r="37" spans="1:8" ht="13.8" thickTop="1">
      <c r="A37" s="3">
        <f t="shared" si="0"/>
        <v>31</v>
      </c>
      <c r="B37" s="3"/>
      <c r="F37" s="185"/>
      <c r="H37" s="393"/>
    </row>
    <row r="38" spans="1:8">
      <c r="A38" s="3">
        <f t="shared" si="0"/>
        <v>32</v>
      </c>
      <c r="B38" s="3">
        <v>5</v>
      </c>
      <c r="C38" s="1" t="s">
        <v>92</v>
      </c>
      <c r="D38" s="9">
        <f>+'JAP-4 (ERF Impacts)'!C35</f>
        <v>7238</v>
      </c>
      <c r="E38" s="186">
        <v>0</v>
      </c>
      <c r="F38" s="187">
        <f>ROUND(D38*E38,0)</f>
        <v>0</v>
      </c>
      <c r="G38" s="186">
        <v>0</v>
      </c>
      <c r="H38" s="394">
        <f>ROUND(D38*G38,0)</f>
        <v>0</v>
      </c>
    </row>
    <row r="39" spans="1:8">
      <c r="A39" s="3">
        <f t="shared" si="0"/>
        <v>33</v>
      </c>
      <c r="B39" s="3"/>
      <c r="F39" s="185"/>
      <c r="H39" s="393"/>
    </row>
    <row r="40" spans="1:8" ht="13.8" thickBot="1">
      <c r="A40" s="3">
        <f t="shared" si="0"/>
        <v>34</v>
      </c>
      <c r="B40" s="3"/>
      <c r="C40" s="11" t="s">
        <v>93</v>
      </c>
      <c r="D40" s="13">
        <f>SUM(D36,D38)</f>
        <v>22969900</v>
      </c>
      <c r="F40" s="190">
        <f t="shared" ref="F40:H40" si="10">SUM(F36,F38)</f>
        <v>18006</v>
      </c>
      <c r="H40" s="190">
        <f t="shared" si="10"/>
        <v>17570</v>
      </c>
    </row>
    <row r="41" spans="1:8" ht="13.8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41"/>
  <sheetViews>
    <sheetView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2"/>
  <cols>
    <col min="4" max="4" width="15.109375" bestFit="1" customWidth="1"/>
    <col min="5" max="5" width="11.5546875" bestFit="1" customWidth="1"/>
    <col min="6" max="6" width="12.109375" bestFit="1" customWidth="1"/>
  </cols>
  <sheetData>
    <row r="1" spans="1:6">
      <c r="A1" s="545" t="s">
        <v>0</v>
      </c>
      <c r="B1" s="545"/>
      <c r="C1" s="545"/>
      <c r="D1" s="545"/>
      <c r="E1" s="545"/>
      <c r="F1" s="545"/>
    </row>
    <row r="2" spans="1:6">
      <c r="A2" s="546" t="s">
        <v>210</v>
      </c>
      <c r="B2" s="545"/>
      <c r="C2" s="545"/>
      <c r="D2" s="545"/>
      <c r="E2" s="545"/>
      <c r="F2" s="545"/>
    </row>
    <row r="3" spans="1:6">
      <c r="A3" s="545" t="str">
        <f>+'JAP-4 (ERF Impacts)'!A3</f>
        <v>Test Year ended June 2018</v>
      </c>
      <c r="B3" s="545"/>
      <c r="C3" s="545"/>
      <c r="D3" s="545"/>
      <c r="E3" s="545"/>
      <c r="F3" s="545"/>
    </row>
    <row r="4" spans="1:6">
      <c r="A4" s="545"/>
      <c r="B4" s="545"/>
      <c r="C4" s="545"/>
      <c r="D4" s="545"/>
      <c r="E4" s="545"/>
      <c r="F4" s="545"/>
    </row>
    <row r="5" spans="1:6">
      <c r="A5" s="2"/>
      <c r="B5" s="3"/>
      <c r="C5" s="3"/>
      <c r="D5" s="3"/>
      <c r="E5" s="4"/>
      <c r="F5" s="4" t="s">
        <v>127</v>
      </c>
    </row>
    <row r="6" spans="1:6" ht="66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7" t="s">
        <v>390</v>
      </c>
      <c r="F6" s="7" t="s">
        <v>211</v>
      </c>
    </row>
    <row r="7" spans="1:6">
      <c r="A7" s="3">
        <v>1</v>
      </c>
      <c r="B7" s="3">
        <v>7</v>
      </c>
      <c r="C7" s="4"/>
      <c r="D7" s="9">
        <f>+'JAP-4 (ERF Impacts)'!C9</f>
        <v>10657340</v>
      </c>
      <c r="E7" s="184">
        <f>+'UE-171167 Sch 132'!G10</f>
        <v>-3.4600000000000001E-4</v>
      </c>
      <c r="F7" s="185">
        <f>ROUND(D7*E7,0)</f>
        <v>-3687</v>
      </c>
    </row>
    <row r="8" spans="1:6">
      <c r="A8" s="3">
        <f t="shared" ref="A8:A40" si="0">+A7+1</f>
        <v>2</v>
      </c>
      <c r="B8" s="2" t="s">
        <v>14</v>
      </c>
      <c r="C8" s="4"/>
      <c r="D8" s="9">
        <v>0</v>
      </c>
      <c r="E8" s="184">
        <f>+'UE-171167 Sch 132'!G12</f>
        <v>-2.4499999999999999E-4</v>
      </c>
      <c r="F8" s="185">
        <f>ROUND(D8*E8,0)</f>
        <v>0</v>
      </c>
    </row>
    <row r="9" spans="1:6">
      <c r="A9" s="3">
        <f t="shared" si="0"/>
        <v>3</v>
      </c>
      <c r="B9" s="3"/>
      <c r="C9" s="4" t="s">
        <v>15</v>
      </c>
      <c r="D9" s="12">
        <f>SUM(D7:D8)</f>
        <v>10657340</v>
      </c>
      <c r="E9" s="186"/>
      <c r="F9" s="187">
        <f t="shared" ref="F9" si="1">SUM(F7:F8)</f>
        <v>-3687</v>
      </c>
    </row>
    <row r="10" spans="1:6">
      <c r="A10" s="3">
        <f t="shared" si="0"/>
        <v>4</v>
      </c>
      <c r="B10" s="3"/>
      <c r="C10" s="4"/>
      <c r="D10" s="9"/>
      <c r="E10" s="184"/>
      <c r="F10" s="185"/>
    </row>
    <row r="11" spans="1:6">
      <c r="A11" s="3">
        <f t="shared" si="0"/>
        <v>5</v>
      </c>
      <c r="B11" s="3">
        <v>8</v>
      </c>
      <c r="C11" s="4"/>
      <c r="D11" s="9">
        <v>0</v>
      </c>
      <c r="E11" s="184">
        <f>+'UE-171167 Sch 132'!G11</f>
        <v>-2.63E-4</v>
      </c>
      <c r="F11" s="185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+'JAP-4 (ERF Impacts)'!C12</f>
        <v>2769974</v>
      </c>
      <c r="E12" s="188">
        <f>+E11</f>
        <v>-2.63E-4</v>
      </c>
      <c r="F12" s="185">
        <f t="shared" si="2"/>
        <v>-729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84">
        <f>+E8</f>
        <v>-2.4499999999999999E-4</v>
      </c>
      <c r="F13" s="185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+'JAP-4 (ERF Impacts)'!C13</f>
        <v>2962665</v>
      </c>
      <c r="E14" s="188">
        <f>+E13</f>
        <v>-2.4499999999999999E-4</v>
      </c>
      <c r="F14" s="185">
        <f t="shared" si="2"/>
        <v>-726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84">
        <f>+'UE-171167 Sch 132'!G13</f>
        <v>-2.02E-4</v>
      </c>
      <c r="F15" s="185">
        <f t="shared" si="2"/>
        <v>0</v>
      </c>
    </row>
    <row r="16" spans="1:6">
      <c r="A16" s="3">
        <f t="shared" si="0"/>
        <v>10</v>
      </c>
      <c r="B16" s="3" t="s">
        <v>16</v>
      </c>
      <c r="C16" s="1"/>
      <c r="D16" s="9">
        <f>+'JAP-4 (ERF Impacts)'!C14</f>
        <v>1872506</v>
      </c>
      <c r="E16" s="188">
        <f>+E15</f>
        <v>-2.02E-4</v>
      </c>
      <c r="F16" s="185">
        <f t="shared" si="2"/>
        <v>-378</v>
      </c>
    </row>
    <row r="17" spans="1:6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4">
        <f>+E8</f>
        <v>-2.4499999999999999E-4</v>
      </c>
      <c r="F17" s="185">
        <f t="shared" si="2"/>
        <v>-4</v>
      </c>
    </row>
    <row r="18" spans="1:6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6"/>
      <c r="F18" s="187">
        <f t="shared" ref="F18" si="3">SUM(F11:F17)</f>
        <v>-1837</v>
      </c>
    </row>
    <row r="19" spans="1:6">
      <c r="A19" s="3">
        <f t="shared" si="0"/>
        <v>13</v>
      </c>
      <c r="B19" s="3"/>
      <c r="C19" s="4"/>
      <c r="D19" s="9"/>
      <c r="E19" s="184"/>
      <c r="F19" s="185"/>
    </row>
    <row r="20" spans="1:6">
      <c r="A20" s="3">
        <f t="shared" si="0"/>
        <v>14</v>
      </c>
      <c r="B20" s="3">
        <v>10</v>
      </c>
      <c r="C20" s="1"/>
      <c r="D20" s="9">
        <v>0</v>
      </c>
      <c r="E20" s="184">
        <f>+'UE-171167 Sch 132'!G14</f>
        <v>-2.3800000000000001E-4</v>
      </c>
      <c r="F20" s="185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8">
        <f>+E20</f>
        <v>-2.3800000000000001E-4</v>
      </c>
      <c r="F21" s="185">
        <f>ROUND(D21*E21,0)</f>
        <v>-314</v>
      </c>
    </row>
    <row r="22" spans="1:6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8">
        <f t="shared" ref="E22:E23" si="4">+E21</f>
        <v>-2.3800000000000001E-4</v>
      </c>
      <c r="F22" s="185">
        <f>ROUND(D22*E22,0)</f>
        <v>-1</v>
      </c>
    </row>
    <row r="23" spans="1:6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8">
        <f t="shared" si="4"/>
        <v>-2.3800000000000001E-4</v>
      </c>
      <c r="F23" s="185">
        <f>ROUND(D23*E23,0)</f>
        <v>-29</v>
      </c>
    </row>
    <row r="24" spans="1:6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6"/>
      <c r="F24" s="187">
        <f t="shared" ref="F24" si="5">SUM(F20:F23)</f>
        <v>-344</v>
      </c>
    </row>
    <row r="25" spans="1:6">
      <c r="A25" s="3">
        <f t="shared" si="0"/>
        <v>19</v>
      </c>
      <c r="B25" s="3"/>
      <c r="C25" s="4"/>
      <c r="D25" s="9"/>
      <c r="E25" s="184"/>
      <c r="F25" s="185"/>
    </row>
    <row r="26" spans="1:6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6">
        <f>+'UE-171167 Sch 132'!G15</f>
        <v>-1.3100000000000001E-4</v>
      </c>
      <c r="F26" s="187">
        <f>ROUND(D26*E26,0)</f>
        <v>-70</v>
      </c>
    </row>
    <row r="27" spans="1:6">
      <c r="A27" s="3">
        <f t="shared" si="0"/>
        <v>21</v>
      </c>
      <c r="B27" s="3"/>
      <c r="C27" s="4"/>
      <c r="D27" s="9"/>
      <c r="E27" s="184"/>
      <c r="F27" s="185"/>
    </row>
    <row r="28" spans="1:6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4">
        <f>+'UE-171167 Sch 132'!G16</f>
        <v>-1.1E-4</v>
      </c>
      <c r="F28" s="185">
        <f>ROUND(D28*E28,0)</f>
        <v>-9</v>
      </c>
    </row>
    <row r="29" spans="1:6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4">
        <f>+E28</f>
        <v>-1.1E-4</v>
      </c>
      <c r="F29" s="185">
        <f>ROUND(D29*E29,0)</f>
        <v>-61</v>
      </c>
    </row>
    <row r="30" spans="1:6">
      <c r="A30" s="3">
        <f t="shared" si="0"/>
        <v>24</v>
      </c>
      <c r="B30" s="3"/>
      <c r="C30" s="4" t="s">
        <v>19</v>
      </c>
      <c r="D30" s="12">
        <f>SUM(D28:D29)</f>
        <v>634643</v>
      </c>
      <c r="E30" s="186"/>
      <c r="F30" s="187">
        <f t="shared" ref="F30" si="6">SUM(F28:F29)</f>
        <v>-70</v>
      </c>
    </row>
    <row r="31" spans="1:6">
      <c r="A31" s="3">
        <f t="shared" si="0"/>
        <v>25</v>
      </c>
      <c r="B31" s="3"/>
      <c r="C31" s="4"/>
      <c r="D31" s="9"/>
      <c r="E31" s="184"/>
      <c r="F31" s="185"/>
    </row>
    <row r="32" spans="1:6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6">
        <f>+'UE-171167 Sch 132'!G18</f>
        <v>-1.395E-3</v>
      </c>
      <c r="F32" s="187">
        <f>ROUND(D32*E32,0)</f>
        <v>-99</v>
      </c>
    </row>
    <row r="33" spans="1:6">
      <c r="A33" s="3">
        <f t="shared" si="0"/>
        <v>27</v>
      </c>
      <c r="B33" s="3"/>
      <c r="C33" s="4"/>
      <c r="D33" s="9"/>
      <c r="E33" s="184"/>
      <c r="F33" s="185"/>
    </row>
    <row r="34" spans="1:6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6">
        <f>+'UE-171167 Sch 132'!G17</f>
        <v>-2.8E-5</v>
      </c>
      <c r="F34" s="187">
        <f>ROUND(D34*E34,0)</f>
        <v>-56</v>
      </c>
    </row>
    <row r="35" spans="1:6">
      <c r="A35" s="3">
        <f t="shared" si="0"/>
        <v>29</v>
      </c>
      <c r="B35" s="3"/>
      <c r="C35" s="4"/>
      <c r="D35" s="9"/>
      <c r="E35" s="184"/>
      <c r="F35" s="185"/>
    </row>
    <row r="36" spans="1:6" ht="13.8" thickBot="1">
      <c r="A36" s="3">
        <f t="shared" si="0"/>
        <v>30</v>
      </c>
      <c r="B36" s="3"/>
      <c r="C36" s="11" t="s">
        <v>91</v>
      </c>
      <c r="D36" s="13">
        <f>SUM(D9,D18,D24,D26,D30,D32,D34)</f>
        <v>22962662</v>
      </c>
      <c r="E36" s="189"/>
      <c r="F36" s="190">
        <f t="shared" ref="F36" si="7">SUM(F9,F18,F24,F26,F30,F32,F34)</f>
        <v>-6163</v>
      </c>
    </row>
    <row r="37" spans="1:6" ht="13.8" thickTop="1">
      <c r="A37" s="3">
        <f t="shared" si="0"/>
        <v>31</v>
      </c>
      <c r="B37" s="3"/>
      <c r="C37" s="1"/>
      <c r="D37" s="1"/>
      <c r="E37" s="1"/>
      <c r="F37" s="185"/>
    </row>
    <row r="38" spans="1:6">
      <c r="A38" s="3">
        <f t="shared" si="0"/>
        <v>32</v>
      </c>
      <c r="B38" s="3">
        <v>5</v>
      </c>
      <c r="C38" s="1" t="s">
        <v>92</v>
      </c>
      <c r="D38" s="9">
        <f>+'JAP-4 (ERF Impacts)'!C35</f>
        <v>7238</v>
      </c>
      <c r="E38" s="186">
        <v>0</v>
      </c>
      <c r="F38" s="187">
        <f>ROUND(D38*E38,0)</f>
        <v>0</v>
      </c>
    </row>
    <row r="39" spans="1:6">
      <c r="A39" s="3">
        <f t="shared" si="0"/>
        <v>33</v>
      </c>
      <c r="B39" s="3"/>
      <c r="C39" s="1"/>
      <c r="D39" s="1"/>
      <c r="E39" s="1"/>
      <c r="F39" s="185"/>
    </row>
    <row r="40" spans="1:6" ht="13.8" thickBot="1">
      <c r="A40" s="3">
        <f t="shared" si="0"/>
        <v>34</v>
      </c>
      <c r="B40" s="3"/>
      <c r="C40" s="11" t="s">
        <v>93</v>
      </c>
      <c r="D40" s="13">
        <f>SUM(D36,D38)</f>
        <v>22969900</v>
      </c>
      <c r="E40" s="1"/>
      <c r="F40" s="190">
        <f t="shared" ref="F40" si="8">SUM(F36,F38)</f>
        <v>-6163</v>
      </c>
    </row>
    <row r="41" spans="1:6" ht="13.8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41"/>
  <sheetViews>
    <sheetView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F38" sqref="F38"/>
    </sheetView>
  </sheetViews>
  <sheetFormatPr defaultRowHeight="13.2"/>
  <cols>
    <col min="1" max="1" width="7.6640625" bestFit="1" customWidth="1"/>
    <col min="2" max="2" width="10.33203125" bestFit="1" customWidth="1"/>
    <col min="3" max="3" width="21" bestFit="1" customWidth="1"/>
    <col min="4" max="4" width="15.109375" bestFit="1" customWidth="1"/>
    <col min="5" max="5" width="11.5546875" bestFit="1" customWidth="1"/>
    <col min="6" max="6" width="12.109375" bestFit="1" customWidth="1"/>
  </cols>
  <sheetData>
    <row r="1" spans="1:6">
      <c r="A1" s="545" t="s">
        <v>0</v>
      </c>
      <c r="B1" s="545"/>
      <c r="C1" s="545"/>
      <c r="D1" s="545"/>
      <c r="E1" s="545"/>
      <c r="F1" s="545"/>
    </row>
    <row r="2" spans="1:6">
      <c r="A2" s="546" t="s">
        <v>234</v>
      </c>
      <c r="B2" s="545"/>
      <c r="C2" s="545"/>
      <c r="D2" s="545"/>
      <c r="E2" s="545"/>
      <c r="F2" s="545"/>
    </row>
    <row r="3" spans="1:6">
      <c r="A3" s="545" t="str">
        <f>+'JAP-4 (ERF Impacts)'!A3</f>
        <v>Test Year ended June 2018</v>
      </c>
      <c r="B3" s="545"/>
      <c r="C3" s="545"/>
      <c r="D3" s="545"/>
      <c r="E3" s="545"/>
      <c r="F3" s="545"/>
    </row>
    <row r="4" spans="1:6">
      <c r="A4" s="545"/>
      <c r="B4" s="545"/>
      <c r="C4" s="545"/>
      <c r="D4" s="545"/>
      <c r="E4" s="545"/>
      <c r="F4" s="545"/>
    </row>
    <row r="5" spans="1:6">
      <c r="A5" s="2"/>
      <c r="B5" s="3"/>
      <c r="C5" s="3"/>
      <c r="D5" s="3"/>
      <c r="E5" s="4"/>
      <c r="F5" s="4" t="s">
        <v>127</v>
      </c>
    </row>
    <row r="6" spans="1:6" ht="52.8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61" t="s">
        <v>390</v>
      </c>
      <c r="F6" s="7" t="s">
        <v>235</v>
      </c>
    </row>
    <row r="7" spans="1:6">
      <c r="A7" s="3">
        <v>1</v>
      </c>
      <c r="B7" s="3">
        <v>7</v>
      </c>
      <c r="C7" s="4"/>
      <c r="D7" s="9">
        <f>+'JAP-4 (ERF Impacts)'!C9</f>
        <v>10657340</v>
      </c>
      <c r="E7" s="184">
        <f>+'UE-171169 Sch 137'!G9</f>
        <v>-3.4999999999999997E-5</v>
      </c>
      <c r="F7" s="185">
        <f>ROUND(D7*E7,0)</f>
        <v>-373</v>
      </c>
    </row>
    <row r="8" spans="1:6">
      <c r="A8" s="3">
        <f t="shared" ref="A8:A40" si="0">+A7+1</f>
        <v>2</v>
      </c>
      <c r="B8" s="2" t="s">
        <v>14</v>
      </c>
      <c r="C8" s="4"/>
      <c r="D8" s="9">
        <v>0</v>
      </c>
      <c r="E8" s="184">
        <f>+'UE-171169 Sch 137'!G12</f>
        <v>-2.9E-5</v>
      </c>
      <c r="F8" s="185">
        <f>ROUND(D8*E8,0)</f>
        <v>0</v>
      </c>
    </row>
    <row r="9" spans="1:6">
      <c r="A9" s="3">
        <f t="shared" si="0"/>
        <v>3</v>
      </c>
      <c r="B9" s="3"/>
      <c r="C9" s="4" t="s">
        <v>15</v>
      </c>
      <c r="D9" s="12">
        <f>SUM(D7:D8)</f>
        <v>10657340</v>
      </c>
      <c r="E9" s="186"/>
      <c r="F9" s="187">
        <f t="shared" ref="F9" si="1">SUM(F7:F8)</f>
        <v>-373</v>
      </c>
    </row>
    <row r="10" spans="1:6">
      <c r="A10" s="3">
        <f t="shared" si="0"/>
        <v>4</v>
      </c>
      <c r="B10" s="3"/>
      <c r="C10" s="4"/>
      <c r="D10" s="9"/>
      <c r="E10" s="184"/>
      <c r="F10" s="185"/>
    </row>
    <row r="11" spans="1:6">
      <c r="A11" s="3">
        <f t="shared" si="0"/>
        <v>5</v>
      </c>
      <c r="B11" s="3">
        <v>8</v>
      </c>
      <c r="C11" s="4"/>
      <c r="D11" s="9">
        <v>0</v>
      </c>
      <c r="E11" s="184">
        <f>+'UE-171169 Sch 137'!G11</f>
        <v>-2.8E-5</v>
      </c>
      <c r="F11" s="185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+'JAP-4 (ERF Impacts)'!C12</f>
        <v>2769974</v>
      </c>
      <c r="E12" s="188">
        <f>+E11</f>
        <v>-2.8E-5</v>
      </c>
      <c r="F12" s="185">
        <f t="shared" si="2"/>
        <v>-78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84">
        <f>+E8</f>
        <v>-2.9E-5</v>
      </c>
      <c r="F13" s="185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+'JAP-4 (ERF Impacts)'!C13</f>
        <v>2962665</v>
      </c>
      <c r="E14" s="188">
        <f>+E13</f>
        <v>-2.9E-5</v>
      </c>
      <c r="F14" s="185">
        <f t="shared" si="2"/>
        <v>-86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84">
        <f>+'UE-171169 Sch 137'!G13</f>
        <v>-3.0000000000000001E-5</v>
      </c>
      <c r="F15" s="185">
        <f t="shared" si="2"/>
        <v>0</v>
      </c>
    </row>
    <row r="16" spans="1:6">
      <c r="A16" s="3">
        <f t="shared" si="0"/>
        <v>10</v>
      </c>
      <c r="B16" s="3" t="s">
        <v>16</v>
      </c>
      <c r="C16" s="1"/>
      <c r="D16" s="9">
        <f>+'JAP-4 (ERF Impacts)'!C14</f>
        <v>1872506</v>
      </c>
      <c r="E16" s="188">
        <f>+E15</f>
        <v>-3.0000000000000001E-5</v>
      </c>
      <c r="F16" s="185">
        <f t="shared" si="2"/>
        <v>-56</v>
      </c>
    </row>
    <row r="17" spans="1:6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4">
        <f>+'UE-171169 Sch 137'!G14</f>
        <v>-2.5999999999999998E-5</v>
      </c>
      <c r="F17" s="393">
        <f t="shared" si="2"/>
        <v>0</v>
      </c>
    </row>
    <row r="18" spans="1:6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6"/>
      <c r="F18" s="187">
        <f t="shared" ref="F18" si="3">SUM(F11:F17)</f>
        <v>-220</v>
      </c>
    </row>
    <row r="19" spans="1:6">
      <c r="A19" s="3">
        <f t="shared" si="0"/>
        <v>13</v>
      </c>
      <c r="B19" s="3"/>
      <c r="C19" s="4"/>
      <c r="D19" s="9"/>
      <c r="E19" s="184"/>
      <c r="F19" s="185"/>
    </row>
    <row r="20" spans="1:6">
      <c r="A20" s="3">
        <f t="shared" si="0"/>
        <v>14</v>
      </c>
      <c r="B20" s="3">
        <v>10</v>
      </c>
      <c r="C20" s="1"/>
      <c r="D20" s="9">
        <v>0</v>
      </c>
      <c r="E20" s="184">
        <f>+'UE-171169 Sch 137'!G18</f>
        <v>-2.8E-5</v>
      </c>
      <c r="F20" s="185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8">
        <f>+E20</f>
        <v>-2.8E-5</v>
      </c>
      <c r="F21" s="185">
        <f>ROUND(D21*E21,0)</f>
        <v>-37</v>
      </c>
    </row>
    <row r="22" spans="1:6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8">
        <f>+'UE-171169 Sch 137'!G19</f>
        <v>-1.9000000000000001E-5</v>
      </c>
      <c r="F22" s="185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8">
        <f>+'UE-171169 Sch 137'!G20</f>
        <v>-2.5000000000000001E-5</v>
      </c>
      <c r="F23" s="185">
        <f>ROUND(D23*E23,0)</f>
        <v>-3</v>
      </c>
    </row>
    <row r="24" spans="1:6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6"/>
      <c r="F24" s="187">
        <f t="shared" ref="F24" si="4">SUM(F20:F23)</f>
        <v>-40</v>
      </c>
    </row>
    <row r="25" spans="1:6">
      <c r="A25" s="3">
        <f t="shared" si="0"/>
        <v>19</v>
      </c>
      <c r="B25" s="3"/>
      <c r="C25" s="4"/>
      <c r="D25" s="9"/>
      <c r="E25" s="184"/>
      <c r="F25" s="185"/>
    </row>
    <row r="26" spans="1:6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6">
        <f>+'UE-171169 Sch 137'!G24</f>
        <v>-3.0000000000000001E-5</v>
      </c>
      <c r="F26" s="187">
        <f>ROUND(D26*E26,0)</f>
        <v>-16</v>
      </c>
    </row>
    <row r="27" spans="1:6">
      <c r="A27" s="3">
        <f t="shared" si="0"/>
        <v>21</v>
      </c>
      <c r="B27" s="3"/>
      <c r="C27" s="4"/>
      <c r="D27" s="9"/>
      <c r="E27" s="184"/>
      <c r="F27" s="185"/>
    </row>
    <row r="28" spans="1:6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4">
        <f>+'UE-171169 Sch 137'!G26</f>
        <v>-1.4E-5</v>
      </c>
      <c r="F28" s="185">
        <f>ROUND(D28*E28,0)</f>
        <v>-1</v>
      </c>
    </row>
    <row r="29" spans="1:6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4">
        <f>+'UE-171169 Sch 137'!G27</f>
        <v>-2.8E-5</v>
      </c>
      <c r="F29" s="185">
        <f>ROUND(D29*E29,0)</f>
        <v>-15</v>
      </c>
    </row>
    <row r="30" spans="1:6">
      <c r="A30" s="3">
        <f t="shared" si="0"/>
        <v>24</v>
      </c>
      <c r="B30" s="3"/>
      <c r="C30" s="4" t="s">
        <v>19</v>
      </c>
      <c r="D30" s="12">
        <f>SUM(D28:D29)</f>
        <v>634643</v>
      </c>
      <c r="E30" s="186"/>
      <c r="F30" s="187">
        <f t="shared" ref="F30" si="5">SUM(F28:F29)</f>
        <v>-16</v>
      </c>
    </row>
    <row r="31" spans="1:6">
      <c r="A31" s="3">
        <f t="shared" si="0"/>
        <v>25</v>
      </c>
      <c r="B31" s="3"/>
      <c r="C31" s="4"/>
      <c r="D31" s="9"/>
      <c r="E31" s="184"/>
      <c r="F31" s="185"/>
    </row>
    <row r="32" spans="1:6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6">
        <f>+'UE-171169 Sch 137'!G31</f>
        <v>-3.4999999999999997E-5</v>
      </c>
      <c r="F32" s="187">
        <f>ROUND(D32*E32,0)</f>
        <v>-2</v>
      </c>
    </row>
    <row r="33" spans="1:6">
      <c r="A33" s="3">
        <f t="shared" si="0"/>
        <v>27</v>
      </c>
      <c r="B33" s="3"/>
      <c r="C33" s="4"/>
      <c r="D33" s="9"/>
      <c r="E33" s="184"/>
      <c r="F33" s="185"/>
    </row>
    <row r="34" spans="1:6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6">
        <f>+'UE-171169 Sch 137'!G38</f>
        <v>0</v>
      </c>
      <c r="F34" s="187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184"/>
      <c r="F35" s="185"/>
    </row>
    <row r="36" spans="1:6" ht="13.8" thickBot="1">
      <c r="A36" s="3">
        <f t="shared" si="0"/>
        <v>30</v>
      </c>
      <c r="B36" s="3"/>
      <c r="C36" s="11" t="s">
        <v>91</v>
      </c>
      <c r="D36" s="13">
        <f>SUM(D9,D18,D24,D26,D30,D32,D34)</f>
        <v>22962662</v>
      </c>
      <c r="E36" s="189"/>
      <c r="F36" s="190">
        <f t="shared" ref="F36" si="6">SUM(F9,F18,F24,F26,F30,F32,F34)</f>
        <v>-667</v>
      </c>
    </row>
    <row r="37" spans="1:6" ht="13.8" thickTop="1">
      <c r="A37" s="3">
        <f t="shared" si="0"/>
        <v>31</v>
      </c>
      <c r="B37" s="3"/>
      <c r="C37" s="1"/>
      <c r="D37" s="1"/>
      <c r="E37" s="1"/>
      <c r="F37" s="185"/>
    </row>
    <row r="38" spans="1:6">
      <c r="A38" s="3">
        <f t="shared" si="0"/>
        <v>32</v>
      </c>
      <c r="B38" s="3">
        <v>5</v>
      </c>
      <c r="C38" s="1" t="s">
        <v>92</v>
      </c>
      <c r="D38" s="9">
        <f>+'JAP-4 (ERF Impacts)'!C35</f>
        <v>7238</v>
      </c>
      <c r="E38" s="186"/>
      <c r="F38" s="187">
        <f>ROUND(D38*E38,0)</f>
        <v>0</v>
      </c>
    </row>
    <row r="39" spans="1:6">
      <c r="A39" s="3">
        <f t="shared" si="0"/>
        <v>33</v>
      </c>
      <c r="B39" s="3"/>
      <c r="C39" s="1"/>
      <c r="D39" s="1"/>
      <c r="E39" s="1"/>
      <c r="F39" s="185"/>
    </row>
    <row r="40" spans="1:6" ht="13.8" thickBot="1">
      <c r="A40" s="3">
        <f t="shared" si="0"/>
        <v>34</v>
      </c>
      <c r="B40" s="3"/>
      <c r="C40" s="11" t="s">
        <v>93</v>
      </c>
      <c r="D40" s="13">
        <f>SUM(D36,D38)</f>
        <v>22969900</v>
      </c>
      <c r="E40" s="1"/>
      <c r="F40" s="190">
        <f t="shared" ref="F40" si="7">SUM(F36,F38)</f>
        <v>-667</v>
      </c>
    </row>
    <row r="41" spans="1:6" ht="13.8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workbookViewId="0">
      <pane xSplit="3" ySplit="6" topLeftCell="D25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2"/>
  <cols>
    <col min="1" max="1" width="7.6640625" bestFit="1" customWidth="1"/>
    <col min="2" max="2" width="10.33203125" bestFit="1" customWidth="1"/>
    <col min="3" max="3" width="21" bestFit="1" customWidth="1"/>
    <col min="4" max="4" width="15.109375" bestFit="1" customWidth="1"/>
    <col min="5" max="5" width="10.88671875" bestFit="1" customWidth="1"/>
    <col min="6" max="6" width="12.44140625" bestFit="1" customWidth="1"/>
    <col min="8" max="8" width="10.88671875" bestFit="1" customWidth="1"/>
  </cols>
  <sheetData>
    <row r="1" spans="1:10">
      <c r="A1" s="545" t="s">
        <v>0</v>
      </c>
      <c r="B1" s="545"/>
      <c r="C1" s="545"/>
      <c r="D1" s="545"/>
      <c r="E1" s="545"/>
      <c r="F1" s="545"/>
    </row>
    <row r="2" spans="1:10">
      <c r="A2" s="546" t="s">
        <v>241</v>
      </c>
      <c r="B2" s="545"/>
      <c r="C2" s="545"/>
      <c r="D2" s="545"/>
      <c r="E2" s="545"/>
      <c r="F2" s="545"/>
    </row>
    <row r="3" spans="1:10">
      <c r="A3" s="545" t="str">
        <f>+'JAP-4 (ERF Impacts)'!A3</f>
        <v>Test Year ended June 2018</v>
      </c>
      <c r="B3" s="545"/>
      <c r="C3" s="545"/>
      <c r="D3" s="545"/>
      <c r="E3" s="545"/>
      <c r="F3" s="545"/>
    </row>
    <row r="4" spans="1:10">
      <c r="A4" s="545"/>
      <c r="B4" s="545"/>
      <c r="C4" s="545"/>
      <c r="D4" s="545"/>
      <c r="E4" s="545"/>
      <c r="F4" s="545"/>
    </row>
    <row r="5" spans="1:10">
      <c r="A5" s="2"/>
      <c r="B5" s="3"/>
      <c r="C5" s="3"/>
      <c r="D5" s="3"/>
      <c r="E5" s="4"/>
      <c r="F5" s="4" t="s">
        <v>127</v>
      </c>
    </row>
    <row r="6" spans="1:10" ht="66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7" t="s">
        <v>364</v>
      </c>
      <c r="F6" s="7" t="s">
        <v>242</v>
      </c>
      <c r="H6" s="361" t="s">
        <v>423</v>
      </c>
      <c r="I6" s="361" t="s">
        <v>242</v>
      </c>
      <c r="J6" s="1"/>
    </row>
    <row r="7" spans="1:10">
      <c r="A7" s="3">
        <v>1</v>
      </c>
      <c r="B7" s="3">
        <v>7</v>
      </c>
      <c r="C7" s="4"/>
      <c r="D7" s="9">
        <f>+'JAP-4 (ERF Impacts)'!C9</f>
        <v>10657340</v>
      </c>
      <c r="E7" s="184">
        <f>+'UE-180257 Sch 140'!F8</f>
        <v>3.6039999999999996E-3</v>
      </c>
      <c r="F7" s="185">
        <f>ROUND(D7*E7,0)</f>
        <v>38409</v>
      </c>
      <c r="H7" s="184">
        <f>+'UE-180257 Sch 140'!G8</f>
        <v>3.4720000000000003E-3</v>
      </c>
      <c r="I7" s="393">
        <f>ROUND(D7*H7,0)</f>
        <v>37002</v>
      </c>
      <c r="J7" s="1"/>
    </row>
    <row r="8" spans="1:10">
      <c r="A8" s="3">
        <f t="shared" ref="A8:A40" si="0">+A7+1</f>
        <v>2</v>
      </c>
      <c r="B8" s="2" t="s">
        <v>14</v>
      </c>
      <c r="C8" s="4"/>
      <c r="D8" s="9">
        <v>0</v>
      </c>
      <c r="E8" s="184">
        <f>+'UE-180257 Sch 140'!F13</f>
        <v>2.3180000000000002E-3</v>
      </c>
      <c r="F8" s="185">
        <f>ROUND(D8*E8,0)</f>
        <v>0</v>
      </c>
      <c r="H8" s="184">
        <f>+'UE-180257 Sch 140'!G13</f>
        <v>2.467E-3</v>
      </c>
      <c r="I8" s="393">
        <f>ROUND(D8*H8,0)</f>
        <v>0</v>
      </c>
      <c r="J8" s="1"/>
    </row>
    <row r="9" spans="1:10">
      <c r="A9" s="3">
        <f t="shared" si="0"/>
        <v>3</v>
      </c>
      <c r="B9" s="3"/>
      <c r="C9" s="4" t="s">
        <v>15</v>
      </c>
      <c r="D9" s="12">
        <f>SUM(D7:D8)</f>
        <v>10657340</v>
      </c>
      <c r="E9" s="186"/>
      <c r="F9" s="187">
        <f t="shared" ref="F9" si="1">SUM(F7:F8)</f>
        <v>38409</v>
      </c>
      <c r="H9" s="186"/>
      <c r="I9" s="394">
        <f t="shared" ref="I9" si="2">SUM(I7:I8)</f>
        <v>37002</v>
      </c>
      <c r="J9" s="1"/>
    </row>
    <row r="10" spans="1:10">
      <c r="A10" s="3">
        <f t="shared" si="0"/>
        <v>4</v>
      </c>
      <c r="B10" s="3"/>
      <c r="C10" s="4"/>
      <c r="D10" s="9"/>
      <c r="E10" s="184"/>
      <c r="F10" s="185"/>
      <c r="H10" s="184"/>
      <c r="I10" s="393"/>
      <c r="J10" s="1"/>
    </row>
    <row r="11" spans="1:10">
      <c r="A11" s="3">
        <f t="shared" si="0"/>
        <v>5</v>
      </c>
      <c r="B11" s="3">
        <v>8</v>
      </c>
      <c r="C11" s="4"/>
      <c r="D11" s="9">
        <v>0</v>
      </c>
      <c r="E11" s="184">
        <f>+'UE-180257 Sch 140'!F12</f>
        <v>2.5469999999999998E-3</v>
      </c>
      <c r="F11" s="185">
        <f t="shared" ref="F11:F17" si="3">ROUND(D11*E11,0)</f>
        <v>0</v>
      </c>
      <c r="H11" s="184">
        <f>+'UE-180257 Sch 140'!G12</f>
        <v>2.6289999999999998E-3</v>
      </c>
      <c r="I11" s="393">
        <f t="shared" ref="I11:I17" si="4">ROUND(D11*H11,0)</f>
        <v>0</v>
      </c>
      <c r="J11" s="1"/>
    </row>
    <row r="12" spans="1:10">
      <c r="A12" s="3">
        <f t="shared" si="0"/>
        <v>6</v>
      </c>
      <c r="B12" s="3">
        <v>24</v>
      </c>
      <c r="C12" s="1"/>
      <c r="D12" s="9">
        <f>+'JAP-4 (ERF Impacts)'!C12</f>
        <v>2769974</v>
      </c>
      <c r="E12" s="188">
        <f>+E11</f>
        <v>2.5469999999999998E-3</v>
      </c>
      <c r="F12" s="185">
        <f t="shared" si="3"/>
        <v>7055</v>
      </c>
      <c r="H12" s="188">
        <f>+H11</f>
        <v>2.6289999999999998E-3</v>
      </c>
      <c r="I12" s="393">
        <f t="shared" si="4"/>
        <v>7282</v>
      </c>
      <c r="J12" s="1"/>
    </row>
    <row r="13" spans="1:10">
      <c r="A13" s="3">
        <f t="shared" si="0"/>
        <v>7</v>
      </c>
      <c r="B13" s="2">
        <v>11</v>
      </c>
      <c r="C13" s="4"/>
      <c r="D13" s="9">
        <v>0</v>
      </c>
      <c r="E13" s="184">
        <f>+E8</f>
        <v>2.3180000000000002E-3</v>
      </c>
      <c r="F13" s="185">
        <f t="shared" si="3"/>
        <v>0</v>
      </c>
      <c r="H13" s="184">
        <f>+H8</f>
        <v>2.467E-3</v>
      </c>
      <c r="I13" s="393">
        <f t="shared" si="4"/>
        <v>0</v>
      </c>
      <c r="J13" s="1"/>
    </row>
    <row r="14" spans="1:10">
      <c r="A14" s="3">
        <f t="shared" si="0"/>
        <v>8</v>
      </c>
      <c r="B14" s="2">
        <v>25</v>
      </c>
      <c r="C14" s="1"/>
      <c r="D14" s="9">
        <f>+'JAP-4 (ERF Impacts)'!C13</f>
        <v>2962665</v>
      </c>
      <c r="E14" s="188">
        <f>+E13</f>
        <v>2.3180000000000002E-3</v>
      </c>
      <c r="F14" s="185">
        <f t="shared" si="3"/>
        <v>6867</v>
      </c>
      <c r="H14" s="188">
        <f>+H13</f>
        <v>2.467E-3</v>
      </c>
      <c r="I14" s="393">
        <f t="shared" si="4"/>
        <v>7309</v>
      </c>
      <c r="J14" s="1"/>
    </row>
    <row r="15" spans="1:10">
      <c r="A15" s="3">
        <f t="shared" si="0"/>
        <v>9</v>
      </c>
      <c r="B15" s="3">
        <v>12</v>
      </c>
      <c r="C15" s="4"/>
      <c r="D15" s="9">
        <v>0</v>
      </c>
      <c r="E15" s="184">
        <f>+'UE-180257 Sch 140'!F14</f>
        <v>2.2060000000000001E-3</v>
      </c>
      <c r="F15" s="185">
        <f t="shared" si="3"/>
        <v>0</v>
      </c>
      <c r="H15" s="184">
        <f>+'UE-180257 Sch 140'!G14</f>
        <v>2.2649999999999997E-3</v>
      </c>
      <c r="I15" s="393">
        <f t="shared" si="4"/>
        <v>0</v>
      </c>
      <c r="J15" s="1"/>
    </row>
    <row r="16" spans="1:10">
      <c r="A16" s="3">
        <f t="shared" si="0"/>
        <v>10</v>
      </c>
      <c r="B16" s="3" t="s">
        <v>16</v>
      </c>
      <c r="C16" s="1"/>
      <c r="D16" s="9">
        <f>+'JAP-4 (ERF Impacts)'!C14</f>
        <v>1872506</v>
      </c>
      <c r="E16" s="188">
        <f>+E15</f>
        <v>2.2060000000000001E-3</v>
      </c>
      <c r="F16" s="185">
        <f t="shared" si="3"/>
        <v>4131</v>
      </c>
      <c r="H16" s="188">
        <f>+H15</f>
        <v>2.2649999999999997E-3</v>
      </c>
      <c r="I16" s="393">
        <f t="shared" si="4"/>
        <v>4241</v>
      </c>
      <c r="J16" s="1"/>
    </row>
    <row r="17" spans="1:10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4">
        <f>+'UE-180257 Sch 140'!F15</f>
        <v>2.3180000000000002E-3</v>
      </c>
      <c r="F17" s="185">
        <f t="shared" si="3"/>
        <v>42</v>
      </c>
      <c r="H17" s="184">
        <f>+'UE-180257 Sch 140'!G15</f>
        <v>2.467E-3</v>
      </c>
      <c r="I17" s="393">
        <f t="shared" si="4"/>
        <v>45</v>
      </c>
      <c r="J17" s="1"/>
    </row>
    <row r="18" spans="1:10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6"/>
      <c r="F18" s="187">
        <f t="shared" ref="F18" si="5">SUM(F11:F17)</f>
        <v>18095</v>
      </c>
      <c r="H18" s="186"/>
      <c r="I18" s="394">
        <f t="shared" ref="I18" si="6">SUM(I11:I17)</f>
        <v>18877</v>
      </c>
      <c r="J18" s="1"/>
    </row>
    <row r="19" spans="1:10">
      <c r="A19" s="3">
        <f t="shared" si="0"/>
        <v>13</v>
      </c>
      <c r="B19" s="3"/>
      <c r="C19" s="4"/>
      <c r="D19" s="9"/>
      <c r="E19" s="184"/>
      <c r="F19" s="185"/>
      <c r="H19" s="184"/>
      <c r="I19" s="393"/>
      <c r="J19" s="1"/>
    </row>
    <row r="20" spans="1:10">
      <c r="A20" s="3">
        <f t="shared" si="0"/>
        <v>14</v>
      </c>
      <c r="B20" s="3">
        <v>10</v>
      </c>
      <c r="C20" s="1"/>
      <c r="D20" s="9">
        <v>0</v>
      </c>
      <c r="E20" s="184">
        <f>+'UE-180257 Sch 140'!F19</f>
        <v>2.1980000000000003E-3</v>
      </c>
      <c r="F20" s="185">
        <f>ROUND(D20*E20,0)</f>
        <v>0</v>
      </c>
      <c r="H20" s="184">
        <f>+'UE-180257 Sch 140'!G19</f>
        <v>2.2539999999999999E-3</v>
      </c>
      <c r="I20" s="393">
        <f t="shared" ref="I20:I23" si="7">ROUND(D20*H20,0)</f>
        <v>0</v>
      </c>
      <c r="J20" s="1"/>
    </row>
    <row r="21" spans="1:10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8">
        <f>+E20</f>
        <v>2.1980000000000003E-3</v>
      </c>
      <c r="F21" s="185">
        <f>ROUND(D21*E21,0)</f>
        <v>2904</v>
      </c>
      <c r="H21" s="188">
        <f>+H20</f>
        <v>2.2539999999999999E-3</v>
      </c>
      <c r="I21" s="393">
        <f t="shared" si="7"/>
        <v>2978</v>
      </c>
      <c r="J21" s="1"/>
    </row>
    <row r="22" spans="1:10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4">
        <f>+'UE-180257 Sch 140'!F21</f>
        <v>3.7650000000000001E-3</v>
      </c>
      <c r="F22" s="185">
        <f>ROUND(D22*E22,0)</f>
        <v>14</v>
      </c>
      <c r="H22" s="188">
        <f>+'UE-180257 Sch 140'!G20</f>
        <v>2.2539999999999999E-3</v>
      </c>
      <c r="I22" s="393">
        <f t="shared" si="7"/>
        <v>9</v>
      </c>
      <c r="J22" s="1"/>
    </row>
    <row r="23" spans="1:10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4">
        <f>+'UE-180257 Sch 140'!F22</f>
        <v>2.3315886902838226E-3</v>
      </c>
      <c r="F23" s="185">
        <f>ROUND(D23*E23,0)</f>
        <v>287</v>
      </c>
      <c r="H23" s="188">
        <f>+'UE-180257 Sch 140'!G21</f>
        <v>3.2960000000000003E-3</v>
      </c>
      <c r="I23" s="393">
        <f t="shared" si="7"/>
        <v>406</v>
      </c>
      <c r="J23" s="1"/>
    </row>
    <row r="24" spans="1:10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6"/>
      <c r="F24" s="187">
        <f t="shared" ref="F24" si="8">SUM(F20:F23)</f>
        <v>3205</v>
      </c>
      <c r="H24" s="186"/>
      <c r="I24" s="394">
        <f t="shared" ref="I24" si="9">SUM(I20:I23)</f>
        <v>3393</v>
      </c>
      <c r="J24" s="1"/>
    </row>
    <row r="25" spans="1:10">
      <c r="A25" s="3">
        <f t="shared" si="0"/>
        <v>19</v>
      </c>
      <c r="B25" s="3"/>
      <c r="C25" s="4"/>
      <c r="D25" s="9"/>
      <c r="E25" s="184"/>
      <c r="F25" s="185"/>
      <c r="H25" s="184"/>
      <c r="I25" s="393"/>
      <c r="J25" s="1"/>
    </row>
    <row r="26" spans="1:10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6">
        <f>+'UE-180257 Sch 140'!F24</f>
        <v>2.3499999999999997E-3</v>
      </c>
      <c r="F26" s="187">
        <f>ROUND(D26*E26,0)</f>
        <v>1257</v>
      </c>
      <c r="H26" s="186">
        <f>+'UE-180257 Sch 140'!G24</f>
        <v>2.104E-3</v>
      </c>
      <c r="I26" s="394">
        <f>ROUND(D26*H26,0)</f>
        <v>1125</v>
      </c>
      <c r="J26" s="1"/>
    </row>
    <row r="27" spans="1:10">
      <c r="A27" s="3">
        <f t="shared" si="0"/>
        <v>21</v>
      </c>
      <c r="B27" s="3"/>
      <c r="C27" s="4"/>
      <c r="D27" s="9"/>
      <c r="E27" s="184"/>
      <c r="F27" s="185"/>
      <c r="H27" s="184"/>
      <c r="I27" s="393"/>
      <c r="J27" s="1"/>
    </row>
    <row r="28" spans="1:10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4">
        <f>+'UE-180257 Sch 140'!F27</f>
        <v>1.4659999999999999E-3</v>
      </c>
      <c r="F28" s="185">
        <f>ROUND(D28*E28,0)</f>
        <v>119</v>
      </c>
      <c r="H28" s="184">
        <f>+'UE-180257 Sch 140'!G27</f>
        <v>1.6520000000000003E-3</v>
      </c>
      <c r="I28" s="393">
        <f t="shared" ref="I28:I29" si="10">ROUND(D28*H28,0)</f>
        <v>134</v>
      </c>
      <c r="J28" s="1"/>
    </row>
    <row r="29" spans="1:10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4">
        <f>+'UE-180257 Sch 140'!F28</f>
        <v>1.4659999999999999E-3</v>
      </c>
      <c r="F29" s="185">
        <f>ROUND(D29*E29,0)</f>
        <v>811</v>
      </c>
      <c r="H29" s="184">
        <f>+'UE-180257 Sch 140'!G28</f>
        <v>1.6520000000000003E-3</v>
      </c>
      <c r="I29" s="393">
        <f t="shared" si="10"/>
        <v>914</v>
      </c>
      <c r="J29" s="1"/>
    </row>
    <row r="30" spans="1:10">
      <c r="A30" s="3">
        <f t="shared" si="0"/>
        <v>24</v>
      </c>
      <c r="B30" s="3"/>
      <c r="C30" s="4" t="s">
        <v>19</v>
      </c>
      <c r="D30" s="12">
        <f>SUM(D28:D29)</f>
        <v>634643</v>
      </c>
      <c r="E30" s="186"/>
      <c r="F30" s="187">
        <f t="shared" ref="F30" si="11">SUM(F28:F29)</f>
        <v>930</v>
      </c>
      <c r="H30" s="186"/>
      <c r="I30" s="394">
        <f t="shared" ref="I30" si="12">SUM(I28:I29)</f>
        <v>1048</v>
      </c>
      <c r="J30" s="1"/>
    </row>
    <row r="31" spans="1:10">
      <c r="A31" s="3">
        <f t="shared" si="0"/>
        <v>25</v>
      </c>
      <c r="B31" s="3"/>
      <c r="C31" s="4"/>
      <c r="D31" s="9"/>
      <c r="E31" s="184"/>
      <c r="F31" s="185"/>
      <c r="H31" s="184"/>
      <c r="I31" s="393"/>
      <c r="J31" s="1"/>
    </row>
    <row r="32" spans="1:10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6">
        <f>+'UE-180257 Sch 140'!F31</f>
        <v>1.0231000000000001E-2</v>
      </c>
      <c r="F32" s="187">
        <f>ROUND(D32*E32,0)</f>
        <v>725</v>
      </c>
      <c r="H32" s="186">
        <f>+'UE-180257 Sch 140'!G31</f>
        <v>9.2829999999999996E-3</v>
      </c>
      <c r="I32" s="394">
        <f>ROUND(D32*H32,0)</f>
        <v>658</v>
      </c>
      <c r="J32" s="1"/>
    </row>
    <row r="33" spans="1:10">
      <c r="A33" s="3">
        <f t="shared" si="0"/>
        <v>27</v>
      </c>
      <c r="B33" s="3"/>
      <c r="C33" s="4"/>
      <c r="D33" s="9"/>
      <c r="E33" s="184"/>
      <c r="F33" s="185"/>
      <c r="H33" s="184"/>
      <c r="I33" s="393"/>
      <c r="J33" s="1"/>
    </row>
    <row r="34" spans="1:10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6">
        <f>+'UE-180257 Sch 140'!F33</f>
        <v>2.99E-4</v>
      </c>
      <c r="F34" s="187">
        <f>ROUND(D34*E34,0)</f>
        <v>596</v>
      </c>
      <c r="H34" s="186">
        <f>+'UE-180257 Sch 140'!G33</f>
        <v>2.9999999999999997E-5</v>
      </c>
      <c r="I34" s="394">
        <f>ROUND(D34*H34,0)</f>
        <v>60</v>
      </c>
      <c r="J34" s="1"/>
    </row>
    <row r="35" spans="1:10">
      <c r="A35" s="3">
        <f t="shared" si="0"/>
        <v>29</v>
      </c>
      <c r="B35" s="3"/>
      <c r="C35" s="4"/>
      <c r="D35" s="9"/>
      <c r="E35" s="184"/>
      <c r="F35" s="185"/>
      <c r="H35" s="184"/>
      <c r="I35" s="393"/>
      <c r="J35" s="1"/>
    </row>
    <row r="36" spans="1:10" ht="13.8" thickBot="1">
      <c r="A36" s="3">
        <f t="shared" si="0"/>
        <v>30</v>
      </c>
      <c r="B36" s="3"/>
      <c r="C36" s="11" t="s">
        <v>91</v>
      </c>
      <c r="D36" s="13">
        <f>SUM(D9,D18,D24,D26,D30,D32,D34)</f>
        <v>22962662</v>
      </c>
      <c r="E36" s="189"/>
      <c r="F36" s="190">
        <f t="shared" ref="F36" si="13">SUM(F9,F18,F24,F26,F30,F32,F34)</f>
        <v>63217</v>
      </c>
      <c r="H36" s="189"/>
      <c r="I36" s="190">
        <f t="shared" ref="I36" si="14">SUM(I9,I18,I24,I26,I30,I32,I34)</f>
        <v>62163</v>
      </c>
      <c r="J36" s="1"/>
    </row>
    <row r="37" spans="1:10" ht="13.8" thickTop="1">
      <c r="A37" s="3">
        <f t="shared" si="0"/>
        <v>31</v>
      </c>
      <c r="B37" s="3"/>
      <c r="C37" s="1"/>
      <c r="D37" s="1"/>
      <c r="E37" s="1"/>
      <c r="F37" s="185"/>
      <c r="H37" s="1"/>
      <c r="I37" s="393"/>
      <c r="J37" s="1"/>
    </row>
    <row r="38" spans="1:10">
      <c r="A38" s="3">
        <f t="shared" si="0"/>
        <v>32</v>
      </c>
      <c r="B38" s="3">
        <v>5</v>
      </c>
      <c r="C38" s="1" t="s">
        <v>92</v>
      </c>
      <c r="D38" s="9">
        <f>+'JAP-4 (ERF Impacts)'!C35</f>
        <v>7238</v>
      </c>
      <c r="E38" s="186">
        <v>0</v>
      </c>
      <c r="F38" s="187">
        <f>ROUND(D38*E38,-3)</f>
        <v>0</v>
      </c>
      <c r="H38" s="186">
        <v>0</v>
      </c>
      <c r="I38" s="394">
        <f>ROUND(D38*H38,0)</f>
        <v>0</v>
      </c>
      <c r="J38" s="1"/>
    </row>
    <row r="39" spans="1:10">
      <c r="A39" s="3">
        <f t="shared" si="0"/>
        <v>33</v>
      </c>
      <c r="B39" s="3"/>
      <c r="C39" s="1"/>
      <c r="D39" s="1"/>
      <c r="E39" s="1"/>
      <c r="F39" s="185"/>
      <c r="H39" s="1"/>
      <c r="I39" s="393"/>
      <c r="J39" s="1"/>
    </row>
    <row r="40" spans="1:10" ht="13.8" thickBot="1">
      <c r="A40" s="3">
        <f t="shared" si="0"/>
        <v>34</v>
      </c>
      <c r="B40" s="3"/>
      <c r="C40" s="11" t="s">
        <v>93</v>
      </c>
      <c r="D40" s="13">
        <f>SUM(D36,D38)</f>
        <v>22969900</v>
      </c>
      <c r="E40" s="1"/>
      <c r="F40" s="190">
        <f t="shared" ref="F40" si="15">SUM(F36,F38)</f>
        <v>63217</v>
      </c>
      <c r="H40" s="1">
        <f>+I40/D40</f>
        <v>2.7062808283884561E-3</v>
      </c>
      <c r="I40" s="190">
        <f t="shared" ref="I40" si="16">SUM(I36,I38)</f>
        <v>62163</v>
      </c>
      <c r="J40" s="1"/>
    </row>
    <row r="41" spans="1:10" ht="13.8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88671875" defaultRowHeight="14.4"/>
  <cols>
    <col min="1" max="1" width="4.6640625" style="147" bestFit="1" customWidth="1"/>
    <col min="2" max="2" width="23.33203125" style="147" bestFit="1" customWidth="1"/>
    <col min="3" max="3" width="16.5546875" style="147" customWidth="1"/>
    <col min="4" max="4" width="14.6640625" style="147" bestFit="1" customWidth="1"/>
    <col min="5" max="5" width="11.5546875" style="147" bestFit="1" customWidth="1"/>
    <col min="6" max="6" width="13.33203125" style="147" bestFit="1" customWidth="1"/>
    <col min="7" max="7" width="12.5546875" style="147" bestFit="1" customWidth="1"/>
    <col min="8" max="8" width="13.33203125" style="147" customWidth="1"/>
    <col min="9" max="10" width="17.6640625" style="147" bestFit="1" customWidth="1"/>
    <col min="11" max="11" width="13.33203125" style="147" bestFit="1" customWidth="1"/>
    <col min="12" max="16384" width="8.88671875" style="147"/>
  </cols>
  <sheetData>
    <row r="1" spans="1:7">
      <c r="A1" s="545" t="s">
        <v>0</v>
      </c>
      <c r="B1" s="545"/>
      <c r="C1" s="545"/>
      <c r="D1" s="545"/>
      <c r="E1" s="391"/>
      <c r="F1" s="391"/>
      <c r="G1" s="391"/>
    </row>
    <row r="2" spans="1:7">
      <c r="A2" s="545" t="s">
        <v>472</v>
      </c>
      <c r="B2" s="545"/>
      <c r="C2" s="545"/>
      <c r="D2" s="545"/>
      <c r="E2" s="391"/>
      <c r="F2" s="391"/>
      <c r="G2" s="391"/>
    </row>
    <row r="3" spans="1:7">
      <c r="A3" s="545" t="str">
        <f>+'JAP-4 (ERF Impacts)'!A3</f>
        <v>Test Year ended June 2018</v>
      </c>
      <c r="B3" s="545"/>
      <c r="C3" s="545"/>
      <c r="D3" s="545"/>
      <c r="E3" s="391"/>
      <c r="F3" s="391"/>
      <c r="G3" s="391"/>
    </row>
    <row r="4" spans="1:7">
      <c r="A4" s="545" t="str">
        <f>+'JAP-4 (ERF Impacts)'!A4</f>
        <v>$ x 1000</v>
      </c>
      <c r="B4" s="545"/>
      <c r="C4" s="545"/>
      <c r="D4" s="545"/>
    </row>
    <row r="6" spans="1:7" ht="66.599999999999994">
      <c r="A6" s="218" t="s">
        <v>245</v>
      </c>
      <c r="B6" s="219" t="s">
        <v>41</v>
      </c>
      <c r="C6" s="473" t="s">
        <v>473</v>
      </c>
      <c r="D6" s="473" t="s">
        <v>474</v>
      </c>
    </row>
    <row r="7" spans="1:7">
      <c r="A7" s="220">
        <v>1</v>
      </c>
      <c r="B7" s="221">
        <v>7</v>
      </c>
      <c r="C7" s="222"/>
      <c r="D7" s="222">
        <f>+'JAP-4 Proposed ERF Rev'!P17</f>
        <v>12060.432999999961</v>
      </c>
    </row>
    <row r="8" spans="1:7">
      <c r="A8" s="220">
        <v>2</v>
      </c>
      <c r="B8" s="221" t="s">
        <v>243</v>
      </c>
      <c r="C8" s="222"/>
      <c r="D8" s="222">
        <v>0</v>
      </c>
    </row>
    <row r="9" spans="1:7">
      <c r="A9" s="220">
        <v>3</v>
      </c>
      <c r="B9" s="221" t="s">
        <v>165</v>
      </c>
      <c r="C9" s="222">
        <f t="shared" ref="C9:D9" si="0">SUM(C7:C8)</f>
        <v>0</v>
      </c>
      <c r="D9" s="222">
        <f t="shared" si="0"/>
        <v>12060.432999999961</v>
      </c>
    </row>
    <row r="10" spans="1:7">
      <c r="A10" s="220">
        <v>4</v>
      </c>
      <c r="B10" s="221"/>
      <c r="C10" s="222"/>
      <c r="D10" s="222"/>
    </row>
    <row r="11" spans="1:7">
      <c r="A11" s="220">
        <v>5</v>
      </c>
      <c r="B11" s="221" t="s">
        <v>146</v>
      </c>
      <c r="C11" s="222"/>
      <c r="D11" s="222">
        <f>+'JAP-4 Proposed ERF Rev'!P21</f>
        <v>2198.9859999999753</v>
      </c>
    </row>
    <row r="12" spans="1:7">
      <c r="A12" s="220">
        <v>6</v>
      </c>
      <c r="B12" s="221" t="s">
        <v>246</v>
      </c>
      <c r="C12" s="222"/>
      <c r="D12" s="222">
        <f>+'JAP-4 Proposed ERF Rev'!P22</f>
        <v>1890.8589999999967</v>
      </c>
    </row>
    <row r="13" spans="1:7">
      <c r="A13" s="220">
        <v>7</v>
      </c>
      <c r="B13" s="221" t="s">
        <v>240</v>
      </c>
      <c r="C13" s="222"/>
      <c r="D13" s="222">
        <f>+'JAP-4 Proposed ERF Rev'!P23</f>
        <v>1096.93299999999</v>
      </c>
    </row>
    <row r="14" spans="1:7">
      <c r="A14" s="220">
        <v>8</v>
      </c>
      <c r="B14" s="221" t="s">
        <v>247</v>
      </c>
      <c r="C14" s="222"/>
      <c r="D14" s="222">
        <v>0</v>
      </c>
    </row>
    <row r="15" spans="1:7">
      <c r="A15" s="220">
        <v>9</v>
      </c>
      <c r="B15" s="221">
        <v>29</v>
      </c>
      <c r="C15" s="222"/>
      <c r="D15" s="222">
        <f>+'JAP-4 Proposed ERF Rev'!P24</f>
        <v>10.215999999999894</v>
      </c>
    </row>
    <row r="16" spans="1:7">
      <c r="A16" s="220">
        <v>10</v>
      </c>
      <c r="B16" s="221" t="s">
        <v>17</v>
      </c>
      <c r="C16" s="222">
        <f t="shared" ref="C16:D16" si="1">SUM(C11:C15)</f>
        <v>0</v>
      </c>
      <c r="D16" s="222">
        <f t="shared" si="1"/>
        <v>5196.9939999999624</v>
      </c>
    </row>
    <row r="17" spans="1:11">
      <c r="A17" s="220">
        <v>11</v>
      </c>
      <c r="B17" s="221"/>
      <c r="C17" s="222"/>
      <c r="D17" s="222"/>
    </row>
    <row r="18" spans="1:11">
      <c r="A18" s="220">
        <v>12</v>
      </c>
      <c r="B18" s="221" t="s">
        <v>149</v>
      </c>
      <c r="C18" s="222"/>
      <c r="D18" s="222">
        <f>+'JAP-4 Proposed ERF Rev'!P28</f>
        <v>757.42300000000978</v>
      </c>
    </row>
    <row r="19" spans="1:11">
      <c r="A19" s="220">
        <v>13</v>
      </c>
      <c r="B19" s="221">
        <v>35</v>
      </c>
      <c r="C19" s="222"/>
      <c r="D19" s="222">
        <f>+'JAP-4 Proposed ERF Rev'!P29</f>
        <v>3.6899999999999977</v>
      </c>
    </row>
    <row r="20" spans="1:11">
      <c r="A20" s="220">
        <v>14</v>
      </c>
      <c r="B20" s="221">
        <v>43</v>
      </c>
      <c r="C20" s="222"/>
      <c r="D20" s="222">
        <f>+'JAP-4 Proposed ERF Rev'!P30</f>
        <v>117.4380000000001</v>
      </c>
    </row>
    <row r="21" spans="1:11">
      <c r="A21" s="220">
        <v>15</v>
      </c>
      <c r="B21" s="221" t="s">
        <v>18</v>
      </c>
      <c r="C21" s="222">
        <f t="shared" ref="C21:D21" si="2">SUM(C18:C20)</f>
        <v>0</v>
      </c>
      <c r="D21" s="222">
        <f t="shared" si="2"/>
        <v>878.55100000000994</v>
      </c>
    </row>
    <row r="22" spans="1:11">
      <c r="A22" s="220">
        <v>16</v>
      </c>
      <c r="B22" s="221"/>
      <c r="C22" s="222"/>
      <c r="D22" s="222"/>
      <c r="E22" s="223"/>
      <c r="G22" s="223"/>
      <c r="H22" s="223"/>
      <c r="J22" s="223"/>
      <c r="K22" s="223"/>
    </row>
    <row r="23" spans="1:11">
      <c r="A23" s="220">
        <v>17</v>
      </c>
      <c r="B23" s="221">
        <v>40</v>
      </c>
      <c r="C23" s="222"/>
      <c r="D23" s="222">
        <f>+'JAP-4 Proposed ERF Rev'!P33</f>
        <v>232.3269999999975</v>
      </c>
      <c r="E23" s="223"/>
      <c r="G23" s="223"/>
      <c r="H23" s="223"/>
      <c r="J23" s="223"/>
      <c r="K23" s="223"/>
    </row>
    <row r="24" spans="1:11">
      <c r="A24" s="220">
        <v>18</v>
      </c>
      <c r="B24" s="221"/>
      <c r="C24" s="222"/>
      <c r="D24" s="222"/>
      <c r="E24" s="223"/>
      <c r="G24" s="223"/>
      <c r="H24" s="223"/>
    </row>
    <row r="25" spans="1:11">
      <c r="A25" s="220">
        <v>19</v>
      </c>
      <c r="B25" s="221">
        <v>46</v>
      </c>
      <c r="C25" s="222"/>
      <c r="D25" s="222">
        <f>+'JAP-4 Proposed ERF Rev'!P36</f>
        <v>37.646999999999935</v>
      </c>
    </row>
    <row r="26" spans="1:11">
      <c r="A26" s="220">
        <v>20</v>
      </c>
      <c r="B26" s="221">
        <v>49</v>
      </c>
      <c r="C26" s="222"/>
      <c r="D26" s="222">
        <f>+'JAP-4 Proposed ERF Rev'!P37</f>
        <v>255.2019999999975</v>
      </c>
    </row>
    <row r="27" spans="1:11">
      <c r="A27" s="220">
        <v>21</v>
      </c>
      <c r="B27" s="221" t="s">
        <v>19</v>
      </c>
      <c r="C27" s="222">
        <f t="shared" ref="C27:D27" si="3">SUM(C25:C26)</f>
        <v>0</v>
      </c>
      <c r="D27" s="222">
        <f t="shared" si="3"/>
        <v>292.84899999999743</v>
      </c>
    </row>
    <row r="28" spans="1:11">
      <c r="A28" s="220">
        <v>22</v>
      </c>
      <c r="B28" s="221"/>
      <c r="C28" s="222"/>
      <c r="D28" s="222"/>
    </row>
    <row r="29" spans="1:11">
      <c r="A29" s="220">
        <v>23</v>
      </c>
      <c r="B29" s="221" t="s">
        <v>20</v>
      </c>
      <c r="C29" s="222"/>
      <c r="D29" s="222">
        <f>+'JAP-4 Proposed ERF Rev'!P42</f>
        <v>183.73300000000017</v>
      </c>
    </row>
    <row r="30" spans="1:11">
      <c r="A30" s="220">
        <v>24</v>
      </c>
      <c r="B30" s="221"/>
      <c r="C30" s="222"/>
      <c r="D30" s="222"/>
    </row>
    <row r="31" spans="1:11">
      <c r="A31" s="220">
        <v>25</v>
      </c>
      <c r="B31" s="221" t="s">
        <v>126</v>
      </c>
      <c r="C31" s="222"/>
      <c r="D31" s="222">
        <f>+'JAP-4 Proposed ERF Rev'!P40</f>
        <v>5.2880000000004657</v>
      </c>
    </row>
    <row r="32" spans="1:11">
      <c r="A32" s="220">
        <v>26</v>
      </c>
      <c r="B32" s="221"/>
      <c r="C32" s="222"/>
      <c r="D32" s="222"/>
    </row>
    <row r="33" spans="1:4">
      <c r="A33" s="220">
        <v>27</v>
      </c>
      <c r="B33" s="221" t="s">
        <v>248</v>
      </c>
      <c r="C33" s="222">
        <f t="shared" ref="C33:D33" si="4">SUM(C9,C16,C21,C23,C27,C29,C31)</f>
        <v>0</v>
      </c>
      <c r="D33" s="222">
        <f t="shared" si="4"/>
        <v>18850.17499999993</v>
      </c>
    </row>
    <row r="34" spans="1:4">
      <c r="A34" s="220">
        <v>28</v>
      </c>
      <c r="B34" s="221"/>
      <c r="C34" s="222"/>
      <c r="D34" s="222"/>
    </row>
    <row r="35" spans="1:4">
      <c r="A35" s="220">
        <v>29</v>
      </c>
      <c r="B35" s="221" t="s">
        <v>202</v>
      </c>
      <c r="C35" s="222"/>
      <c r="D35" s="222">
        <f>+'JAP-4 Proposed ERF Rev'!P46</f>
        <v>3.0690069235267288</v>
      </c>
    </row>
    <row r="36" spans="1:4">
      <c r="A36" s="220">
        <v>30</v>
      </c>
      <c r="B36" s="221"/>
      <c r="C36" s="222"/>
      <c r="D36" s="222"/>
    </row>
    <row r="37" spans="1:4">
      <c r="A37" s="220">
        <v>31</v>
      </c>
      <c r="B37" s="221" t="s">
        <v>249</v>
      </c>
      <c r="C37" s="222">
        <f t="shared" ref="C37:D37" si="5">SUM(C33,C35)</f>
        <v>0</v>
      </c>
      <c r="D37" s="222">
        <f t="shared" si="5"/>
        <v>18853.244006923458</v>
      </c>
    </row>
    <row r="38" spans="1:4">
      <c r="C38" s="222"/>
      <c r="D38" s="222"/>
    </row>
    <row r="39" spans="1:4">
      <c r="C39" s="224"/>
      <c r="D39" s="224"/>
    </row>
  </sheetData>
  <mergeCells count="4">
    <mergeCell ref="A4:D4"/>
    <mergeCell ref="A1:D1"/>
    <mergeCell ref="A2:D2"/>
    <mergeCell ref="A3:D3"/>
  </mergeCells>
  <printOptions horizontalCentered="1"/>
  <pageMargins left="0.7" right="0.7" top="0.75" bottom="0.7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46"/>
  <sheetViews>
    <sheetView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88671875" defaultRowHeight="13.2"/>
  <cols>
    <col min="1" max="2" width="8.88671875" style="1"/>
    <col min="3" max="3" width="21" style="1" bestFit="1" customWidth="1"/>
    <col min="4" max="4" width="15.109375" style="1" bestFit="1" customWidth="1"/>
    <col min="5" max="5" width="10.44140625" style="1" bestFit="1" customWidth="1"/>
    <col min="6" max="6" width="2.5546875" style="1" customWidth="1"/>
    <col min="7" max="7" width="12.33203125" style="1" customWidth="1"/>
    <col min="8" max="8" width="11.5546875" style="1" bestFit="1" customWidth="1"/>
    <col min="9" max="9" width="11.6640625" style="1" customWidth="1"/>
    <col min="10" max="16384" width="8.88671875" style="1"/>
  </cols>
  <sheetData>
    <row r="1" spans="1:9">
      <c r="A1" s="545" t="s">
        <v>0</v>
      </c>
      <c r="B1" s="545"/>
      <c r="C1" s="545"/>
      <c r="D1" s="545"/>
      <c r="E1" s="545"/>
    </row>
    <row r="2" spans="1:9">
      <c r="A2" s="546" t="s">
        <v>250</v>
      </c>
      <c r="B2" s="545"/>
      <c r="C2" s="545"/>
      <c r="D2" s="545"/>
      <c r="E2" s="545"/>
    </row>
    <row r="3" spans="1:9">
      <c r="A3" s="545" t="str">
        <f>+'JAP-4 (ERF Impacts)'!A3</f>
        <v>Test Year ended June 2018</v>
      </c>
      <c r="B3" s="545"/>
      <c r="C3" s="545"/>
      <c r="D3" s="545"/>
      <c r="E3" s="545"/>
    </row>
    <row r="4" spans="1:9">
      <c r="A4" s="545"/>
      <c r="B4" s="545"/>
      <c r="C4" s="545"/>
      <c r="D4" s="545"/>
      <c r="E4" s="545"/>
    </row>
    <row r="5" spans="1:9">
      <c r="A5" s="390"/>
      <c r="B5" s="389"/>
      <c r="C5" s="389"/>
      <c r="D5" s="389"/>
      <c r="E5" s="389"/>
    </row>
    <row r="6" spans="1:9" ht="52.8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7" t="s">
        <v>251</v>
      </c>
      <c r="G6" s="361" t="s">
        <v>427</v>
      </c>
      <c r="H6" s="361" t="s">
        <v>426</v>
      </c>
      <c r="I6" s="361" t="s">
        <v>425</v>
      </c>
    </row>
    <row r="7" spans="1:9">
      <c r="A7" s="389">
        <v>1</v>
      </c>
      <c r="B7" s="389">
        <v>7</v>
      </c>
      <c r="C7" s="4"/>
      <c r="D7" s="9">
        <f>+'JAP-4 (ERF Impacts)'!C9</f>
        <v>10657340</v>
      </c>
      <c r="E7" s="9"/>
      <c r="G7" s="184">
        <f>+'UE-180282 Sch 142'!I9</f>
        <v>-1.237E-3</v>
      </c>
      <c r="H7" s="184"/>
      <c r="I7" s="393">
        <f>ROUND(D7*G7+H7*E7/1000,0)</f>
        <v>-13183</v>
      </c>
    </row>
    <row r="8" spans="1:9">
      <c r="A8" s="389">
        <f t="shared" ref="A8:A40" si="0">+A7+1</f>
        <v>2</v>
      </c>
      <c r="B8" s="390" t="s">
        <v>14</v>
      </c>
      <c r="C8" s="4"/>
      <c r="D8" s="9">
        <v>0</v>
      </c>
      <c r="E8" s="9"/>
      <c r="G8" s="184">
        <f>+'UE-180282 Sch 142'!I10</f>
        <v>1.408E-3</v>
      </c>
      <c r="H8" s="184"/>
      <c r="I8" s="393">
        <f>ROUND(D8*G8+H8*E8/1000,0)</f>
        <v>0</v>
      </c>
    </row>
    <row r="9" spans="1:9">
      <c r="A9" s="389">
        <f t="shared" si="0"/>
        <v>3</v>
      </c>
      <c r="B9" s="389"/>
      <c r="C9" s="4" t="s">
        <v>15</v>
      </c>
      <c r="D9" s="12">
        <f>SUM(D7:D8)</f>
        <v>10657340</v>
      </c>
      <c r="E9" s="9"/>
      <c r="G9" s="407"/>
      <c r="H9" s="407"/>
      <c r="I9" s="394">
        <f t="shared" ref="I9" si="1">SUM(I7:I8)</f>
        <v>-13183</v>
      </c>
    </row>
    <row r="10" spans="1:9">
      <c r="A10" s="389">
        <f t="shared" si="0"/>
        <v>4</v>
      </c>
      <c r="B10" s="389"/>
      <c r="C10" s="4"/>
      <c r="D10" s="9"/>
      <c r="E10" s="9"/>
      <c r="G10" s="184"/>
      <c r="H10" s="184"/>
      <c r="I10" s="393"/>
    </row>
    <row r="11" spans="1:9">
      <c r="A11" s="389">
        <f t="shared" si="0"/>
        <v>5</v>
      </c>
      <c r="B11" s="389">
        <v>8</v>
      </c>
      <c r="C11" s="4"/>
      <c r="D11" s="9">
        <v>0</v>
      </c>
      <c r="E11" s="9"/>
      <c r="G11" s="184">
        <f>+'UE-180282 Sch 142'!I13</f>
        <v>1.2509999999999999E-3</v>
      </c>
      <c r="H11" s="184"/>
      <c r="I11" s="393">
        <f t="shared" ref="I11:I17" si="2">ROUND(D11*G11+H11*E11/1000,0)</f>
        <v>0</v>
      </c>
    </row>
    <row r="12" spans="1:9">
      <c r="A12" s="389">
        <f t="shared" si="0"/>
        <v>6</v>
      </c>
      <c r="B12" s="389">
        <v>24</v>
      </c>
      <c r="D12" s="9">
        <f>+'JAP-4 (ERF Impacts)'!C12</f>
        <v>2769974</v>
      </c>
      <c r="E12" s="9"/>
      <c r="G12" s="184">
        <f>+'UE-180282 Sch 142'!I14</f>
        <v>1.2509999999999999E-3</v>
      </c>
      <c r="H12" s="184"/>
      <c r="I12" s="393">
        <f t="shared" si="2"/>
        <v>3465</v>
      </c>
    </row>
    <row r="13" spans="1:9">
      <c r="A13" s="389">
        <f t="shared" si="0"/>
        <v>7</v>
      </c>
      <c r="B13" s="390">
        <v>11</v>
      </c>
      <c r="C13" s="4"/>
      <c r="D13" s="9">
        <v>0</v>
      </c>
      <c r="E13" s="9"/>
      <c r="G13" s="184">
        <f>+'UE-180282 Sch 142'!I15</f>
        <v>1.408E-3</v>
      </c>
      <c r="H13" s="184"/>
      <c r="I13" s="393">
        <f t="shared" si="2"/>
        <v>0</v>
      </c>
    </row>
    <row r="14" spans="1:9">
      <c r="A14" s="389">
        <f t="shared" si="0"/>
        <v>8</v>
      </c>
      <c r="B14" s="390">
        <v>25</v>
      </c>
      <c r="D14" s="9">
        <f>+'JAP-4 (ERF Impacts)'!C13</f>
        <v>2962665</v>
      </c>
      <c r="E14" s="9"/>
      <c r="G14" s="184">
        <f>+'UE-180282 Sch 142'!I16</f>
        <v>1.408E-3</v>
      </c>
      <c r="H14" s="184"/>
      <c r="I14" s="393">
        <f t="shared" si="2"/>
        <v>4171</v>
      </c>
    </row>
    <row r="15" spans="1:9">
      <c r="A15" s="389">
        <f t="shared" si="0"/>
        <v>9</v>
      </c>
      <c r="B15" s="389">
        <v>12</v>
      </c>
      <c r="C15" s="4"/>
      <c r="D15" s="407">
        <v>0</v>
      </c>
      <c r="E15" s="9"/>
      <c r="G15" s="184">
        <f>+'UE-180282 Sch 142'!I17</f>
        <v>8.5000000000000006E-5</v>
      </c>
      <c r="H15" s="184"/>
      <c r="I15" s="393">
        <f t="shared" si="2"/>
        <v>0</v>
      </c>
    </row>
    <row r="16" spans="1:9">
      <c r="A16" s="389">
        <f t="shared" si="0"/>
        <v>10</v>
      </c>
      <c r="B16" s="389" t="s">
        <v>16</v>
      </c>
      <c r="D16" s="407">
        <f>+'JAP-4 (ERF Impacts)'!C14</f>
        <v>1872506</v>
      </c>
      <c r="E16" s="9">
        <f>SUM('[1](JAP4) SecVolt RD'!$C$75,'[1](JAP4) SecVolt RD'!$C$99)</f>
        <v>4623786</v>
      </c>
      <c r="G16" s="184">
        <f>+'UE-180282 Sch 142'!I18</f>
        <v>8.5000000000000006E-5</v>
      </c>
      <c r="H16" s="184">
        <f>+'UE-180282 Sch 142'!I20</f>
        <v>-0.06</v>
      </c>
      <c r="I16" s="393">
        <f t="shared" si="2"/>
        <v>-118</v>
      </c>
    </row>
    <row r="17" spans="1:9">
      <c r="A17" s="389">
        <f t="shared" si="0"/>
        <v>11</v>
      </c>
      <c r="B17" s="389">
        <v>29</v>
      </c>
      <c r="C17" s="4"/>
      <c r="D17" s="9">
        <f>+'JAP-4 (ERF Impacts)'!C15</f>
        <v>18243</v>
      </c>
      <c r="E17" s="9"/>
      <c r="G17" s="184">
        <f>+'UE-180282 Sch 142'!I21</f>
        <v>1.408E-3</v>
      </c>
      <c r="H17" s="184"/>
      <c r="I17" s="393">
        <f t="shared" si="2"/>
        <v>26</v>
      </c>
    </row>
    <row r="18" spans="1:9">
      <c r="A18" s="389">
        <f t="shared" si="0"/>
        <v>12</v>
      </c>
      <c r="B18" s="389"/>
      <c r="C18" s="11" t="s">
        <v>17</v>
      </c>
      <c r="D18" s="12">
        <f>SUM(D11:D17)</f>
        <v>7623388</v>
      </c>
      <c r="E18" s="12">
        <f>SUM(E11:E17)</f>
        <v>4623786</v>
      </c>
      <c r="G18" s="407"/>
      <c r="H18" s="407"/>
      <c r="I18" s="394">
        <f t="shared" ref="I18" si="3">SUM(I11:I17)</f>
        <v>7544</v>
      </c>
    </row>
    <row r="19" spans="1:9">
      <c r="A19" s="389">
        <f t="shared" si="0"/>
        <v>13</v>
      </c>
      <c r="B19" s="389"/>
      <c r="C19" s="4"/>
      <c r="D19" s="9"/>
      <c r="E19" s="9"/>
      <c r="G19" s="184"/>
      <c r="H19" s="184"/>
      <c r="I19" s="393"/>
    </row>
    <row r="20" spans="1:9">
      <c r="A20" s="389">
        <f t="shared" si="0"/>
        <v>14</v>
      </c>
      <c r="B20" s="389">
        <v>10</v>
      </c>
      <c r="D20" s="407"/>
      <c r="E20" s="9"/>
      <c r="G20" s="184"/>
      <c r="H20" s="184"/>
      <c r="I20" s="393">
        <f>ROUND(D20*G20+H20*E20/1000,0)</f>
        <v>0</v>
      </c>
    </row>
    <row r="21" spans="1:9">
      <c r="A21" s="389">
        <f t="shared" si="0"/>
        <v>15</v>
      </c>
      <c r="B21" s="389">
        <v>31</v>
      </c>
      <c r="C21" s="4"/>
      <c r="D21" s="407">
        <f>+'JAP-4 (ERF Impacts)'!C18</f>
        <v>1321181</v>
      </c>
      <c r="E21" s="9">
        <f>+'[1](JAP4) PriVolt RD'!$C$25</f>
        <v>3271651</v>
      </c>
      <c r="G21" s="184">
        <f>+'UE-180282 Sch 142'!I25</f>
        <v>-5.5999999999999999E-5</v>
      </c>
      <c r="H21" s="184">
        <f>+'UE-180282 Sch 142'!I26</f>
        <v>-0.08</v>
      </c>
      <c r="I21" s="393">
        <f>ROUND(D21*G21+H21*E21/1000,0)</f>
        <v>-336</v>
      </c>
    </row>
    <row r="22" spans="1:9">
      <c r="A22" s="389">
        <f t="shared" si="0"/>
        <v>16</v>
      </c>
      <c r="B22" s="389">
        <v>35</v>
      </c>
      <c r="C22" s="4"/>
      <c r="D22" s="9">
        <f>+'JAP-4 (ERF Impacts)'!C19</f>
        <v>3789</v>
      </c>
      <c r="E22" s="9"/>
      <c r="G22" s="184">
        <f>+'UE-180282 Sch 142'!I28</f>
        <v>1.408E-3</v>
      </c>
      <c r="H22" s="184"/>
      <c r="I22" s="393">
        <f>ROUND(D22*G22+H22*E22/1000,0)</f>
        <v>5</v>
      </c>
    </row>
    <row r="23" spans="1:9">
      <c r="A23" s="389">
        <f t="shared" si="0"/>
        <v>17</v>
      </c>
      <c r="B23" s="389">
        <v>43</v>
      </c>
      <c r="C23" s="4"/>
      <c r="D23" s="9">
        <f>+'JAP-4 (ERF Impacts)'!C20</f>
        <v>123046</v>
      </c>
      <c r="E23" s="9"/>
      <c r="G23" s="184">
        <f>+'UE-180282 Sch 142'!I29</f>
        <v>1.408E-3</v>
      </c>
      <c r="H23" s="184"/>
      <c r="I23" s="393">
        <f>ROUND(D23*G23+H23*E23/1000,0)</f>
        <v>173</v>
      </c>
    </row>
    <row r="24" spans="1:9">
      <c r="A24" s="389">
        <f t="shared" si="0"/>
        <v>18</v>
      </c>
      <c r="B24" s="389"/>
      <c r="C24" s="4" t="s">
        <v>18</v>
      </c>
      <c r="D24" s="12">
        <f>SUM(D20:D23)</f>
        <v>1448016</v>
      </c>
      <c r="E24" s="12">
        <f>SUM(E20:E23)</f>
        <v>3271651</v>
      </c>
      <c r="G24" s="407"/>
      <c r="H24" s="407"/>
      <c r="I24" s="394">
        <f t="shared" ref="I24" si="4">SUM(I20:I23)</f>
        <v>-158</v>
      </c>
    </row>
    <row r="25" spans="1:9">
      <c r="A25" s="389">
        <f t="shared" si="0"/>
        <v>19</v>
      </c>
      <c r="B25" s="389"/>
      <c r="C25" s="4"/>
      <c r="D25" s="9"/>
      <c r="E25" s="9"/>
      <c r="G25" s="184"/>
      <c r="H25" s="184"/>
      <c r="I25" s="393"/>
    </row>
    <row r="26" spans="1:9">
      <c r="A26" s="389">
        <f t="shared" si="0"/>
        <v>20</v>
      </c>
      <c r="B26" s="389">
        <v>40</v>
      </c>
      <c r="C26" s="4"/>
      <c r="D26" s="12">
        <f>+'JAP-4 (ERF Impacts)'!C23</f>
        <v>534767</v>
      </c>
      <c r="E26" s="9"/>
      <c r="G26" s="184">
        <f>+'UE-180282 Sch 142'!I32</f>
        <v>1.7980000000000001E-3</v>
      </c>
      <c r="H26" s="184"/>
      <c r="I26" s="393">
        <f>ROUND(D26*G26+H26*E26/1000,0)</f>
        <v>962</v>
      </c>
    </row>
    <row r="27" spans="1:9">
      <c r="A27" s="389">
        <f t="shared" si="0"/>
        <v>21</v>
      </c>
      <c r="B27" s="389"/>
      <c r="C27" s="4"/>
      <c r="D27" s="9"/>
      <c r="E27" s="9"/>
      <c r="G27" s="184"/>
      <c r="H27" s="184"/>
      <c r="I27" s="393"/>
    </row>
    <row r="28" spans="1:9">
      <c r="A28" s="389">
        <f t="shared" si="0"/>
        <v>22</v>
      </c>
      <c r="B28" s="389">
        <v>46</v>
      </c>
      <c r="C28" s="4"/>
      <c r="D28" s="9">
        <f>+'JAP-4 (ERF Impacts)'!C25</f>
        <v>81154</v>
      </c>
      <c r="E28" s="9"/>
      <c r="G28" s="184">
        <f>+'UE-180282 Sch 142'!I34</f>
        <v>1.323E-3</v>
      </c>
      <c r="H28" s="184"/>
      <c r="I28" s="393">
        <f>ROUND(D28*G28+H28*E28/1000,0)</f>
        <v>107</v>
      </c>
    </row>
    <row r="29" spans="1:9">
      <c r="A29" s="389">
        <f t="shared" si="0"/>
        <v>23</v>
      </c>
      <c r="B29" s="389">
        <v>49</v>
      </c>
      <c r="C29" s="4"/>
      <c r="D29" s="9">
        <f>+'JAP-4 (ERF Impacts)'!C26</f>
        <v>553489</v>
      </c>
      <c r="E29" s="9"/>
      <c r="G29" s="184">
        <f>+'UE-180282 Sch 142'!I35</f>
        <v>1.323E-3</v>
      </c>
      <c r="H29" s="184"/>
      <c r="I29" s="393">
        <f>ROUND(D29*G29+H29*E29/1000,0)</f>
        <v>732</v>
      </c>
    </row>
    <row r="30" spans="1:9">
      <c r="A30" s="389">
        <f t="shared" si="0"/>
        <v>24</v>
      </c>
      <c r="B30" s="389"/>
      <c r="C30" s="4" t="s">
        <v>19</v>
      </c>
      <c r="D30" s="12">
        <f>SUM(D28:D29)</f>
        <v>634643</v>
      </c>
      <c r="E30" s="9"/>
      <c r="G30" s="407"/>
      <c r="H30" s="407"/>
      <c r="I30" s="394">
        <f t="shared" ref="I30" si="5">SUM(I28:I29)</f>
        <v>839</v>
      </c>
    </row>
    <row r="31" spans="1:9">
      <c r="A31" s="389">
        <f t="shared" si="0"/>
        <v>25</v>
      </c>
      <c r="B31" s="389"/>
      <c r="C31" s="4"/>
      <c r="D31" s="9"/>
      <c r="E31" s="9"/>
      <c r="G31" s="184"/>
      <c r="H31" s="184"/>
      <c r="I31" s="393"/>
    </row>
    <row r="32" spans="1:9">
      <c r="A32" s="389">
        <f t="shared" si="0"/>
        <v>26</v>
      </c>
      <c r="B32" s="389" t="s">
        <v>20</v>
      </c>
      <c r="C32" s="4"/>
      <c r="D32" s="12">
        <f>+'JAP-4 (ERF Impacts)'!C29</f>
        <v>70907</v>
      </c>
      <c r="E32" s="9"/>
      <c r="G32" s="407"/>
      <c r="H32" s="407"/>
      <c r="I32" s="393">
        <f>ROUND(D32*G32+H32*E32/1000,0)</f>
        <v>0</v>
      </c>
    </row>
    <row r="33" spans="1:9">
      <c r="A33" s="389">
        <f t="shared" si="0"/>
        <v>27</v>
      </c>
      <c r="B33" s="389"/>
      <c r="C33" s="4"/>
      <c r="D33" s="9"/>
      <c r="E33" s="9"/>
      <c r="G33" s="407"/>
      <c r="H33" s="407"/>
      <c r="I33" s="393"/>
    </row>
    <row r="34" spans="1:9">
      <c r="A34" s="389">
        <f t="shared" si="0"/>
        <v>28</v>
      </c>
      <c r="B34" s="389" t="s">
        <v>21</v>
      </c>
      <c r="C34" s="4"/>
      <c r="D34" s="12">
        <f>+'JAP-4 (ERF Impacts)'!C31</f>
        <v>1993601</v>
      </c>
      <c r="E34" s="9"/>
      <c r="G34" s="407"/>
      <c r="H34" s="407"/>
      <c r="I34" s="393">
        <f>ROUND(D34*G34+H34*E34/1000,0)</f>
        <v>0</v>
      </c>
    </row>
    <row r="35" spans="1:9">
      <c r="A35" s="389">
        <f t="shared" si="0"/>
        <v>29</v>
      </c>
      <c r="B35" s="389"/>
      <c r="C35" s="4"/>
      <c r="D35" s="9"/>
      <c r="E35" s="9"/>
      <c r="G35" s="407"/>
      <c r="H35" s="407"/>
      <c r="I35" s="393"/>
    </row>
    <row r="36" spans="1:9" ht="13.8" thickBot="1">
      <c r="A36" s="389">
        <f t="shared" si="0"/>
        <v>30</v>
      </c>
      <c r="B36" s="389"/>
      <c r="C36" s="11" t="s">
        <v>91</v>
      </c>
      <c r="D36" s="13">
        <f>SUM(D9,D18,D24,D26,D30,D32,D34)</f>
        <v>22962662</v>
      </c>
      <c r="E36" s="13">
        <f>SUM(E9,E18,E24,E26,E30,E32,E34)</f>
        <v>7895437</v>
      </c>
      <c r="G36" s="407"/>
      <c r="H36" s="407"/>
      <c r="I36" s="190">
        <f t="shared" ref="I36" si="6">SUM(I9,I18,I24,I26,I30,I32,I34)</f>
        <v>-3996</v>
      </c>
    </row>
    <row r="37" spans="1:9" ht="13.8" thickTop="1">
      <c r="A37" s="389">
        <f t="shared" si="0"/>
        <v>31</v>
      </c>
      <c r="B37" s="389"/>
      <c r="E37" s="9"/>
      <c r="G37" s="407"/>
      <c r="H37" s="407"/>
      <c r="I37" s="393"/>
    </row>
    <row r="38" spans="1:9">
      <c r="A38" s="389">
        <f t="shared" si="0"/>
        <v>32</v>
      </c>
      <c r="B38" s="389">
        <v>5</v>
      </c>
      <c r="C38" s="1" t="s">
        <v>92</v>
      </c>
      <c r="D38" s="9">
        <f>+'JAP-4 (ERF Impacts)'!C35</f>
        <v>7238</v>
      </c>
      <c r="E38" s="9"/>
      <c r="G38" s="407"/>
      <c r="H38" s="407"/>
      <c r="I38" s="393">
        <f>ROUND(D38*G38+H38*E38/1000,0)</f>
        <v>0</v>
      </c>
    </row>
    <row r="39" spans="1:9">
      <c r="A39" s="389">
        <f t="shared" si="0"/>
        <v>33</v>
      </c>
      <c r="B39" s="389"/>
      <c r="E39" s="9"/>
      <c r="I39" s="393"/>
    </row>
    <row r="40" spans="1:9" ht="13.8" thickBot="1">
      <c r="A40" s="389">
        <f t="shared" si="0"/>
        <v>34</v>
      </c>
      <c r="B40" s="389"/>
      <c r="C40" s="11" t="s">
        <v>93</v>
      </c>
      <c r="D40" s="13">
        <f>SUM(D36,D38)</f>
        <v>22969900</v>
      </c>
      <c r="E40" s="9"/>
      <c r="I40" s="190">
        <f t="shared" ref="I40" si="7">SUM(I36,I38)</f>
        <v>-3996</v>
      </c>
    </row>
    <row r="41" spans="1:9" ht="13.8" thickTop="1">
      <c r="E41" s="9"/>
    </row>
    <row r="42" spans="1:9">
      <c r="C42" s="1" t="s">
        <v>402</v>
      </c>
      <c r="E42" s="9"/>
    </row>
    <row r="43" spans="1:9">
      <c r="C43" s="408" t="s">
        <v>403</v>
      </c>
      <c r="E43" s="9"/>
    </row>
    <row r="44" spans="1:9">
      <c r="E44" s="9"/>
    </row>
    <row r="45" spans="1:9">
      <c r="E45" s="9"/>
    </row>
    <row r="46" spans="1:9">
      <c r="E46" s="9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43"/>
  <sheetViews>
    <sheetView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2"/>
  <cols>
    <col min="1" max="1" width="7.6640625" bestFit="1" customWidth="1"/>
    <col min="2" max="2" width="10.33203125" bestFit="1" customWidth="1"/>
    <col min="3" max="3" width="21" bestFit="1" customWidth="1"/>
    <col min="4" max="4" width="13.6640625" bestFit="1" customWidth="1"/>
    <col min="5" max="5" width="11.5546875" bestFit="1" customWidth="1"/>
    <col min="6" max="6" width="12.109375" bestFit="1" customWidth="1"/>
    <col min="14" max="14" width="9.6640625" bestFit="1" customWidth="1"/>
  </cols>
  <sheetData>
    <row r="1" spans="1:6">
      <c r="A1" s="545" t="s">
        <v>0</v>
      </c>
      <c r="B1" s="545"/>
      <c r="C1" s="545"/>
      <c r="D1" s="545"/>
      <c r="E1" s="545"/>
      <c r="F1" s="545"/>
    </row>
    <row r="2" spans="1:6">
      <c r="A2" s="546" t="s">
        <v>262</v>
      </c>
      <c r="B2" s="545"/>
      <c r="C2" s="545"/>
      <c r="D2" s="545"/>
      <c r="E2" s="545"/>
      <c r="F2" s="545"/>
    </row>
    <row r="3" spans="1:6">
      <c r="A3" s="545" t="s">
        <v>86</v>
      </c>
      <c r="B3" s="545"/>
      <c r="C3" s="545"/>
      <c r="D3" s="545"/>
      <c r="E3" s="545"/>
      <c r="F3" s="545"/>
    </row>
    <row r="4" spans="1:6">
      <c r="A4" s="545"/>
      <c r="B4" s="545"/>
      <c r="C4" s="545"/>
      <c r="D4" s="545"/>
      <c r="E4" s="545"/>
      <c r="F4" s="545"/>
    </row>
    <row r="5" spans="1:6">
      <c r="A5" s="2"/>
      <c r="B5" s="3"/>
      <c r="C5" s="3"/>
      <c r="D5" s="3"/>
      <c r="E5" s="4"/>
      <c r="F5" s="4" t="s">
        <v>127</v>
      </c>
    </row>
    <row r="6" spans="1:6" ht="66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7" t="s">
        <v>382</v>
      </c>
      <c r="F6" s="7" t="s">
        <v>263</v>
      </c>
    </row>
    <row r="7" spans="1:6">
      <c r="A7" s="3">
        <v>1</v>
      </c>
      <c r="B7" s="3">
        <v>7</v>
      </c>
      <c r="C7" s="4"/>
      <c r="D7" s="477">
        <f>+'[2]BPA Res Exch Load'!D7</f>
        <v>10657340.915968496</v>
      </c>
      <c r="E7" s="184">
        <f>-'UE-170946 Sch 194'!D18</f>
        <v>-7.4058380000000005E-3</v>
      </c>
      <c r="F7" s="185">
        <f>ROUND(D7*E7,0)</f>
        <v>-78927</v>
      </c>
    </row>
    <row r="8" spans="1:6">
      <c r="A8" s="3">
        <f t="shared" ref="A8:A40" si="0">+A7+1</f>
        <v>2</v>
      </c>
      <c r="B8" s="2" t="s">
        <v>14</v>
      </c>
      <c r="C8" s="4"/>
      <c r="D8" s="477">
        <f>+'[2]BPA Res Exch Load'!D8</f>
        <v>0</v>
      </c>
      <c r="E8" s="184"/>
      <c r="F8" s="185">
        <f>ROUND(D8*E8,0)</f>
        <v>0</v>
      </c>
    </row>
    <row r="9" spans="1:6">
      <c r="A9" s="3">
        <f t="shared" si="0"/>
        <v>3</v>
      </c>
      <c r="B9" s="3"/>
      <c r="C9" s="4" t="s">
        <v>15</v>
      </c>
      <c r="D9" s="478">
        <f>SUM(D7:D8)</f>
        <v>10657340.915968496</v>
      </c>
      <c r="E9" s="186"/>
      <c r="F9" s="187">
        <f t="shared" ref="F9" si="1">SUM(F7:F8)</f>
        <v>-78927</v>
      </c>
    </row>
    <row r="10" spans="1:6">
      <c r="A10" s="3">
        <f t="shared" si="0"/>
        <v>4</v>
      </c>
      <c r="B10" s="3"/>
      <c r="C10" s="4"/>
      <c r="D10" s="477"/>
      <c r="E10" s="184"/>
      <c r="F10" s="185"/>
    </row>
    <row r="11" spans="1:6">
      <c r="A11" s="3">
        <f t="shared" si="0"/>
        <v>5</v>
      </c>
      <c r="B11" s="3">
        <v>8</v>
      </c>
      <c r="C11" s="4"/>
      <c r="D11" s="477">
        <f>+'[2]BPA Res Exch Load'!D11</f>
        <v>0</v>
      </c>
      <c r="E11" s="184">
        <f>+$E$7</f>
        <v>-7.4058380000000005E-3</v>
      </c>
      <c r="F11" s="185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477">
        <f>+'[2]BPA Res Exch Load'!D12</f>
        <v>255742.34265355926</v>
      </c>
      <c r="E12" s="184">
        <f t="shared" ref="E12:E17" si="3">+$E$7</f>
        <v>-7.4058380000000005E-3</v>
      </c>
      <c r="F12" s="185">
        <f t="shared" si="2"/>
        <v>-1894</v>
      </c>
    </row>
    <row r="13" spans="1:6">
      <c r="A13" s="3">
        <f t="shared" si="0"/>
        <v>7</v>
      </c>
      <c r="B13" s="2">
        <v>11</v>
      </c>
      <c r="C13" s="4"/>
      <c r="D13" s="477">
        <f>+'[2]BPA Res Exch Load'!D13</f>
        <v>0</v>
      </c>
      <c r="E13" s="184">
        <f t="shared" si="3"/>
        <v>-7.4058380000000005E-3</v>
      </c>
      <c r="F13" s="185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477">
        <f>+'[2]BPA Res Exch Load'!D14</f>
        <v>149796.34070566666</v>
      </c>
      <c r="E14" s="184">
        <f t="shared" si="3"/>
        <v>-7.4058380000000005E-3</v>
      </c>
      <c r="F14" s="185">
        <f t="shared" si="2"/>
        <v>-1109</v>
      </c>
    </row>
    <row r="15" spans="1:6">
      <c r="A15" s="3">
        <f t="shared" si="0"/>
        <v>9</v>
      </c>
      <c r="B15" s="3">
        <v>12</v>
      </c>
      <c r="C15" s="4"/>
      <c r="D15" s="477">
        <f>+'[2]BPA Res Exch Load'!D15</f>
        <v>0</v>
      </c>
      <c r="E15" s="184">
        <f t="shared" si="3"/>
        <v>-7.4058380000000005E-3</v>
      </c>
      <c r="F15" s="185">
        <f t="shared" si="2"/>
        <v>0</v>
      </c>
    </row>
    <row r="16" spans="1:6">
      <c r="A16" s="3">
        <f t="shared" si="0"/>
        <v>10</v>
      </c>
      <c r="B16" s="3" t="s">
        <v>16</v>
      </c>
      <c r="C16" s="1"/>
      <c r="D16" s="477">
        <f>+'[2]BPA Res Exch Load'!D16</f>
        <v>16855.27</v>
      </c>
      <c r="E16" s="184">
        <f t="shared" si="3"/>
        <v>-7.4058380000000005E-3</v>
      </c>
      <c r="F16" s="185">
        <f t="shared" si="2"/>
        <v>-125</v>
      </c>
    </row>
    <row r="17" spans="1:6">
      <c r="A17" s="3">
        <f t="shared" si="0"/>
        <v>11</v>
      </c>
      <c r="B17" s="3">
        <v>29</v>
      </c>
      <c r="C17" s="4"/>
      <c r="D17" s="477">
        <f>+'[2]BPA Res Exch Load'!D17</f>
        <v>18646.963869000003</v>
      </c>
      <c r="E17" s="184">
        <f t="shared" si="3"/>
        <v>-7.4058380000000005E-3</v>
      </c>
      <c r="F17" s="185">
        <f t="shared" si="2"/>
        <v>-138</v>
      </c>
    </row>
    <row r="18" spans="1:6">
      <c r="A18" s="3">
        <f t="shared" si="0"/>
        <v>12</v>
      </c>
      <c r="B18" s="3"/>
      <c r="C18" s="11" t="s">
        <v>17</v>
      </c>
      <c r="D18" s="478">
        <f>SUM(D11:D17)</f>
        <v>441040.91722822597</v>
      </c>
      <c r="E18" s="186"/>
      <c r="F18" s="187">
        <f t="shared" ref="F18" si="4">SUM(F11:F17)</f>
        <v>-3266</v>
      </c>
    </row>
    <row r="19" spans="1:6">
      <c r="A19" s="3">
        <f t="shared" si="0"/>
        <v>13</v>
      </c>
      <c r="B19" s="3"/>
      <c r="C19" s="4"/>
      <c r="D19" s="477"/>
      <c r="E19" s="184"/>
      <c r="F19" s="185"/>
    </row>
    <row r="20" spans="1:6">
      <c r="A20" s="3">
        <f t="shared" si="0"/>
        <v>14</v>
      </c>
      <c r="B20" s="3">
        <v>10</v>
      </c>
      <c r="C20" s="1"/>
      <c r="D20" s="477">
        <f>+'[2]BPA Res Exch Load'!D20</f>
        <v>0</v>
      </c>
      <c r="E20" s="184">
        <f t="shared" ref="E20:E22" si="5">+$E$7</f>
        <v>-7.4058380000000005E-3</v>
      </c>
      <c r="F20" s="185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477">
        <f>+'[2]BPA Res Exch Load'!D21</f>
        <v>32223.39</v>
      </c>
      <c r="E21" s="184">
        <f t="shared" si="5"/>
        <v>-7.4058380000000005E-3</v>
      </c>
      <c r="F21" s="185">
        <f>ROUND(D21*E21,0)</f>
        <v>-239</v>
      </c>
    </row>
    <row r="22" spans="1:6">
      <c r="A22" s="3">
        <f t="shared" si="0"/>
        <v>16</v>
      </c>
      <c r="B22" s="3">
        <v>35</v>
      </c>
      <c r="C22" s="4"/>
      <c r="D22" s="477">
        <f>+'[2]BPA Res Exch Load'!D22</f>
        <v>3789.48</v>
      </c>
      <c r="E22" s="184">
        <f t="shared" si="5"/>
        <v>-7.4058380000000005E-3</v>
      </c>
      <c r="F22" s="185">
        <f>ROUND(D22*E22,0)</f>
        <v>-28</v>
      </c>
    </row>
    <row r="23" spans="1:6">
      <c r="A23" s="3">
        <f t="shared" si="0"/>
        <v>17</v>
      </c>
      <c r="B23" s="3">
        <v>43</v>
      </c>
      <c r="C23" s="4"/>
      <c r="D23" s="477">
        <f>+'[2]BPA Res Exch Load'!D23</f>
        <v>0</v>
      </c>
      <c r="E23" s="184"/>
      <c r="F23" s="185">
        <f>ROUND(D23*E23,0)</f>
        <v>0</v>
      </c>
    </row>
    <row r="24" spans="1:6">
      <c r="A24" s="3">
        <f t="shared" si="0"/>
        <v>18</v>
      </c>
      <c r="B24" s="3"/>
      <c r="C24" s="4" t="s">
        <v>18</v>
      </c>
      <c r="D24" s="478">
        <f>SUM(D20:D23)</f>
        <v>36012.870000000003</v>
      </c>
      <c r="E24" s="186"/>
      <c r="F24" s="187">
        <f t="shared" ref="F24" si="6">SUM(F20:F23)</f>
        <v>-267</v>
      </c>
    </row>
    <row r="25" spans="1:6">
      <c r="A25" s="3">
        <f t="shared" si="0"/>
        <v>19</v>
      </c>
      <c r="B25" s="3"/>
      <c r="C25" s="4"/>
      <c r="D25" s="477"/>
      <c r="E25" s="184"/>
      <c r="F25" s="185"/>
    </row>
    <row r="26" spans="1:6">
      <c r="A26" s="3">
        <f t="shared" si="0"/>
        <v>20</v>
      </c>
      <c r="B26" s="3">
        <v>40</v>
      </c>
      <c r="C26" s="4"/>
      <c r="D26" s="478">
        <f>+'[2]BPA Res Exch Load'!D26</f>
        <v>0</v>
      </c>
      <c r="E26" s="186"/>
      <c r="F26" s="187">
        <f>ROUND(D26*E26,0)</f>
        <v>0</v>
      </c>
    </row>
    <row r="27" spans="1:6">
      <c r="A27" s="3">
        <f t="shared" si="0"/>
        <v>21</v>
      </c>
      <c r="B27" s="3"/>
      <c r="C27" s="4"/>
      <c r="D27" s="477"/>
      <c r="E27" s="184"/>
      <c r="F27" s="185"/>
    </row>
    <row r="28" spans="1:6">
      <c r="A28" s="3">
        <f t="shared" si="0"/>
        <v>22</v>
      </c>
      <c r="B28" s="3">
        <v>46</v>
      </c>
      <c r="C28" s="4"/>
      <c r="D28" s="477">
        <f>+'[2]BPA Res Exch Load'!D28</f>
        <v>0</v>
      </c>
      <c r="E28" s="184"/>
      <c r="F28" s="185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477">
        <f>+'[2]BPA Res Exch Load'!D29</f>
        <v>0</v>
      </c>
      <c r="E29" s="184"/>
      <c r="F29" s="185">
        <f>ROUND(D29*E29,0)</f>
        <v>0</v>
      </c>
    </row>
    <row r="30" spans="1:6">
      <c r="A30" s="3">
        <f t="shared" si="0"/>
        <v>24</v>
      </c>
      <c r="B30" s="3"/>
      <c r="C30" s="4" t="s">
        <v>19</v>
      </c>
      <c r="D30" s="478">
        <f>SUM(D28:D29)</f>
        <v>0</v>
      </c>
      <c r="E30" s="186"/>
      <c r="F30" s="187">
        <f t="shared" ref="F30" si="7">SUM(F28:F29)</f>
        <v>0</v>
      </c>
    </row>
    <row r="31" spans="1:6">
      <c r="A31" s="3">
        <f t="shared" si="0"/>
        <v>25</v>
      </c>
      <c r="B31" s="3"/>
      <c r="C31" s="4"/>
      <c r="D31" s="477"/>
      <c r="E31" s="184"/>
      <c r="F31" s="185"/>
    </row>
    <row r="32" spans="1:6">
      <c r="A32" s="3">
        <f t="shared" si="0"/>
        <v>26</v>
      </c>
      <c r="B32" s="3" t="s">
        <v>20</v>
      </c>
      <c r="C32" s="4"/>
      <c r="D32" s="478">
        <f>+'[2]BPA Res Exch Load'!D32</f>
        <v>1916.5476705000001</v>
      </c>
      <c r="E32" s="186">
        <f>+E7</f>
        <v>-7.4058380000000005E-3</v>
      </c>
      <c r="F32" s="187">
        <f>ROUND(D32*E32,0)</f>
        <v>-14</v>
      </c>
    </row>
    <row r="33" spans="1:6">
      <c r="A33" s="3">
        <f t="shared" si="0"/>
        <v>27</v>
      </c>
      <c r="B33" s="3"/>
      <c r="C33" s="4"/>
      <c r="D33" s="477"/>
      <c r="E33" s="184"/>
      <c r="F33" s="185"/>
    </row>
    <row r="34" spans="1:6">
      <c r="A34" s="3">
        <f t="shared" si="0"/>
        <v>28</v>
      </c>
      <c r="B34" s="3" t="s">
        <v>21</v>
      </c>
      <c r="C34" s="4"/>
      <c r="D34" s="478">
        <f>+'[2]BPA Res Exch Load'!D34</f>
        <v>0</v>
      </c>
      <c r="E34" s="186">
        <v>0</v>
      </c>
      <c r="F34" s="187">
        <f>ROUND(D34*E34,0)</f>
        <v>0</v>
      </c>
    </row>
    <row r="35" spans="1:6">
      <c r="A35" s="3">
        <f t="shared" si="0"/>
        <v>29</v>
      </c>
      <c r="B35" s="3"/>
      <c r="C35" s="4"/>
      <c r="D35" s="477"/>
      <c r="E35" s="184"/>
      <c r="F35" s="185"/>
    </row>
    <row r="36" spans="1:6" ht="13.8" thickBot="1">
      <c r="A36" s="3">
        <f t="shared" si="0"/>
        <v>30</v>
      </c>
      <c r="B36" s="3"/>
      <c r="C36" s="11" t="s">
        <v>91</v>
      </c>
      <c r="D36" s="479">
        <f>SUM(D9,D18,D24,D26,D30,D32,D34)</f>
        <v>11136311.250867222</v>
      </c>
      <c r="E36" s="189"/>
      <c r="F36" s="190">
        <f t="shared" ref="F36" si="8">SUM(F9,F18,F24,F26,F30,F32,F34)</f>
        <v>-82474</v>
      </c>
    </row>
    <row r="37" spans="1:6" ht="13.8" thickTop="1">
      <c r="A37" s="3">
        <f t="shared" si="0"/>
        <v>31</v>
      </c>
      <c r="B37" s="3"/>
      <c r="C37" s="1"/>
      <c r="D37" s="477"/>
      <c r="E37" s="1"/>
      <c r="F37" s="185"/>
    </row>
    <row r="38" spans="1:6">
      <c r="A38" s="3">
        <f t="shared" si="0"/>
        <v>32</v>
      </c>
      <c r="B38" s="3">
        <v>5</v>
      </c>
      <c r="C38" s="1" t="s">
        <v>92</v>
      </c>
      <c r="D38" s="478">
        <f>+'[2]BPA Res Exch Load'!D38</f>
        <v>0</v>
      </c>
      <c r="E38" s="186">
        <v>0</v>
      </c>
      <c r="F38" s="187">
        <f>ROUND(D38*E38,-3)</f>
        <v>0</v>
      </c>
    </row>
    <row r="39" spans="1:6">
      <c r="A39" s="3">
        <f t="shared" si="0"/>
        <v>33</v>
      </c>
      <c r="B39" s="3"/>
      <c r="C39" s="1"/>
      <c r="D39" s="477"/>
      <c r="E39" s="1"/>
      <c r="F39" s="185"/>
    </row>
    <row r="40" spans="1:6" ht="13.8" thickBot="1">
      <c r="A40" s="3">
        <f t="shared" si="0"/>
        <v>34</v>
      </c>
      <c r="B40" s="3"/>
      <c r="C40" s="11" t="s">
        <v>93</v>
      </c>
      <c r="D40" s="479">
        <f>SUM(D36,D38)</f>
        <v>11136311.250867222</v>
      </c>
      <c r="E40" s="1"/>
      <c r="F40" s="190">
        <f t="shared" ref="F40" si="9">SUM(F36,F38)</f>
        <v>-82474</v>
      </c>
    </row>
    <row r="41" spans="1:6" ht="13.8" thickTop="1">
      <c r="D41" s="1"/>
    </row>
    <row r="42" spans="1:6">
      <c r="D42" s="230"/>
    </row>
    <row r="43" spans="1:6">
      <c r="D43" s="230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"/>
  <sheetViews>
    <sheetView workbookViewId="0"/>
  </sheetViews>
  <sheetFormatPr defaultColWidth="8.88671875" defaultRowHeight="13.2"/>
  <cols>
    <col min="1" max="16384" width="8.88671875" style="499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4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88671875" defaultRowHeight="13.2"/>
  <cols>
    <col min="1" max="1" width="7.6640625" style="1" bestFit="1" customWidth="1"/>
    <col min="2" max="2" width="22.5546875" style="1" bestFit="1" customWidth="1"/>
    <col min="3" max="3" width="11.6640625" style="1" bestFit="1" customWidth="1"/>
    <col min="4" max="5" width="15.109375" style="1" bestFit="1" customWidth="1"/>
    <col min="6" max="7" width="11.5546875" style="1" bestFit="1" customWidth="1"/>
    <col min="8" max="9" width="15.109375" style="1" bestFit="1" customWidth="1"/>
    <col min="10" max="10" width="11.44140625" style="1" bestFit="1" customWidth="1"/>
    <col min="11" max="16384" width="8.88671875" style="1"/>
  </cols>
  <sheetData>
    <row r="1" spans="1:11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>
      <c r="A2" s="153" t="s">
        <v>196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>
      <c r="A3" s="156"/>
      <c r="B3" s="141"/>
      <c r="C3" s="157"/>
      <c r="D3" s="130"/>
      <c r="E3" s="130"/>
      <c r="F3" s="130"/>
      <c r="G3" s="141"/>
      <c r="H3" s="141"/>
      <c r="I3" s="130"/>
      <c r="J3" s="141"/>
      <c r="K3" s="158"/>
    </row>
    <row r="4" spans="1:11">
      <c r="A4" s="159"/>
      <c r="B4" s="89"/>
      <c r="C4" s="89"/>
      <c r="D4" s="160"/>
      <c r="E4" s="160"/>
      <c r="F4" s="160"/>
      <c r="G4" s="161"/>
      <c r="H4" s="160"/>
      <c r="I4" s="160"/>
      <c r="J4" s="161"/>
      <c r="K4" s="162"/>
    </row>
    <row r="5" spans="1:11" ht="66.599999999999994" thickBot="1">
      <c r="A5" s="163" t="s">
        <v>3</v>
      </c>
      <c r="B5" s="164" t="s">
        <v>95</v>
      </c>
      <c r="C5" s="164" t="s">
        <v>129</v>
      </c>
      <c r="D5" s="87" t="s">
        <v>400</v>
      </c>
      <c r="E5" s="86" t="s">
        <v>401</v>
      </c>
      <c r="F5" s="86" t="s">
        <v>454</v>
      </c>
      <c r="G5" s="86" t="s">
        <v>455</v>
      </c>
      <c r="H5" s="86" t="s">
        <v>456</v>
      </c>
      <c r="I5" s="86" t="s">
        <v>457</v>
      </c>
      <c r="J5" s="164" t="s">
        <v>197</v>
      </c>
      <c r="K5" s="165" t="s">
        <v>198</v>
      </c>
    </row>
    <row r="6" spans="1:11" ht="26.4">
      <c r="A6" s="166"/>
      <c r="B6" s="167"/>
      <c r="C6" s="167"/>
      <c r="D6" s="168" t="s">
        <v>98</v>
      </c>
      <c r="E6" s="168" t="s">
        <v>99</v>
      </c>
      <c r="F6" s="169" t="s">
        <v>100</v>
      </c>
      <c r="G6" s="167" t="s">
        <v>101</v>
      </c>
      <c r="H6" s="168" t="s">
        <v>199</v>
      </c>
      <c r="I6" s="168" t="s">
        <v>200</v>
      </c>
      <c r="J6" s="167" t="s">
        <v>104</v>
      </c>
      <c r="K6" s="170" t="s">
        <v>105</v>
      </c>
    </row>
    <row r="7" spans="1:11">
      <c r="A7" s="156"/>
      <c r="B7" s="141"/>
      <c r="C7" s="157"/>
      <c r="D7" s="130"/>
      <c r="E7" s="130"/>
      <c r="F7" s="130"/>
      <c r="G7" s="141"/>
      <c r="H7" s="141"/>
      <c r="I7" s="130"/>
      <c r="J7" s="141"/>
      <c r="K7" s="158"/>
    </row>
    <row r="8" spans="1:11">
      <c r="A8" s="156">
        <v>1</v>
      </c>
      <c r="B8" s="141" t="s">
        <v>15</v>
      </c>
      <c r="C8" s="157">
        <v>7</v>
      </c>
      <c r="D8" s="130">
        <v>10589868000</v>
      </c>
      <c r="E8" s="132">
        <v>1181762000</v>
      </c>
      <c r="F8" s="90">
        <v>-2.4910000000000002E-3</v>
      </c>
      <c r="G8" s="90">
        <v>-2.0720000000000001E-3</v>
      </c>
      <c r="H8" s="132">
        <v>1155382638.812</v>
      </c>
      <c r="I8" s="132">
        <v>1159819793.5039999</v>
      </c>
      <c r="J8" s="132">
        <v>4437154.6919999123</v>
      </c>
      <c r="K8" s="171">
        <v>3.8404200850398196E-3</v>
      </c>
    </row>
    <row r="9" spans="1:11">
      <c r="A9" s="156">
        <v>2</v>
      </c>
      <c r="B9" s="141"/>
      <c r="C9" s="157"/>
      <c r="D9" s="130"/>
      <c r="E9" s="132"/>
      <c r="F9" s="132"/>
      <c r="G9" s="132"/>
      <c r="H9" s="172"/>
      <c r="I9" s="132"/>
      <c r="J9" s="132"/>
      <c r="K9" s="171"/>
    </row>
    <row r="10" spans="1:11">
      <c r="A10" s="156">
        <v>3</v>
      </c>
      <c r="B10" s="173" t="s">
        <v>106</v>
      </c>
      <c r="C10" s="157" t="s">
        <v>107</v>
      </c>
      <c r="D10" s="130">
        <v>2956760000</v>
      </c>
      <c r="E10" s="132">
        <v>314521000</v>
      </c>
      <c r="F10" s="90">
        <v>-2.0119999999999999E-3</v>
      </c>
      <c r="G10" s="90">
        <v>-1.6739999999999999E-3</v>
      </c>
      <c r="H10" s="132">
        <v>308571998.88</v>
      </c>
      <c r="I10" s="132">
        <v>309571383.75999999</v>
      </c>
      <c r="J10" s="132">
        <v>999384.87999999523</v>
      </c>
      <c r="K10" s="171">
        <v>3.2387413103826192E-3</v>
      </c>
    </row>
    <row r="11" spans="1:11">
      <c r="A11" s="156">
        <v>4</v>
      </c>
      <c r="B11" s="174" t="s">
        <v>108</v>
      </c>
      <c r="C11" s="121" t="s">
        <v>109</v>
      </c>
      <c r="D11" s="130">
        <v>2946226000</v>
      </c>
      <c r="E11" s="132">
        <v>292581000</v>
      </c>
      <c r="F11" s="90">
        <v>-2.0590000000000001E-3</v>
      </c>
      <c r="G11" s="90">
        <v>-1.7129999999999999E-3</v>
      </c>
      <c r="H11" s="132">
        <v>286514720.66600001</v>
      </c>
      <c r="I11" s="132">
        <v>287534114.86199999</v>
      </c>
      <c r="J11" s="132">
        <v>1019394.19599998</v>
      </c>
      <c r="K11" s="171">
        <v>3.5579121157559043E-3</v>
      </c>
    </row>
    <row r="12" spans="1:11">
      <c r="A12" s="156">
        <v>5</v>
      </c>
      <c r="B12" s="174" t="s">
        <v>110</v>
      </c>
      <c r="C12" s="157" t="s">
        <v>111</v>
      </c>
      <c r="D12" s="130">
        <v>1891461000</v>
      </c>
      <c r="E12" s="132">
        <v>169366000</v>
      </c>
      <c r="F12" s="90">
        <v>-2.147E-3</v>
      </c>
      <c r="G12" s="90">
        <v>-1.786E-3</v>
      </c>
      <c r="H12" s="132">
        <v>165305033.23300001</v>
      </c>
      <c r="I12" s="132">
        <v>165987850.65400001</v>
      </c>
      <c r="J12" s="132">
        <v>682817.42100000381</v>
      </c>
      <c r="K12" s="171">
        <v>4.1306511220233809E-3</v>
      </c>
    </row>
    <row r="13" spans="1:11">
      <c r="A13" s="156">
        <v>6</v>
      </c>
      <c r="B13" s="174" t="s">
        <v>112</v>
      </c>
      <c r="C13" s="157">
        <v>29</v>
      </c>
      <c r="D13" s="130">
        <v>16067000</v>
      </c>
      <c r="E13" s="132">
        <v>1327000</v>
      </c>
      <c r="F13" s="90">
        <v>-1.877E-3</v>
      </c>
      <c r="G13" s="90">
        <v>-1.562E-3</v>
      </c>
      <c r="H13" s="132">
        <v>1296842.2409999999</v>
      </c>
      <c r="I13" s="132">
        <v>1301903.3459999999</v>
      </c>
      <c r="J13" s="132">
        <v>5061.1049999999814</v>
      </c>
      <c r="K13" s="171">
        <v>3.902637375612738E-3</v>
      </c>
    </row>
    <row r="14" spans="1:11">
      <c r="A14" s="156">
        <v>7</v>
      </c>
      <c r="B14" s="141"/>
      <c r="C14" s="157"/>
      <c r="D14" s="130"/>
      <c r="E14" s="132"/>
      <c r="F14" s="172"/>
      <c r="G14" s="172"/>
      <c r="H14" s="172"/>
      <c r="I14" s="132"/>
      <c r="J14" s="132"/>
      <c r="K14" s="171"/>
    </row>
    <row r="15" spans="1:11">
      <c r="A15" s="156">
        <v>8</v>
      </c>
      <c r="B15" s="141" t="s">
        <v>113</v>
      </c>
      <c r="C15" s="157"/>
      <c r="D15" s="130">
        <v>7810514000</v>
      </c>
      <c r="E15" s="132">
        <v>777795000</v>
      </c>
      <c r="F15" s="90">
        <v>-2.0621440509549054E-3</v>
      </c>
      <c r="G15" s="90">
        <v>-1.7156037845908732E-3</v>
      </c>
      <c r="H15" s="132">
        <v>761688595.0200001</v>
      </c>
      <c r="I15" s="132">
        <v>764395252.62199998</v>
      </c>
      <c r="J15" s="132">
        <v>2706657.601999979</v>
      </c>
      <c r="K15" s="171">
        <v>3.553496297169723E-3</v>
      </c>
    </row>
    <row r="16" spans="1:11">
      <c r="A16" s="156">
        <v>9</v>
      </c>
      <c r="B16" s="141"/>
      <c r="C16" s="157"/>
      <c r="D16" s="130"/>
      <c r="E16" s="132"/>
      <c r="F16" s="172"/>
      <c r="G16" s="172"/>
      <c r="H16" s="172"/>
      <c r="I16" s="132"/>
      <c r="J16" s="132"/>
      <c r="K16" s="171"/>
    </row>
    <row r="17" spans="1:11">
      <c r="A17" s="156">
        <v>10</v>
      </c>
      <c r="B17" s="174" t="s">
        <v>114</v>
      </c>
      <c r="C17" s="157" t="s">
        <v>115</v>
      </c>
      <c r="D17" s="130">
        <v>1303207000</v>
      </c>
      <c r="E17" s="132">
        <v>114540000</v>
      </c>
      <c r="F17" s="90">
        <v>-2.0049999999999998E-3</v>
      </c>
      <c r="G17" s="90">
        <v>-1.668E-3</v>
      </c>
      <c r="H17" s="132">
        <v>111927069.965</v>
      </c>
      <c r="I17" s="132">
        <v>112366250.72400001</v>
      </c>
      <c r="J17" s="132">
        <v>439180.75900000334</v>
      </c>
      <c r="K17" s="171">
        <v>3.9238118101129309E-3</v>
      </c>
    </row>
    <row r="18" spans="1:11">
      <c r="A18" s="156">
        <v>11</v>
      </c>
      <c r="B18" s="174" t="s">
        <v>116</v>
      </c>
      <c r="C18" s="157">
        <v>35</v>
      </c>
      <c r="D18" s="130">
        <v>5141000</v>
      </c>
      <c r="E18" s="132">
        <v>267000</v>
      </c>
      <c r="F18" s="90">
        <v>-1.3569999999999999E-3</v>
      </c>
      <c r="G18" s="90">
        <v>-1.129E-3</v>
      </c>
      <c r="H18" s="132">
        <v>260023.663</v>
      </c>
      <c r="I18" s="132">
        <v>261195.81099999999</v>
      </c>
      <c r="J18" s="132">
        <v>1172.1479999999865</v>
      </c>
      <c r="K18" s="171">
        <v>4.5078512719820673E-3</v>
      </c>
    </row>
    <row r="19" spans="1:11">
      <c r="A19" s="156">
        <v>12</v>
      </c>
      <c r="B19" s="174" t="s">
        <v>117</v>
      </c>
      <c r="C19" s="157">
        <v>43</v>
      </c>
      <c r="D19" s="130">
        <v>120550000</v>
      </c>
      <c r="E19" s="132">
        <v>11808000</v>
      </c>
      <c r="F19" s="90">
        <v>-1.812E-3</v>
      </c>
      <c r="G19" s="90">
        <v>-1.508E-3</v>
      </c>
      <c r="H19" s="132">
        <v>11589563.4</v>
      </c>
      <c r="I19" s="132">
        <v>11626210.6</v>
      </c>
      <c r="J19" s="132">
        <v>36647.199999999255</v>
      </c>
      <c r="K19" s="171">
        <v>3.1620863301890434E-3</v>
      </c>
    </row>
    <row r="20" spans="1:11">
      <c r="A20" s="156">
        <v>13</v>
      </c>
      <c r="B20" s="175"/>
      <c r="C20" s="157"/>
      <c r="D20" s="130"/>
      <c r="E20" s="132"/>
      <c r="F20" s="172"/>
      <c r="G20" s="172"/>
      <c r="H20" s="172"/>
      <c r="I20" s="132"/>
      <c r="J20" s="132"/>
      <c r="K20" s="171"/>
    </row>
    <row r="21" spans="1:11">
      <c r="A21" s="156">
        <v>14</v>
      </c>
      <c r="B21" s="175" t="s">
        <v>118</v>
      </c>
      <c r="C21" s="157"/>
      <c r="D21" s="130">
        <v>1428898000</v>
      </c>
      <c r="E21" s="132">
        <v>126615000</v>
      </c>
      <c r="F21" s="90">
        <v>-1.9863859925621E-3</v>
      </c>
      <c r="G21" s="90">
        <v>-1.6525622297742734E-3</v>
      </c>
      <c r="H21" s="132">
        <v>123776657.02800001</v>
      </c>
      <c r="I21" s="132">
        <v>124253657.13500001</v>
      </c>
      <c r="J21" s="132">
        <v>477000.10700000258</v>
      </c>
      <c r="K21" s="171">
        <v>3.853716188926467E-3</v>
      </c>
    </row>
    <row r="22" spans="1:11">
      <c r="A22" s="156">
        <v>15</v>
      </c>
      <c r="B22" s="175"/>
      <c r="C22" s="157"/>
      <c r="D22" s="130"/>
      <c r="E22" s="132"/>
      <c r="F22" s="172"/>
      <c r="G22" s="172"/>
      <c r="H22" s="172"/>
      <c r="I22" s="132"/>
      <c r="J22" s="132"/>
      <c r="K22" s="171"/>
    </row>
    <row r="23" spans="1:11">
      <c r="A23" s="156">
        <v>16</v>
      </c>
      <c r="B23" s="176" t="s">
        <v>76</v>
      </c>
      <c r="C23" s="157">
        <v>40</v>
      </c>
      <c r="D23" s="130">
        <v>681789000</v>
      </c>
      <c r="E23" s="132">
        <v>58529000</v>
      </c>
      <c r="F23" s="90">
        <v>-2.1289999999999998E-3</v>
      </c>
      <c r="G23" s="90">
        <v>-1.7719999999999999E-3</v>
      </c>
      <c r="H23" s="132">
        <v>57077471.218999997</v>
      </c>
      <c r="I23" s="132">
        <v>57320869.891999997</v>
      </c>
      <c r="J23" s="132">
        <v>243398.67300000042</v>
      </c>
      <c r="K23" s="171">
        <v>4.2643562828161468E-3</v>
      </c>
    </row>
    <row r="24" spans="1:11">
      <c r="A24" s="156">
        <v>17</v>
      </c>
      <c r="B24" s="175"/>
      <c r="C24" s="157"/>
      <c r="D24" s="130"/>
      <c r="E24" s="132"/>
      <c r="F24" s="172"/>
      <c r="G24" s="172"/>
      <c r="H24" s="172"/>
      <c r="I24" s="132"/>
      <c r="J24" s="132"/>
      <c r="K24" s="171"/>
    </row>
    <row r="25" spans="1:11">
      <c r="A25" s="156">
        <v>18</v>
      </c>
      <c r="B25" s="174" t="s">
        <v>120</v>
      </c>
      <c r="C25" s="157">
        <v>46</v>
      </c>
      <c r="D25" s="130">
        <v>72699000</v>
      </c>
      <c r="E25" s="132">
        <v>5399000</v>
      </c>
      <c r="F25" s="90">
        <v>-1.0250000000000001E-3</v>
      </c>
      <c r="G25" s="90">
        <v>-8.5300000000000003E-4</v>
      </c>
      <c r="H25" s="132">
        <v>5324483.5250000004</v>
      </c>
      <c r="I25" s="132">
        <v>5336987.7529999996</v>
      </c>
      <c r="J25" s="132">
        <v>12504.227999999188</v>
      </c>
      <c r="K25" s="171">
        <v>2.3484396075766217E-3</v>
      </c>
    </row>
    <row r="26" spans="1:11">
      <c r="A26" s="156">
        <v>19</v>
      </c>
      <c r="B26" s="173" t="s">
        <v>121</v>
      </c>
      <c r="C26" s="157">
        <v>49</v>
      </c>
      <c r="D26" s="130">
        <v>576299000</v>
      </c>
      <c r="E26" s="132">
        <v>42233000</v>
      </c>
      <c r="F26" s="90">
        <v>-2.0379999999999999E-3</v>
      </c>
      <c r="G26" s="90">
        <v>-1.6949999999999999E-3</v>
      </c>
      <c r="H26" s="132">
        <v>41058502.637999997</v>
      </c>
      <c r="I26" s="132">
        <v>41256173.195</v>
      </c>
      <c r="J26" s="132">
        <v>197670.55700000376</v>
      </c>
      <c r="K26" s="171">
        <v>4.8143635130292834E-3</v>
      </c>
    </row>
    <row r="27" spans="1:11">
      <c r="A27" s="156">
        <v>20</v>
      </c>
      <c r="B27" s="141"/>
      <c r="C27" s="157"/>
      <c r="D27" s="130"/>
      <c r="E27" s="132"/>
      <c r="F27" s="172"/>
      <c r="G27" s="172"/>
      <c r="H27" s="172"/>
      <c r="I27" s="132"/>
      <c r="J27" s="132"/>
      <c r="K27" s="171"/>
    </row>
    <row r="28" spans="1:11">
      <c r="A28" s="156">
        <v>21</v>
      </c>
      <c r="B28" s="176" t="s">
        <v>122</v>
      </c>
      <c r="C28" s="157"/>
      <c r="D28" s="130">
        <v>648998000</v>
      </c>
      <c r="E28" s="132">
        <v>47632000</v>
      </c>
      <c r="F28" s="90">
        <v>-1.9245264808212044E-3</v>
      </c>
      <c r="G28" s="90">
        <v>-1.6006814381554332E-3</v>
      </c>
      <c r="H28" s="130">
        <v>46382986.162999995</v>
      </c>
      <c r="I28" s="130">
        <v>46593160.947999999</v>
      </c>
      <c r="J28" s="132">
        <v>210174.78500000294</v>
      </c>
      <c r="K28" s="171">
        <v>4.5312905094424625E-3</v>
      </c>
    </row>
    <row r="29" spans="1:11">
      <c r="A29" s="156">
        <v>22</v>
      </c>
      <c r="B29" s="141"/>
      <c r="C29" s="157"/>
      <c r="D29" s="130"/>
      <c r="E29" s="132"/>
      <c r="F29" s="172"/>
      <c r="G29" s="172"/>
      <c r="H29" s="172"/>
      <c r="I29" s="132"/>
      <c r="J29" s="132"/>
      <c r="K29" s="171"/>
    </row>
    <row r="30" spans="1:11">
      <c r="A30" s="156">
        <v>23</v>
      </c>
      <c r="B30" s="141" t="s">
        <v>123</v>
      </c>
      <c r="C30" s="157" t="s">
        <v>20</v>
      </c>
      <c r="D30" s="130">
        <v>76423000</v>
      </c>
      <c r="E30" s="132">
        <v>20424000</v>
      </c>
      <c r="F30" s="90">
        <v>-2.5379999999999999E-3</v>
      </c>
      <c r="G30" s="90">
        <v>-2.1120000000000002E-3</v>
      </c>
      <c r="H30" s="132">
        <v>20230038.425999999</v>
      </c>
      <c r="I30" s="132">
        <v>20262594.624000002</v>
      </c>
      <c r="J30" s="132">
        <v>32556.198000002652</v>
      </c>
      <c r="K30" s="171">
        <v>1.6092998596661516E-3</v>
      </c>
    </row>
    <row r="31" spans="1:11">
      <c r="A31" s="156">
        <v>24</v>
      </c>
      <c r="B31" s="141"/>
      <c r="C31" s="157"/>
      <c r="D31" s="130"/>
      <c r="E31" s="132"/>
      <c r="F31" s="172"/>
      <c r="G31" s="172"/>
      <c r="H31" s="141"/>
      <c r="I31" s="132"/>
      <c r="J31" s="132"/>
      <c r="K31" s="171"/>
    </row>
    <row r="32" spans="1:11">
      <c r="A32" s="156">
        <v>25</v>
      </c>
      <c r="B32" s="177" t="s">
        <v>201</v>
      </c>
      <c r="C32" s="121" t="s">
        <v>202</v>
      </c>
      <c r="D32" s="130">
        <v>6991000</v>
      </c>
      <c r="E32" s="132">
        <v>295000</v>
      </c>
      <c r="F32" s="90">
        <v>-2.4199999999999998E-3</v>
      </c>
      <c r="G32" s="90">
        <v>-2.0140000000000002E-3</v>
      </c>
      <c r="H32" s="132">
        <v>278081.78000000003</v>
      </c>
      <c r="I32" s="132">
        <v>280920.12599999999</v>
      </c>
      <c r="J32" s="132">
        <v>2838.3459999999614</v>
      </c>
      <c r="K32" s="171">
        <v>1.0206875114219856E-2</v>
      </c>
    </row>
    <row r="33" spans="1:11">
      <c r="A33" s="156">
        <v>26</v>
      </c>
      <c r="B33" s="177"/>
      <c r="C33" s="121"/>
      <c r="D33" s="130"/>
      <c r="E33" s="132"/>
      <c r="F33" s="172"/>
      <c r="G33" s="172"/>
      <c r="H33" s="172"/>
      <c r="I33" s="132"/>
      <c r="J33" s="132"/>
      <c r="K33" s="171"/>
    </row>
    <row r="34" spans="1:11">
      <c r="A34" s="156">
        <v>27</v>
      </c>
      <c r="B34" s="174" t="s">
        <v>124</v>
      </c>
      <c r="C34" s="157"/>
      <c r="D34" s="130">
        <v>21243481000</v>
      </c>
      <c r="E34" s="132">
        <v>2213052000</v>
      </c>
      <c r="F34" s="90">
        <v>-2.2706039350142292E-3</v>
      </c>
      <c r="G34" s="90">
        <v>-1.8891034462075039E-3</v>
      </c>
      <c r="H34" s="132">
        <v>2164816468.4480004</v>
      </c>
      <c r="I34" s="132">
        <v>2172926248.8509998</v>
      </c>
      <c r="J34" s="132">
        <v>8109780.4029998994</v>
      </c>
      <c r="K34" s="171">
        <v>3.7461745700844381E-3</v>
      </c>
    </row>
    <row r="35" spans="1:11">
      <c r="A35" s="156">
        <v>28</v>
      </c>
      <c r="B35" s="176"/>
      <c r="C35" s="157"/>
      <c r="D35" s="130"/>
      <c r="E35" s="132"/>
      <c r="F35" s="172"/>
      <c r="G35" s="172"/>
      <c r="H35" s="172"/>
      <c r="I35" s="132"/>
      <c r="J35" s="132"/>
      <c r="K35" s="171"/>
    </row>
    <row r="36" spans="1:11">
      <c r="A36" s="156">
        <v>29</v>
      </c>
      <c r="B36" s="176" t="s">
        <v>203</v>
      </c>
      <c r="C36" s="157"/>
      <c r="D36" s="130"/>
      <c r="E36" s="132"/>
      <c r="F36" s="132"/>
      <c r="G36" s="172"/>
      <c r="H36" s="172"/>
      <c r="I36" s="132"/>
      <c r="J36" s="132"/>
      <c r="K36" s="171"/>
    </row>
    <row r="37" spans="1:11">
      <c r="A37" s="156">
        <v>30</v>
      </c>
      <c r="B37" s="174" t="s">
        <v>125</v>
      </c>
      <c r="C37" s="121" t="s">
        <v>126</v>
      </c>
      <c r="D37" s="130">
        <v>2089170000</v>
      </c>
      <c r="E37" s="132">
        <v>10788000</v>
      </c>
      <c r="F37" s="132"/>
      <c r="G37" s="172"/>
      <c r="H37" s="132">
        <v>10788000</v>
      </c>
      <c r="I37" s="132">
        <v>10788000</v>
      </c>
      <c r="J37" s="132">
        <v>0</v>
      </c>
      <c r="K37" s="171"/>
    </row>
    <row r="38" spans="1:11">
      <c r="A38" s="156">
        <v>31</v>
      </c>
      <c r="B38" s="176"/>
      <c r="C38" s="157"/>
      <c r="D38" s="130"/>
      <c r="E38" s="132"/>
      <c r="F38" s="132"/>
      <c r="G38" s="172"/>
      <c r="H38" s="172"/>
      <c r="I38" s="132"/>
      <c r="J38" s="132"/>
      <c r="K38" s="171"/>
    </row>
    <row r="39" spans="1:11">
      <c r="A39" s="156">
        <v>32</v>
      </c>
      <c r="B39" s="176" t="s">
        <v>22</v>
      </c>
      <c r="C39" s="157"/>
      <c r="D39" s="130">
        <v>23332651000</v>
      </c>
      <c r="E39" s="132">
        <v>2223840000</v>
      </c>
      <c r="F39" s="132"/>
      <c r="G39" s="172"/>
      <c r="H39" s="132">
        <v>2175604468.4480004</v>
      </c>
      <c r="I39" s="132">
        <v>2183714248.8509998</v>
      </c>
      <c r="J39" s="132">
        <v>8109780.4029998994</v>
      </c>
      <c r="K39" s="171"/>
    </row>
    <row r="40" spans="1:11" ht="13.8" thickBot="1">
      <c r="A40" s="178"/>
      <c r="B40" s="179"/>
      <c r="C40" s="180"/>
      <c r="D40" s="181"/>
      <c r="E40" s="182"/>
      <c r="F40" s="182"/>
      <c r="G40" s="179"/>
      <c r="H40" s="179"/>
      <c r="I40" s="181"/>
      <c r="J40" s="179"/>
      <c r="K40" s="183"/>
    </row>
    <row r="41" spans="1:11">
      <c r="A41" s="157"/>
      <c r="B41" s="141"/>
      <c r="C41" s="157"/>
      <c r="D41" s="130"/>
      <c r="E41" s="130"/>
      <c r="F41" s="130"/>
      <c r="G41" s="141"/>
      <c r="H41" s="141"/>
      <c r="I41" s="130"/>
      <c r="J41" s="132"/>
      <c r="K41" s="141"/>
    </row>
  </sheetData>
  <printOptions horizontalCentered="1"/>
  <pageMargins left="0.7" right="0.7" top="0.75" bottom="0.75" header="0.3" footer="0.3"/>
  <pageSetup scale="8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3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8.88671875" defaultRowHeight="13.2"/>
  <cols>
    <col min="1" max="1" width="7.6640625" style="1" bestFit="1" customWidth="1"/>
    <col min="2" max="2" width="30.44140625" style="1" bestFit="1" customWidth="1"/>
    <col min="3" max="3" width="8.6640625" style="1" bestFit="1" customWidth="1"/>
    <col min="4" max="5" width="15.109375" style="1" bestFit="1" customWidth="1"/>
    <col min="6" max="7" width="10.88671875" style="1" bestFit="1" customWidth="1"/>
    <col min="8" max="9" width="15.109375" style="1" bestFit="1" customWidth="1"/>
    <col min="10" max="10" width="13.33203125" style="1" bestFit="1" customWidth="1"/>
    <col min="11" max="11" width="8" style="1" bestFit="1" customWidth="1"/>
    <col min="12" max="16384" width="8.88671875" style="1"/>
  </cols>
  <sheetData>
    <row r="1" spans="1:11">
      <c r="A1" s="347"/>
      <c r="B1" s="348" t="s">
        <v>429</v>
      </c>
      <c r="C1" s="348"/>
      <c r="D1" s="349"/>
      <c r="E1" s="349"/>
      <c r="F1" s="348"/>
      <c r="G1" s="348"/>
      <c r="H1" s="349"/>
      <c r="I1" s="349"/>
      <c r="J1" s="348"/>
      <c r="K1" s="350"/>
    </row>
    <row r="2" spans="1:11">
      <c r="A2" s="351"/>
      <c r="B2" s="352" t="s">
        <v>128</v>
      </c>
      <c r="C2" s="352"/>
      <c r="D2" s="353"/>
      <c r="E2" s="353"/>
      <c r="F2" s="352"/>
      <c r="G2" s="352"/>
      <c r="H2" s="353"/>
      <c r="I2" s="353"/>
      <c r="J2" s="352"/>
      <c r="K2" s="354"/>
    </row>
    <row r="3" spans="1:11">
      <c r="A3" s="351"/>
      <c r="B3" s="85"/>
      <c r="C3" s="355"/>
      <c r="D3" s="356"/>
      <c r="E3" s="356"/>
      <c r="F3" s="85"/>
      <c r="G3" s="85"/>
      <c r="H3" s="356"/>
      <c r="I3" s="356"/>
      <c r="J3" s="85"/>
      <c r="K3" s="357"/>
    </row>
    <row r="4" spans="1:11" ht="66">
      <c r="A4" s="358" t="s">
        <v>3</v>
      </c>
      <c r="B4" s="359" t="s">
        <v>95</v>
      </c>
      <c r="C4" s="359" t="s">
        <v>129</v>
      </c>
      <c r="D4" s="360" t="s">
        <v>430</v>
      </c>
      <c r="E4" s="360" t="s">
        <v>431</v>
      </c>
      <c r="F4" s="361" t="s">
        <v>432</v>
      </c>
      <c r="G4" s="361" t="s">
        <v>433</v>
      </c>
      <c r="H4" s="362" t="s">
        <v>365</v>
      </c>
      <c r="I4" s="362" t="s">
        <v>434</v>
      </c>
      <c r="J4" s="363" t="s">
        <v>96</v>
      </c>
      <c r="K4" s="364" t="s">
        <v>97</v>
      </c>
    </row>
    <row r="5" spans="1:11">
      <c r="A5" s="365"/>
      <c r="B5" s="366"/>
      <c r="C5" s="366"/>
      <c r="D5" s="88" t="s">
        <v>98</v>
      </c>
      <c r="E5" s="88" t="s">
        <v>99</v>
      </c>
      <c r="F5" s="89" t="s">
        <v>100</v>
      </c>
      <c r="G5" s="89" t="s">
        <v>101</v>
      </c>
      <c r="H5" s="367" t="s">
        <v>102</v>
      </c>
      <c r="I5" s="368" t="s">
        <v>103</v>
      </c>
      <c r="J5" s="366" t="s">
        <v>104</v>
      </c>
      <c r="K5" s="369" t="s">
        <v>105</v>
      </c>
    </row>
    <row r="6" spans="1:11">
      <c r="A6" s="370">
        <v>1</v>
      </c>
      <c r="B6" s="85"/>
      <c r="C6" s="355"/>
      <c r="D6" s="193"/>
      <c r="E6" s="193"/>
      <c r="F6" s="85"/>
      <c r="G6" s="192"/>
      <c r="H6" s="356"/>
      <c r="I6" s="356"/>
      <c r="J6" s="85"/>
      <c r="K6" s="357"/>
    </row>
    <row r="7" spans="1:11">
      <c r="A7" s="370">
        <v>2</v>
      </c>
      <c r="B7" s="371" t="s">
        <v>15</v>
      </c>
      <c r="C7" s="355">
        <v>7</v>
      </c>
      <c r="D7" s="193">
        <v>10637302000</v>
      </c>
      <c r="E7" s="216">
        <v>1111192000</v>
      </c>
      <c r="F7" s="194">
        <v>6.0750000000000005E-3</v>
      </c>
      <c r="G7" s="194">
        <v>4.8599999999999997E-3</v>
      </c>
      <c r="H7" s="372">
        <v>1175813609.6500001</v>
      </c>
      <c r="I7" s="372">
        <v>1162889287.72</v>
      </c>
      <c r="J7" s="372">
        <v>-12924321.930000067</v>
      </c>
      <c r="K7" s="413">
        <v>-1.0991811817731213E-2</v>
      </c>
    </row>
    <row r="8" spans="1:11">
      <c r="A8" s="370">
        <v>3</v>
      </c>
      <c r="B8" s="371"/>
      <c r="C8" s="355"/>
      <c r="D8" s="193"/>
      <c r="E8" s="216"/>
      <c r="F8" s="194"/>
      <c r="G8" s="194"/>
      <c r="H8" s="372"/>
      <c r="I8" s="372"/>
      <c r="J8" s="372"/>
      <c r="K8" s="413"/>
    </row>
    <row r="9" spans="1:11">
      <c r="A9" s="370">
        <v>4</v>
      </c>
      <c r="B9" s="374" t="s">
        <v>106</v>
      </c>
      <c r="C9" s="410" t="s">
        <v>366</v>
      </c>
      <c r="D9" s="193">
        <v>3012037000</v>
      </c>
      <c r="E9" s="216">
        <v>307540000</v>
      </c>
      <c r="F9" s="194">
        <v>4.6410000000000002E-3</v>
      </c>
      <c r="G9" s="194">
        <v>4.2079999999999999E-3</v>
      </c>
      <c r="H9" s="372">
        <v>321518863.71700001</v>
      </c>
      <c r="I9" s="372">
        <v>320214651.69599998</v>
      </c>
      <c r="J9" s="372">
        <v>-1304212.0210000277</v>
      </c>
      <c r="K9" s="413">
        <v>-4.0564090265882233E-3</v>
      </c>
    </row>
    <row r="10" spans="1:11">
      <c r="A10" s="370">
        <v>5</v>
      </c>
      <c r="B10" s="375" t="s">
        <v>108</v>
      </c>
      <c r="C10" s="410" t="s">
        <v>367</v>
      </c>
      <c r="D10" s="193">
        <v>2993580000</v>
      </c>
      <c r="E10" s="216">
        <v>282440000</v>
      </c>
      <c r="F10" s="194">
        <v>4.4990000000000004E-3</v>
      </c>
      <c r="G10" s="194">
        <v>4.2570000000000004E-3</v>
      </c>
      <c r="H10" s="372">
        <v>295908116.42000002</v>
      </c>
      <c r="I10" s="372">
        <v>295183670.06</v>
      </c>
      <c r="J10" s="372">
        <v>-724446.36000001431</v>
      </c>
      <c r="K10" s="413">
        <v>-2.4482138873533447E-3</v>
      </c>
    </row>
    <row r="11" spans="1:11">
      <c r="A11" s="370">
        <v>6</v>
      </c>
      <c r="B11" s="375" t="s">
        <v>110</v>
      </c>
      <c r="C11" s="410" t="s">
        <v>368</v>
      </c>
      <c r="D11" s="193">
        <v>1913788000</v>
      </c>
      <c r="E11" s="216">
        <v>162635000</v>
      </c>
      <c r="F11" s="194">
        <v>4.8000000000000004E-3</v>
      </c>
      <c r="G11" s="194">
        <v>4.3249999999999999E-3</v>
      </c>
      <c r="H11" s="372">
        <v>171821182.40000001</v>
      </c>
      <c r="I11" s="372">
        <v>170912133.09999999</v>
      </c>
      <c r="J11" s="372">
        <v>-909049.30000001192</v>
      </c>
      <c r="K11" s="413">
        <v>-5.2906707269872212E-3</v>
      </c>
    </row>
    <row r="12" spans="1:11">
      <c r="A12" s="370">
        <v>7</v>
      </c>
      <c r="B12" s="375" t="s">
        <v>112</v>
      </c>
      <c r="C12" s="355">
        <v>29</v>
      </c>
      <c r="D12" s="193">
        <v>16193000</v>
      </c>
      <c r="E12" s="216">
        <v>1236000</v>
      </c>
      <c r="F12" s="194">
        <v>4.5799999999999999E-3</v>
      </c>
      <c r="G12" s="194">
        <v>3.1960000000000001E-3</v>
      </c>
      <c r="H12" s="372">
        <v>1310163.94</v>
      </c>
      <c r="I12" s="372">
        <v>1287752.828</v>
      </c>
      <c r="J12" s="372">
        <v>-22411.111999999965</v>
      </c>
      <c r="K12" s="413">
        <v>-1.7105578405706971E-2</v>
      </c>
    </row>
    <row r="13" spans="1:11">
      <c r="A13" s="370">
        <v>8</v>
      </c>
      <c r="B13" s="371"/>
      <c r="C13" s="355"/>
      <c r="D13" s="193"/>
      <c r="E13" s="216"/>
      <c r="F13" s="194"/>
      <c r="G13" s="194"/>
      <c r="H13" s="372"/>
      <c r="I13" s="372"/>
      <c r="J13" s="372"/>
      <c r="K13" s="413"/>
    </row>
    <row r="14" spans="1:11">
      <c r="A14" s="370">
        <v>9</v>
      </c>
      <c r="B14" s="371" t="s">
        <v>113</v>
      </c>
      <c r="C14" s="355"/>
      <c r="D14" s="193">
        <v>7935598000</v>
      </c>
      <c r="E14" s="216">
        <v>753851000</v>
      </c>
      <c r="F14" s="194">
        <v>4.6259999999999999E-3</v>
      </c>
      <c r="G14" s="194">
        <v>4.2529999999999998E-3</v>
      </c>
      <c r="H14" s="372">
        <v>790558326.47700012</v>
      </c>
      <c r="I14" s="372">
        <v>787598207.68400002</v>
      </c>
      <c r="J14" s="372">
        <v>-2960118.7930000536</v>
      </c>
      <c r="K14" s="413">
        <v>-3.7443395305079654E-3</v>
      </c>
    </row>
    <row r="15" spans="1:11">
      <c r="A15" s="370">
        <v>10</v>
      </c>
      <c r="B15" s="371"/>
      <c r="C15" s="355"/>
      <c r="D15" s="193"/>
      <c r="E15" s="216"/>
      <c r="F15" s="194"/>
      <c r="G15" s="194"/>
      <c r="H15" s="372"/>
      <c r="I15" s="372"/>
      <c r="J15" s="372"/>
      <c r="K15" s="413"/>
    </row>
    <row r="16" spans="1:11">
      <c r="A16" s="370">
        <v>11</v>
      </c>
      <c r="B16" s="375" t="s">
        <v>114</v>
      </c>
      <c r="C16" s="410" t="s">
        <v>369</v>
      </c>
      <c r="D16" s="193">
        <v>1316672000</v>
      </c>
      <c r="E16" s="216">
        <v>110312000</v>
      </c>
      <c r="F16" s="194">
        <v>4.5519999999999996E-3</v>
      </c>
      <c r="G16" s="194">
        <v>4.1520000000000003E-3</v>
      </c>
      <c r="H16" s="372">
        <v>116305490.94400001</v>
      </c>
      <c r="I16" s="372">
        <v>115778822.14399999</v>
      </c>
      <c r="J16" s="372">
        <v>-526668.80000001192</v>
      </c>
      <c r="K16" s="413">
        <v>-4.5283227449132045E-3</v>
      </c>
    </row>
    <row r="17" spans="1:11">
      <c r="A17" s="370">
        <v>12</v>
      </c>
      <c r="B17" s="375" t="s">
        <v>116</v>
      </c>
      <c r="C17" s="355">
        <v>35</v>
      </c>
      <c r="D17" s="193">
        <v>5161000</v>
      </c>
      <c r="E17" s="216">
        <v>280000</v>
      </c>
      <c r="F17" s="194">
        <v>3.1360000000000003E-3</v>
      </c>
      <c r="G17" s="194">
        <v>2.9009999999999999E-3</v>
      </c>
      <c r="H17" s="372">
        <v>296184.89600000001</v>
      </c>
      <c r="I17" s="372">
        <v>294972.06099999999</v>
      </c>
      <c r="J17" s="372">
        <v>-1212.835000000021</v>
      </c>
      <c r="K17" s="413">
        <v>-4.094857693216135E-3</v>
      </c>
    </row>
    <row r="18" spans="1:11">
      <c r="A18" s="370">
        <v>13</v>
      </c>
      <c r="B18" s="375" t="s">
        <v>117</v>
      </c>
      <c r="C18" s="355">
        <v>43</v>
      </c>
      <c r="D18" s="193">
        <v>123190000</v>
      </c>
      <c r="E18" s="216">
        <v>11679000</v>
      </c>
      <c r="F18" s="194">
        <v>4.2499999999999994E-3</v>
      </c>
      <c r="G18" s="194">
        <v>3.2989999999999998E-3</v>
      </c>
      <c r="H18" s="372">
        <v>12202557.5</v>
      </c>
      <c r="I18" s="372">
        <v>12085403.810000001</v>
      </c>
      <c r="J18" s="372">
        <v>-117153.68999999948</v>
      </c>
      <c r="K18" s="413">
        <v>-9.600748859409142E-3</v>
      </c>
    </row>
    <row r="19" spans="1:11">
      <c r="A19" s="370">
        <v>14</v>
      </c>
      <c r="B19" s="371"/>
      <c r="C19" s="355"/>
      <c r="D19" s="193"/>
      <c r="E19" s="216"/>
      <c r="F19" s="194"/>
      <c r="G19" s="194"/>
      <c r="H19" s="372"/>
      <c r="I19" s="372"/>
      <c r="J19" s="372"/>
      <c r="K19" s="413"/>
    </row>
    <row r="20" spans="1:11">
      <c r="A20" s="370">
        <v>15</v>
      </c>
      <c r="B20" s="376" t="s">
        <v>118</v>
      </c>
      <c r="C20" s="355"/>
      <c r="D20" s="193">
        <v>1445023000</v>
      </c>
      <c r="E20" s="216">
        <v>122271000</v>
      </c>
      <c r="F20" s="194">
        <v>4.5209999999999998E-3</v>
      </c>
      <c r="G20" s="194">
        <v>4.0749999999999996E-3</v>
      </c>
      <c r="H20" s="372">
        <v>128804233.34</v>
      </c>
      <c r="I20" s="372">
        <v>128159198.015</v>
      </c>
      <c r="J20" s="372">
        <v>-645035.32500001136</v>
      </c>
      <c r="K20" s="413">
        <v>-5.0078736410575442E-3</v>
      </c>
    </row>
    <row r="21" spans="1:11">
      <c r="A21" s="370">
        <v>16</v>
      </c>
      <c r="B21" s="371"/>
      <c r="C21" s="355"/>
      <c r="D21" s="193"/>
      <c r="E21" s="216"/>
      <c r="F21" s="194"/>
      <c r="G21" s="194"/>
      <c r="H21" s="372"/>
      <c r="I21" s="372"/>
      <c r="J21" s="372"/>
      <c r="K21" s="413"/>
    </row>
    <row r="22" spans="1:11">
      <c r="A22" s="370">
        <v>17</v>
      </c>
      <c r="B22" s="376" t="s">
        <v>119</v>
      </c>
      <c r="C22" s="355">
        <v>40</v>
      </c>
      <c r="D22" s="193">
        <v>679072000</v>
      </c>
      <c r="E22" s="216">
        <v>52535000</v>
      </c>
      <c r="F22" s="194">
        <v>5.1419999999999999E-3</v>
      </c>
      <c r="G22" s="194">
        <v>3.79E-3</v>
      </c>
      <c r="H22" s="372">
        <v>56026788.223999999</v>
      </c>
      <c r="I22" s="372">
        <v>55108682.880000003</v>
      </c>
      <c r="J22" s="372">
        <v>-918105.34399999678</v>
      </c>
      <c r="K22" s="413">
        <v>-1.6386899429775115E-2</v>
      </c>
    </row>
    <row r="23" spans="1:11">
      <c r="A23" s="370">
        <v>18</v>
      </c>
      <c r="B23" s="371"/>
      <c r="C23" s="355"/>
      <c r="D23" s="193"/>
      <c r="E23" s="216"/>
      <c r="F23" s="194"/>
      <c r="G23" s="194"/>
      <c r="H23" s="372"/>
      <c r="I23" s="372"/>
      <c r="J23" s="372"/>
      <c r="K23" s="413"/>
    </row>
    <row r="24" spans="1:11">
      <c r="A24" s="370">
        <v>19</v>
      </c>
      <c r="B24" s="375" t="s">
        <v>120</v>
      </c>
      <c r="C24" s="355">
        <v>46</v>
      </c>
      <c r="D24" s="193">
        <v>72776000</v>
      </c>
      <c r="E24" s="216">
        <v>5157000</v>
      </c>
      <c r="F24" s="194">
        <v>2.9170000000000003E-3</v>
      </c>
      <c r="G24" s="194">
        <v>2.6159999999999998E-3</v>
      </c>
      <c r="H24" s="372">
        <v>5369287.5920000002</v>
      </c>
      <c r="I24" s="372">
        <v>5347382.0159999998</v>
      </c>
      <c r="J24" s="372">
        <v>-21905.57600000035</v>
      </c>
      <c r="K24" s="413">
        <v>-4.0797918950437086E-3</v>
      </c>
    </row>
    <row r="25" spans="1:11">
      <c r="A25" s="370">
        <v>20</v>
      </c>
      <c r="B25" s="374" t="s">
        <v>121</v>
      </c>
      <c r="C25" s="355">
        <v>49</v>
      </c>
      <c r="D25" s="193">
        <v>584007000</v>
      </c>
      <c r="E25" s="216">
        <v>40025000</v>
      </c>
      <c r="F25" s="194">
        <v>4.4260000000000002E-3</v>
      </c>
      <c r="G25" s="194">
        <v>3.9039999999999999E-3</v>
      </c>
      <c r="H25" s="372">
        <v>42609814.982000001</v>
      </c>
      <c r="I25" s="372">
        <v>42304963.328000002</v>
      </c>
      <c r="J25" s="372">
        <v>-304851.65399999917</v>
      </c>
      <c r="K25" s="413">
        <v>-7.1544937270621818E-3</v>
      </c>
    </row>
    <row r="26" spans="1:11">
      <c r="A26" s="370">
        <v>21</v>
      </c>
      <c r="B26" s="371"/>
      <c r="C26" s="355"/>
      <c r="D26" s="193"/>
      <c r="E26" s="216"/>
      <c r="F26" s="194"/>
      <c r="G26" s="194"/>
      <c r="H26" s="372"/>
      <c r="I26" s="372"/>
      <c r="J26" s="372"/>
      <c r="K26" s="413"/>
    </row>
    <row r="27" spans="1:11">
      <c r="A27" s="370">
        <v>22</v>
      </c>
      <c r="B27" s="371" t="s">
        <v>122</v>
      </c>
      <c r="C27" s="355"/>
      <c r="D27" s="193">
        <v>656783000</v>
      </c>
      <c r="E27" s="216">
        <v>45182000</v>
      </c>
      <c r="F27" s="194">
        <v>4.2589999999999998E-3</v>
      </c>
      <c r="G27" s="194">
        <v>3.761E-3</v>
      </c>
      <c r="H27" s="356">
        <v>47979102.574000001</v>
      </c>
      <c r="I27" s="356">
        <v>47652345.344000004</v>
      </c>
      <c r="J27" s="372">
        <v>-326757.22999999952</v>
      </c>
      <c r="K27" s="413">
        <v>-6.810407291299986E-3</v>
      </c>
    </row>
    <row r="28" spans="1:11">
      <c r="A28" s="370">
        <v>23</v>
      </c>
      <c r="B28" s="371"/>
      <c r="C28" s="355"/>
      <c r="D28" s="193"/>
      <c r="E28" s="216"/>
      <c r="F28" s="194"/>
      <c r="G28" s="194"/>
      <c r="H28" s="372"/>
      <c r="I28" s="372"/>
      <c r="J28" s="372"/>
      <c r="K28" s="413"/>
    </row>
    <row r="29" spans="1:11">
      <c r="A29" s="370">
        <v>24</v>
      </c>
      <c r="B29" s="371" t="s">
        <v>370</v>
      </c>
      <c r="C29" s="355" t="s">
        <v>126</v>
      </c>
      <c r="D29" s="193">
        <v>2088697000</v>
      </c>
      <c r="E29" s="216">
        <v>9141000</v>
      </c>
      <c r="F29" s="194">
        <v>1.0820000000000001E-3</v>
      </c>
      <c r="G29" s="194">
        <v>1.047E-3</v>
      </c>
      <c r="H29" s="372">
        <v>11400970.153999999</v>
      </c>
      <c r="I29" s="372">
        <v>11327865.759</v>
      </c>
      <c r="J29" s="372">
        <v>-73104.394999999553</v>
      </c>
      <c r="K29" s="413">
        <v>-6.4121205487369052E-3</v>
      </c>
    </row>
    <row r="30" spans="1:11">
      <c r="A30" s="370">
        <v>25</v>
      </c>
      <c r="B30" s="371"/>
      <c r="C30" s="355"/>
      <c r="D30" s="193"/>
      <c r="E30" s="216"/>
      <c r="F30" s="194"/>
      <c r="G30" s="194"/>
      <c r="H30" s="372"/>
      <c r="I30" s="372"/>
      <c r="J30" s="372"/>
      <c r="K30" s="413"/>
    </row>
    <row r="31" spans="1:11">
      <c r="A31" s="370">
        <v>26</v>
      </c>
      <c r="B31" s="85" t="s">
        <v>123</v>
      </c>
      <c r="C31" s="410" t="s">
        <v>20</v>
      </c>
      <c r="D31" s="193">
        <v>76506000</v>
      </c>
      <c r="E31" s="216">
        <v>19539000</v>
      </c>
      <c r="F31" s="194">
        <v>6.2750000000000002E-3</v>
      </c>
      <c r="G31" s="194">
        <v>4.5710000000000004E-3</v>
      </c>
      <c r="H31" s="372">
        <v>20019075.149999999</v>
      </c>
      <c r="I31" s="372">
        <v>19888708.925999999</v>
      </c>
      <c r="J31" s="372">
        <v>-130366.22399999946</v>
      </c>
      <c r="K31" s="413">
        <v>-6.5121002355595569E-3</v>
      </c>
    </row>
    <row r="32" spans="1:11">
      <c r="A32" s="370">
        <v>27</v>
      </c>
      <c r="B32" s="371"/>
      <c r="C32" s="355"/>
      <c r="D32" s="193"/>
      <c r="E32" s="216"/>
      <c r="F32" s="194"/>
      <c r="G32" s="194"/>
      <c r="H32" s="372"/>
      <c r="I32" s="372"/>
      <c r="J32" s="372"/>
      <c r="K32" s="413"/>
    </row>
    <row r="33" spans="1:11">
      <c r="A33" s="370">
        <v>28</v>
      </c>
      <c r="B33" s="371" t="s">
        <v>22</v>
      </c>
      <c r="C33" s="355"/>
      <c r="D33" s="193">
        <v>23518981000</v>
      </c>
      <c r="E33" s="216">
        <v>2113711000</v>
      </c>
      <c r="F33" s="373">
        <v>4.9699999999999996E-3</v>
      </c>
      <c r="G33" s="194">
        <v>4.2059999999999997E-3</v>
      </c>
      <c r="H33" s="372">
        <v>2230602105.5690002</v>
      </c>
      <c r="I33" s="372">
        <v>2212624296.3280001</v>
      </c>
      <c r="J33" s="372">
        <v>-17977809.241000127</v>
      </c>
      <c r="K33" s="413">
        <v>-8.0596217479200309E-3</v>
      </c>
    </row>
    <row r="34" spans="1:11" ht="13.8" thickBot="1">
      <c r="A34" s="377"/>
      <c r="B34" s="378"/>
      <c r="C34" s="379"/>
      <c r="D34" s="380"/>
      <c r="E34" s="380"/>
      <c r="F34" s="381"/>
      <c r="G34" s="378"/>
      <c r="H34" s="380"/>
      <c r="I34" s="380"/>
      <c r="J34" s="378"/>
      <c r="K34" s="382"/>
    </row>
    <row r="35" spans="1:11">
      <c r="A35" s="85"/>
      <c r="B35" s="85"/>
      <c r="C35" s="355"/>
      <c r="D35" s="356"/>
      <c r="E35" s="356"/>
      <c r="F35" s="85"/>
      <c r="G35" s="85"/>
      <c r="H35" s="356"/>
      <c r="I35" s="356"/>
      <c r="J35" s="85"/>
      <c r="K35" s="85"/>
    </row>
    <row r="36" spans="1:11">
      <c r="A36" s="85"/>
      <c r="B36" s="547" t="s">
        <v>435</v>
      </c>
      <c r="C36" s="547">
        <v>0</v>
      </c>
      <c r="D36" s="547">
        <v>0</v>
      </c>
      <c r="E36" s="547">
        <v>0</v>
      </c>
      <c r="F36" s="547">
        <v>0</v>
      </c>
      <c r="G36" s="547">
        <v>0</v>
      </c>
      <c r="H36" s="547">
        <v>0</v>
      </c>
      <c r="I36" s="547">
        <v>0</v>
      </c>
      <c r="J36" s="547">
        <v>0</v>
      </c>
      <c r="K36" s="547">
        <v>0</v>
      </c>
    </row>
  </sheetData>
  <mergeCells count="1">
    <mergeCell ref="B36:K36"/>
  </mergeCells>
  <printOptions horizontalCentered="1"/>
  <pageMargins left="0.7" right="0.7" top="0.75" bottom="0.75" header="0.3" footer="0.3"/>
  <pageSetup scale="8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L37"/>
  <sheetViews>
    <sheetView zoomScale="80" zoomScaleNormal="80" workbookViewId="0">
      <pane xSplit="3" ySplit="7" topLeftCell="D8" activePane="bottomRight" state="frozen"/>
      <selection activeCell="B36" sqref="B36:K36"/>
      <selection pane="topRight" activeCell="B36" sqref="B36:K36"/>
      <selection pane="bottomLeft" activeCell="B36" sqref="B36:K36"/>
      <selection pane="bottomRight" activeCell="D8" sqref="D8"/>
    </sheetView>
  </sheetViews>
  <sheetFormatPr defaultColWidth="8.88671875" defaultRowHeight="13.2"/>
  <cols>
    <col min="1" max="1" width="8.88671875" style="1"/>
    <col min="2" max="2" width="22.5546875" style="1" bestFit="1" customWidth="1"/>
    <col min="3" max="3" width="11.5546875" style="1" bestFit="1" customWidth="1"/>
    <col min="4" max="5" width="15.109375" style="1" bestFit="1" customWidth="1"/>
    <col min="6" max="7" width="10.88671875" style="1" bestFit="1" customWidth="1"/>
    <col min="8" max="8" width="11.5546875" style="1" bestFit="1" customWidth="1"/>
    <col min="9" max="10" width="15.109375" style="1" bestFit="1" customWidth="1"/>
    <col min="11" max="11" width="11.44140625" style="1" bestFit="1" customWidth="1"/>
    <col min="12" max="12" width="8.5546875" style="1" bestFit="1" customWidth="1"/>
    <col min="13" max="16384" width="8.88671875" style="1"/>
  </cols>
  <sheetData>
    <row r="1" spans="1:12">
      <c r="A1" s="401" t="s">
        <v>464</v>
      </c>
      <c r="B1" s="444"/>
      <c r="C1" s="444"/>
      <c r="D1" s="349"/>
      <c r="E1" s="349"/>
      <c r="F1" s="444"/>
      <c r="G1" s="444"/>
      <c r="H1" s="444"/>
      <c r="I1" s="349"/>
      <c r="J1" s="349"/>
      <c r="K1" s="444"/>
      <c r="L1" s="445"/>
    </row>
    <row r="2" spans="1:12">
      <c r="A2" s="402" t="s">
        <v>130</v>
      </c>
      <c r="B2" s="446"/>
      <c r="C2" s="446"/>
      <c r="D2" s="353"/>
      <c r="E2" s="353"/>
      <c r="F2" s="446"/>
      <c r="G2" s="446"/>
      <c r="H2" s="446"/>
      <c r="I2" s="353"/>
      <c r="J2" s="353"/>
      <c r="K2" s="446"/>
      <c r="L2" s="447"/>
    </row>
    <row r="3" spans="1:12">
      <c r="A3" s="402" t="s">
        <v>131</v>
      </c>
      <c r="B3" s="446"/>
      <c r="C3" s="446"/>
      <c r="D3" s="353"/>
      <c r="E3" s="353"/>
      <c r="F3" s="446"/>
      <c r="G3" s="446"/>
      <c r="H3" s="446"/>
      <c r="I3" s="353"/>
      <c r="J3" s="353"/>
      <c r="K3" s="446"/>
      <c r="L3" s="447"/>
    </row>
    <row r="4" spans="1:12">
      <c r="A4" s="402" t="s">
        <v>465</v>
      </c>
      <c r="B4" s="446"/>
      <c r="C4" s="446"/>
      <c r="D4" s="353"/>
      <c r="E4" s="353"/>
      <c r="F4" s="446"/>
      <c r="G4" s="446"/>
      <c r="H4" s="446"/>
      <c r="I4" s="353"/>
      <c r="J4" s="353"/>
      <c r="K4" s="446"/>
      <c r="L4" s="447"/>
    </row>
    <row r="5" spans="1:12">
      <c r="A5" s="402"/>
      <c r="B5" s="446"/>
      <c r="C5" s="446"/>
      <c r="D5" s="353"/>
      <c r="E5" s="353"/>
      <c r="F5" s="446"/>
      <c r="G5" s="446"/>
      <c r="H5" s="446"/>
      <c r="I5" s="353"/>
      <c r="J5" s="353"/>
      <c r="K5" s="446"/>
      <c r="L5" s="447"/>
    </row>
    <row r="6" spans="1:12" ht="93" thickBot="1">
      <c r="A6" s="448" t="s">
        <v>3</v>
      </c>
      <c r="B6" s="449" t="s">
        <v>132</v>
      </c>
      <c r="C6" s="449" t="s">
        <v>133</v>
      </c>
      <c r="D6" s="450" t="s">
        <v>466</v>
      </c>
      <c r="E6" s="450" t="s">
        <v>467</v>
      </c>
      <c r="F6" s="451" t="s">
        <v>468</v>
      </c>
      <c r="G6" s="451" t="s">
        <v>469</v>
      </c>
      <c r="H6" s="451" t="s">
        <v>134</v>
      </c>
      <c r="I6" s="450" t="s">
        <v>470</v>
      </c>
      <c r="J6" s="450" t="s">
        <v>471</v>
      </c>
      <c r="K6" s="451" t="s">
        <v>135</v>
      </c>
      <c r="L6" s="452" t="s">
        <v>136</v>
      </c>
    </row>
    <row r="7" spans="1:12" ht="27" thickBot="1">
      <c r="A7" s="448"/>
      <c r="B7" s="449"/>
      <c r="C7" s="449"/>
      <c r="D7" s="453" t="s">
        <v>137</v>
      </c>
      <c r="E7" s="453" t="s">
        <v>138</v>
      </c>
      <c r="F7" s="449" t="s">
        <v>139</v>
      </c>
      <c r="G7" s="449" t="s">
        <v>140</v>
      </c>
      <c r="H7" s="451" t="s">
        <v>141</v>
      </c>
      <c r="I7" s="450" t="s">
        <v>142</v>
      </c>
      <c r="J7" s="450" t="s">
        <v>143</v>
      </c>
      <c r="K7" s="451" t="s">
        <v>144</v>
      </c>
      <c r="L7" s="452" t="s">
        <v>145</v>
      </c>
    </row>
    <row r="8" spans="1:12">
      <c r="A8" s="454"/>
      <c r="B8" s="455"/>
      <c r="C8" s="456"/>
      <c r="D8" s="356"/>
      <c r="E8" s="356"/>
      <c r="F8" s="455"/>
      <c r="G8" s="455"/>
      <c r="H8" s="455"/>
      <c r="I8" s="356"/>
      <c r="J8" s="356"/>
      <c r="K8" s="455"/>
      <c r="L8" s="457"/>
    </row>
    <row r="9" spans="1:12">
      <c r="A9" s="454">
        <v>1</v>
      </c>
      <c r="B9" s="458" t="s">
        <v>15</v>
      </c>
      <c r="C9" s="456">
        <v>7</v>
      </c>
      <c r="D9" s="356">
        <v>10809562000</v>
      </c>
      <c r="E9" s="372">
        <v>1095893000</v>
      </c>
      <c r="F9" s="459">
        <v>9.3700000000000001E-4</v>
      </c>
      <c r="G9" s="459">
        <v>8.9499999999999996E-4</v>
      </c>
      <c r="H9" s="459">
        <f>G9-F9</f>
        <v>-4.2000000000000045E-5</v>
      </c>
      <c r="I9" s="372">
        <f>+F9*D9+E9</f>
        <v>1106021559.5940001</v>
      </c>
      <c r="J9" s="372">
        <f>+G9*D9+E9</f>
        <v>1105567557.99</v>
      </c>
      <c r="K9" s="372">
        <f>+J9-I9</f>
        <v>-454001.60400009155</v>
      </c>
      <c r="L9" s="460">
        <f>IF(I9&gt;0,+K9/I9,0)</f>
        <v>-4.1048169455823908E-4</v>
      </c>
    </row>
    <row r="10" spans="1:12">
      <c r="A10" s="454">
        <f>+A9+1</f>
        <v>2</v>
      </c>
      <c r="B10" s="458"/>
      <c r="C10" s="456"/>
      <c r="D10" s="356"/>
      <c r="E10" s="372"/>
      <c r="F10" s="461"/>
      <c r="G10" s="461"/>
      <c r="H10" s="459" t="s">
        <v>24</v>
      </c>
      <c r="I10" s="372"/>
      <c r="J10" s="372"/>
      <c r="K10" s="372"/>
      <c r="L10" s="460"/>
    </row>
    <row r="11" spans="1:12">
      <c r="A11" s="454">
        <f t="shared" ref="A11:A36" si="0">+A10+1</f>
        <v>3</v>
      </c>
      <c r="B11" s="462" t="s">
        <v>106</v>
      </c>
      <c r="C11" s="463" t="s">
        <v>146</v>
      </c>
      <c r="D11" s="356">
        <v>3049254000</v>
      </c>
      <c r="E11" s="372">
        <v>313091000</v>
      </c>
      <c r="F11" s="459">
        <v>8.5499999999999997E-4</v>
      </c>
      <c r="G11" s="459">
        <v>8.5700000000000001E-4</v>
      </c>
      <c r="H11" s="459">
        <f t="shared" ref="H11:H35" si="1">G11-F11</f>
        <v>2.0000000000000486E-6</v>
      </c>
      <c r="I11" s="372">
        <f t="shared" ref="I11:I14" si="2">+F11*D11+E11</f>
        <v>315698112.17000002</v>
      </c>
      <c r="J11" s="372">
        <f t="shared" ref="J11:J14" si="3">+G11*D11+E11</f>
        <v>315704210.67799997</v>
      </c>
      <c r="K11" s="372">
        <f>+J11-I11</f>
        <v>6098.5079999566078</v>
      </c>
      <c r="L11" s="460">
        <f>IF(I11&gt;0,+K11/I11,0)</f>
        <v>1.931753078292919E-5</v>
      </c>
    </row>
    <row r="12" spans="1:12">
      <c r="A12" s="454">
        <f t="shared" si="0"/>
        <v>4</v>
      </c>
      <c r="B12" s="464" t="s">
        <v>108</v>
      </c>
      <c r="C12" s="465" t="s">
        <v>147</v>
      </c>
      <c r="D12" s="356">
        <v>3208495000</v>
      </c>
      <c r="E12" s="372">
        <v>307686000</v>
      </c>
      <c r="F12" s="459">
        <v>7.94E-4</v>
      </c>
      <c r="G12" s="459">
        <v>7.9600000000000005E-4</v>
      </c>
      <c r="H12" s="459">
        <f t="shared" si="1"/>
        <v>2.0000000000000486E-6</v>
      </c>
      <c r="I12" s="372">
        <f t="shared" si="2"/>
        <v>310233545.02999997</v>
      </c>
      <c r="J12" s="372">
        <f t="shared" si="3"/>
        <v>310239962.01999998</v>
      </c>
      <c r="K12" s="372">
        <f>+J12-I12</f>
        <v>6416.9900000095367</v>
      </c>
      <c r="L12" s="460">
        <f>IF(I12&gt;0,+K12/I12,0)</f>
        <v>2.0684384725027095E-5</v>
      </c>
    </row>
    <row r="13" spans="1:12">
      <c r="A13" s="454">
        <f t="shared" si="0"/>
        <v>5</v>
      </c>
      <c r="B13" s="464" t="s">
        <v>110</v>
      </c>
      <c r="C13" s="465" t="s">
        <v>148</v>
      </c>
      <c r="D13" s="356">
        <v>1921550000</v>
      </c>
      <c r="E13" s="372">
        <v>166978000</v>
      </c>
      <c r="F13" s="459">
        <v>7.0699999999999995E-4</v>
      </c>
      <c r="G13" s="459">
        <v>7.1699999999999997E-4</v>
      </c>
      <c r="H13" s="459">
        <f t="shared" si="1"/>
        <v>1.0000000000000026E-5</v>
      </c>
      <c r="I13" s="372">
        <f t="shared" si="2"/>
        <v>168336535.84999999</v>
      </c>
      <c r="J13" s="372">
        <f t="shared" si="3"/>
        <v>168355751.34999999</v>
      </c>
      <c r="K13" s="372">
        <f>+J13-I13</f>
        <v>19215.5</v>
      </c>
      <c r="L13" s="460">
        <f>IF(I13&gt;0,+K13/I13,0)</f>
        <v>1.1414931347477887E-4</v>
      </c>
    </row>
    <row r="14" spans="1:12">
      <c r="A14" s="454">
        <f t="shared" si="0"/>
        <v>6</v>
      </c>
      <c r="B14" s="464" t="s">
        <v>112</v>
      </c>
      <c r="C14" s="456">
        <v>29</v>
      </c>
      <c r="D14" s="356">
        <v>16140000</v>
      </c>
      <c r="E14" s="372">
        <v>1264000</v>
      </c>
      <c r="F14" s="459">
        <v>7.1199999999999996E-4</v>
      </c>
      <c r="G14" s="459">
        <v>7.1199999999999996E-4</v>
      </c>
      <c r="H14" s="459">
        <f t="shared" si="1"/>
        <v>0</v>
      </c>
      <c r="I14" s="372">
        <f t="shared" si="2"/>
        <v>1275491.68</v>
      </c>
      <c r="J14" s="372">
        <f t="shared" si="3"/>
        <v>1275491.68</v>
      </c>
      <c r="K14" s="372">
        <f>+J14-I14</f>
        <v>0</v>
      </c>
      <c r="L14" s="460">
        <f>IF(I14&gt;0,+K14/I14,0)</f>
        <v>0</v>
      </c>
    </row>
    <row r="15" spans="1:12">
      <c r="A15" s="454">
        <f t="shared" si="0"/>
        <v>7</v>
      </c>
      <c r="B15" s="458"/>
      <c r="C15" s="456"/>
      <c r="D15" s="356"/>
      <c r="E15" s="372"/>
      <c r="F15" s="461"/>
      <c r="G15" s="461"/>
      <c r="H15" s="459" t="s">
        <v>24</v>
      </c>
      <c r="I15" s="372"/>
      <c r="J15" s="372"/>
      <c r="K15" s="372"/>
      <c r="L15" s="460"/>
    </row>
    <row r="16" spans="1:12">
      <c r="A16" s="454">
        <f t="shared" si="0"/>
        <v>8</v>
      </c>
      <c r="B16" s="458" t="s">
        <v>113</v>
      </c>
      <c r="C16" s="456"/>
      <c r="D16" s="356">
        <f>SUM(D11:D15)</f>
        <v>8195439000</v>
      </c>
      <c r="E16" s="372">
        <f>SUM(E11:E15)</f>
        <v>789019000</v>
      </c>
      <c r="F16" s="459">
        <f>($I16-$E16)/$D16</f>
        <v>7.9613608618159671E-4</v>
      </c>
      <c r="G16" s="459">
        <f>($J16-$E16)/$D16</f>
        <v>8.0000787364776008E-4</v>
      </c>
      <c r="H16" s="459">
        <f t="shared" si="1"/>
        <v>3.8717874661633664E-6</v>
      </c>
      <c r="I16" s="372">
        <f>SUM(I11:I15)</f>
        <v>795543684.73000002</v>
      </c>
      <c r="J16" s="372">
        <f>SUM(J11:J15)</f>
        <v>795575415.72799993</v>
      </c>
      <c r="K16" s="372">
        <f>SUM(K11:K14)</f>
        <v>31730.997999966145</v>
      </c>
      <c r="L16" s="460">
        <f>IF(I16&gt;0,+K16/I16,0)</f>
        <v>3.9885927836552864E-5</v>
      </c>
    </row>
    <row r="17" spans="1:12">
      <c r="A17" s="454">
        <f t="shared" si="0"/>
        <v>9</v>
      </c>
      <c r="B17" s="458"/>
      <c r="C17" s="456"/>
      <c r="D17" s="356"/>
      <c r="E17" s="372"/>
      <c r="F17" s="461"/>
      <c r="G17" s="461"/>
      <c r="H17" s="459" t="s">
        <v>24</v>
      </c>
      <c r="I17" s="372"/>
      <c r="J17" s="372"/>
      <c r="K17" s="372"/>
      <c r="L17" s="460"/>
    </row>
    <row r="18" spans="1:12">
      <c r="A18" s="454">
        <f t="shared" si="0"/>
        <v>10</v>
      </c>
      <c r="B18" s="464" t="s">
        <v>114</v>
      </c>
      <c r="C18" s="463" t="s">
        <v>149</v>
      </c>
      <c r="D18" s="356">
        <v>1409546000</v>
      </c>
      <c r="E18" s="372">
        <v>120161000</v>
      </c>
      <c r="F18" s="459">
        <v>6.96E-4</v>
      </c>
      <c r="G18" s="459">
        <v>7.0399999999999998E-4</v>
      </c>
      <c r="H18" s="459">
        <f t="shared" si="1"/>
        <v>7.9999999999999776E-6</v>
      </c>
      <c r="I18" s="372">
        <f t="shared" ref="I18:I20" si="4">+F18*D18+E18</f>
        <v>121142044.016</v>
      </c>
      <c r="J18" s="372">
        <f t="shared" ref="J18:J20" si="5">+G18*D18+E18</f>
        <v>121153320.384</v>
      </c>
      <c r="K18" s="372">
        <f>+J18-I18</f>
        <v>11276.368000000715</v>
      </c>
      <c r="L18" s="460">
        <f>IF(I18&gt;0,+K18/I18,0)</f>
        <v>9.3083851206203629E-5</v>
      </c>
    </row>
    <row r="19" spans="1:12">
      <c r="A19" s="454">
        <f t="shared" si="0"/>
        <v>11</v>
      </c>
      <c r="B19" s="464" t="s">
        <v>116</v>
      </c>
      <c r="C19" s="456">
        <v>35</v>
      </c>
      <c r="D19" s="356">
        <v>5150000</v>
      </c>
      <c r="E19" s="372">
        <v>284000</v>
      </c>
      <c r="F19" s="459">
        <v>4.64E-4</v>
      </c>
      <c r="G19" s="459">
        <v>5.1199999999999998E-4</v>
      </c>
      <c r="H19" s="459">
        <f t="shared" si="1"/>
        <v>4.7999999999999974E-5</v>
      </c>
      <c r="I19" s="372">
        <f t="shared" si="4"/>
        <v>286389.59999999998</v>
      </c>
      <c r="J19" s="372">
        <f t="shared" si="5"/>
        <v>286636.79999999999</v>
      </c>
      <c r="K19" s="372">
        <f>+J19-I19</f>
        <v>247.20000000001164</v>
      </c>
      <c r="L19" s="460">
        <f>IF(I19&gt;0,+K19/I19,0)</f>
        <v>8.6315983541305856E-4</v>
      </c>
    </row>
    <row r="20" spans="1:12">
      <c r="A20" s="454">
        <f t="shared" si="0"/>
        <v>12</v>
      </c>
      <c r="B20" s="464" t="s">
        <v>117</v>
      </c>
      <c r="C20" s="456">
        <v>43</v>
      </c>
      <c r="D20" s="356">
        <v>123766000</v>
      </c>
      <c r="E20" s="372">
        <v>11676000</v>
      </c>
      <c r="F20" s="459">
        <v>7.6999999999999996E-4</v>
      </c>
      <c r="G20" s="459">
        <v>7.7899999999999996E-4</v>
      </c>
      <c r="H20" s="459">
        <f t="shared" si="1"/>
        <v>9.0000000000000019E-6</v>
      </c>
      <c r="I20" s="372">
        <f t="shared" si="4"/>
        <v>11771299.82</v>
      </c>
      <c r="J20" s="372">
        <f t="shared" si="5"/>
        <v>11772413.714</v>
      </c>
      <c r="K20" s="372">
        <f>+J20-I20</f>
        <v>1113.8939999993891</v>
      </c>
      <c r="L20" s="460">
        <f>IF(I20&gt;0,+K20/I20,0)</f>
        <v>9.4627952480390485E-5</v>
      </c>
    </row>
    <row r="21" spans="1:12">
      <c r="A21" s="454">
        <f t="shared" si="0"/>
        <v>13</v>
      </c>
      <c r="B21" s="466"/>
      <c r="C21" s="456"/>
      <c r="D21" s="356"/>
      <c r="E21" s="372"/>
      <c r="F21" s="461"/>
      <c r="G21" s="461"/>
      <c r="H21" s="459" t="s">
        <v>24</v>
      </c>
      <c r="I21" s="372"/>
      <c r="J21" s="372"/>
      <c r="K21" s="372"/>
      <c r="L21" s="460"/>
    </row>
    <row r="22" spans="1:12">
      <c r="A22" s="454">
        <f t="shared" si="0"/>
        <v>14</v>
      </c>
      <c r="B22" s="466" t="s">
        <v>118</v>
      </c>
      <c r="C22" s="456"/>
      <c r="D22" s="356">
        <f>SUM(D18:D21)</f>
        <v>1538462000</v>
      </c>
      <c r="E22" s="372">
        <f>SUM(E18:E21)</f>
        <v>132121000</v>
      </c>
      <c r="F22" s="459">
        <f>($I22-$E22)/$D22</f>
        <v>7.0117652304703632E-4</v>
      </c>
      <c r="G22" s="459">
        <f>($J22-$E22)/$D22</f>
        <v>7.0939087088274001E-4</v>
      </c>
      <c r="H22" s="459">
        <f t="shared" si="1"/>
        <v>8.2143478357036941E-6</v>
      </c>
      <c r="I22" s="372">
        <f>SUM(I18:I20)</f>
        <v>133199733.43599999</v>
      </c>
      <c r="J22" s="372">
        <f>SUM(J18:J20)</f>
        <v>133212370.898</v>
      </c>
      <c r="K22" s="372">
        <f>SUM(K18:K20)</f>
        <v>12637.462000000116</v>
      </c>
      <c r="L22" s="460">
        <f>IF(I22&gt;0,+K22/I22,0)</f>
        <v>9.4876030709717475E-5</v>
      </c>
    </row>
    <row r="23" spans="1:12">
      <c r="A23" s="454">
        <f t="shared" si="0"/>
        <v>15</v>
      </c>
      <c r="B23" s="466"/>
      <c r="C23" s="456"/>
      <c r="D23" s="356"/>
      <c r="E23" s="372"/>
      <c r="F23" s="461"/>
      <c r="G23" s="461"/>
      <c r="H23" s="459" t="s">
        <v>24</v>
      </c>
      <c r="I23" s="372"/>
      <c r="J23" s="372"/>
      <c r="K23" s="372"/>
      <c r="L23" s="460"/>
    </row>
    <row r="24" spans="1:12">
      <c r="A24" s="454">
        <f t="shared" si="0"/>
        <v>16</v>
      </c>
      <c r="B24" s="458" t="s">
        <v>150</v>
      </c>
      <c r="C24" s="456">
        <v>40</v>
      </c>
      <c r="D24" s="356">
        <v>586365000</v>
      </c>
      <c r="E24" s="372">
        <v>45990000</v>
      </c>
      <c r="F24" s="459">
        <v>6.7000000000000002E-4</v>
      </c>
      <c r="G24" s="459">
        <v>6.4800000000000003E-4</v>
      </c>
      <c r="H24" s="459">
        <f t="shared" si="1"/>
        <v>-2.1999999999999993E-5</v>
      </c>
      <c r="I24" s="372">
        <f t="shared" ref="I24" si="6">+F24*D24+E24</f>
        <v>46382864.549999997</v>
      </c>
      <c r="J24" s="372">
        <f>+G24*D24+E24</f>
        <v>46369964.520000003</v>
      </c>
      <c r="K24" s="372">
        <f>+J24-I24</f>
        <v>-12900.029999993742</v>
      </c>
      <c r="L24" s="460">
        <f>IF(I24&gt;0,+K24/I24,0)</f>
        <v>-2.7812059744795865E-4</v>
      </c>
    </row>
    <row r="25" spans="1:12">
      <c r="A25" s="454">
        <f t="shared" si="0"/>
        <v>17</v>
      </c>
      <c r="B25" s="466"/>
      <c r="C25" s="456"/>
      <c r="D25" s="356"/>
      <c r="E25" s="372"/>
      <c r="F25" s="461"/>
      <c r="G25" s="461"/>
      <c r="H25" s="459" t="s">
        <v>24</v>
      </c>
      <c r="I25" s="372"/>
      <c r="J25" s="372"/>
      <c r="K25" s="372"/>
      <c r="L25" s="460"/>
    </row>
    <row r="26" spans="1:12">
      <c r="A26" s="454">
        <f t="shared" si="0"/>
        <v>18</v>
      </c>
      <c r="B26" s="464" t="s">
        <v>120</v>
      </c>
      <c r="C26" s="456">
        <v>46</v>
      </c>
      <c r="D26" s="356">
        <v>79268000</v>
      </c>
      <c r="E26" s="372">
        <v>5619000</v>
      </c>
      <c r="F26" s="459">
        <v>5.9800000000000001E-4</v>
      </c>
      <c r="G26" s="459">
        <v>5.8799999999999998E-4</v>
      </c>
      <c r="H26" s="459">
        <f t="shared" si="1"/>
        <v>-1.0000000000000026E-5</v>
      </c>
      <c r="I26" s="372">
        <f t="shared" ref="I26:I27" si="7">+F26*D26+E26</f>
        <v>5666402.2640000004</v>
      </c>
      <c r="J26" s="372">
        <f t="shared" ref="J26:J27" si="8">+G26*D26+E26</f>
        <v>5665609.5839999998</v>
      </c>
      <c r="K26" s="372">
        <f>+J26-I26</f>
        <v>-792.6800000006333</v>
      </c>
      <c r="L26" s="460">
        <f>IF(I26&gt;0,+K26/I26,0)</f>
        <v>-1.3989123310865478E-4</v>
      </c>
    </row>
    <row r="27" spans="1:12">
      <c r="A27" s="454">
        <f t="shared" si="0"/>
        <v>19</v>
      </c>
      <c r="B27" s="462" t="s">
        <v>121</v>
      </c>
      <c r="C27" s="456">
        <v>49</v>
      </c>
      <c r="D27" s="356">
        <v>597895000</v>
      </c>
      <c r="E27" s="372">
        <v>41597000</v>
      </c>
      <c r="F27" s="459">
        <v>5.7600000000000001E-4</v>
      </c>
      <c r="G27" s="459">
        <v>5.7300000000000005E-4</v>
      </c>
      <c r="H27" s="459">
        <f t="shared" si="1"/>
        <v>-2.9999999999999645E-6</v>
      </c>
      <c r="I27" s="372">
        <f t="shared" si="7"/>
        <v>41941387.520000003</v>
      </c>
      <c r="J27" s="372">
        <f t="shared" si="8"/>
        <v>41939593.835000001</v>
      </c>
      <c r="K27" s="372">
        <f>+J27-I27</f>
        <v>-1793.6850000023842</v>
      </c>
      <c r="L27" s="460">
        <f>IF(I27&gt;0,+K27/I27,0)</f>
        <v>-4.2766467827204205E-5</v>
      </c>
    </row>
    <row r="28" spans="1:12">
      <c r="A28" s="454">
        <f t="shared" si="0"/>
        <v>20</v>
      </c>
      <c r="B28" s="458"/>
      <c r="C28" s="456"/>
      <c r="D28" s="356"/>
      <c r="E28" s="372"/>
      <c r="F28" s="461"/>
      <c r="G28" s="461"/>
      <c r="H28" s="459" t="s">
        <v>24</v>
      </c>
      <c r="I28" s="372"/>
      <c r="J28" s="372"/>
      <c r="K28" s="372"/>
      <c r="L28" s="460"/>
    </row>
    <row r="29" spans="1:12">
      <c r="A29" s="454">
        <f t="shared" si="0"/>
        <v>21</v>
      </c>
      <c r="B29" s="458" t="s">
        <v>122</v>
      </c>
      <c r="C29" s="456"/>
      <c r="D29" s="356">
        <f>SUM(D26:D28)</f>
        <v>677163000</v>
      </c>
      <c r="E29" s="372">
        <f>SUM(E26:E28)</f>
        <v>47216000</v>
      </c>
      <c r="F29" s="459">
        <f>($I29-$E29)/$D29</f>
        <v>5.7857529723272217E-4</v>
      </c>
      <c r="G29" s="459">
        <f>($J29-$E29)/$D29</f>
        <v>5.7475588447685377E-4</v>
      </c>
      <c r="H29" s="459">
        <f t="shared" si="1"/>
        <v>-3.819412755868396E-6</v>
      </c>
      <c r="I29" s="356">
        <f>SUM(I26:I28)</f>
        <v>47607789.784000002</v>
      </c>
      <c r="J29" s="356">
        <f>SUM(J26:J28)</f>
        <v>47605203.419</v>
      </c>
      <c r="K29" s="372">
        <f>SUM(K26:K28)</f>
        <v>-2586.3650000030175</v>
      </c>
      <c r="L29" s="460">
        <f>IF(I29&gt;0,+K29/I29,0)</f>
        <v>-5.4326508576380948E-5</v>
      </c>
    </row>
    <row r="30" spans="1:12">
      <c r="A30" s="454">
        <f t="shared" si="0"/>
        <v>22</v>
      </c>
      <c r="B30" s="458"/>
      <c r="C30" s="456"/>
      <c r="D30" s="356"/>
      <c r="E30" s="372"/>
      <c r="F30" s="461"/>
      <c r="G30" s="461"/>
      <c r="H30" s="459"/>
      <c r="I30" s="356"/>
      <c r="J30" s="356"/>
      <c r="K30" s="372"/>
      <c r="L30" s="460"/>
    </row>
    <row r="31" spans="1:12">
      <c r="A31" s="454">
        <f t="shared" si="0"/>
        <v>23</v>
      </c>
      <c r="B31" s="458" t="s">
        <v>123</v>
      </c>
      <c r="C31" s="465" t="s">
        <v>151</v>
      </c>
      <c r="D31" s="356">
        <v>70960000</v>
      </c>
      <c r="E31" s="372">
        <v>16623000</v>
      </c>
      <c r="F31" s="459">
        <v>2.1689999999999999E-3</v>
      </c>
      <c r="G31" s="459">
        <v>1.951E-3</v>
      </c>
      <c r="H31" s="459">
        <f>G31-F31</f>
        <v>-2.1799999999999988E-4</v>
      </c>
      <c r="I31" s="372">
        <f t="shared" ref="I31" si="9">+F31*D31+E31</f>
        <v>16776912.24</v>
      </c>
      <c r="J31" s="372">
        <f>+G31*D31+E31</f>
        <v>16761442.960000001</v>
      </c>
      <c r="K31" s="372">
        <f>+J31-I31</f>
        <v>-15469.279999999329</v>
      </c>
      <c r="L31" s="460">
        <f>IF(I31&gt;0,+K31/I31,0)</f>
        <v>-9.2205763365186015E-4</v>
      </c>
    </row>
    <row r="32" spans="1:12">
      <c r="A32" s="454">
        <f t="shared" si="0"/>
        <v>24</v>
      </c>
      <c r="B32" s="458"/>
      <c r="C32" s="456"/>
      <c r="D32" s="356"/>
      <c r="E32" s="372"/>
      <c r="F32" s="455"/>
      <c r="G32" s="455"/>
      <c r="H32" s="459" t="s">
        <v>24</v>
      </c>
      <c r="I32" s="372"/>
      <c r="J32" s="372"/>
      <c r="K32" s="372"/>
      <c r="L32" s="460"/>
    </row>
    <row r="33" spans="1:12">
      <c r="A33" s="454">
        <f t="shared" si="0"/>
        <v>25</v>
      </c>
      <c r="B33" s="458" t="s">
        <v>152</v>
      </c>
      <c r="C33" s="465" t="s">
        <v>126</v>
      </c>
      <c r="D33" s="356">
        <v>2030932000</v>
      </c>
      <c r="E33" s="372">
        <v>9848000</v>
      </c>
      <c r="F33" s="459">
        <v>3.3000000000000003E-5</v>
      </c>
      <c r="G33" s="459">
        <v>3.3000000000000003E-5</v>
      </c>
      <c r="H33" s="459">
        <f>G33-F33</f>
        <v>0</v>
      </c>
      <c r="I33" s="372">
        <f t="shared" ref="I33" si="10">+F33*D33+E33</f>
        <v>9915020.7559999991</v>
      </c>
      <c r="J33" s="372">
        <f>+G33*D33+E33</f>
        <v>9915020.7559999991</v>
      </c>
      <c r="K33" s="372">
        <f>+J33-I33</f>
        <v>0</v>
      </c>
      <c r="L33" s="460">
        <f>IF(I33&gt;0,+K33/I33,0)</f>
        <v>0</v>
      </c>
    </row>
    <row r="34" spans="1:12">
      <c r="A34" s="454">
        <f t="shared" si="0"/>
        <v>26</v>
      </c>
      <c r="B34" s="458"/>
      <c r="C34" s="456"/>
      <c r="D34" s="356"/>
      <c r="E34" s="372"/>
      <c r="F34" s="461"/>
      <c r="G34" s="461"/>
      <c r="H34" s="459" t="s">
        <v>24</v>
      </c>
      <c r="I34" s="372"/>
      <c r="J34" s="372"/>
      <c r="K34" s="372"/>
      <c r="L34" s="460"/>
    </row>
    <row r="35" spans="1:12">
      <c r="A35" s="454">
        <f t="shared" si="0"/>
        <v>27</v>
      </c>
      <c r="B35" s="458" t="s">
        <v>22</v>
      </c>
      <c r="C35" s="456"/>
      <c r="D35" s="356">
        <f>SUM(D9,D16,D22,D24,D29,D31,D33)</f>
        <v>23908883000</v>
      </c>
      <c r="E35" s="372">
        <f>SUM(E9,E16,E22,E24,E29,E31,E33)</f>
        <v>2136710000</v>
      </c>
      <c r="F35" s="459">
        <f>($I35-$E35)/$D35</f>
        <v>7.8370725600188649E-4</v>
      </c>
      <c r="G35" s="459">
        <f>($J35-$E35)/$D35</f>
        <v>7.6527942652109297E-4</v>
      </c>
      <c r="H35" s="459">
        <f t="shared" si="1"/>
        <v>-1.8427829480793518E-5</v>
      </c>
      <c r="I35" s="372">
        <f>SUM(I9,I16,I22,I24,I29,I31,I33)</f>
        <v>2155447565.0900002</v>
      </c>
      <c r="J35" s="372">
        <f>SUM(J9,J16,J22,J24,J29,J31,J33)</f>
        <v>2155006976.2709999</v>
      </c>
      <c r="K35" s="372">
        <f>SUM(K9,K16,K22,K24,K29,K31,K33)</f>
        <v>-440588.81900012138</v>
      </c>
      <c r="L35" s="460">
        <f>IF(I35&gt;0,+K35/I35,0)</f>
        <v>-2.0440711531840243E-4</v>
      </c>
    </row>
    <row r="36" spans="1:12" ht="13.8" thickBot="1">
      <c r="A36" s="467">
        <f t="shared" si="0"/>
        <v>28</v>
      </c>
      <c r="B36" s="468"/>
      <c r="C36" s="469"/>
      <c r="D36" s="380"/>
      <c r="E36" s="380"/>
      <c r="F36" s="470"/>
      <c r="G36" s="470"/>
      <c r="H36" s="470"/>
      <c r="I36" s="380"/>
      <c r="J36" s="380"/>
      <c r="K36" s="471"/>
      <c r="L36" s="472"/>
    </row>
    <row r="37" spans="1:12">
      <c r="B37" s="129"/>
      <c r="C37" s="126"/>
      <c r="D37" s="191"/>
      <c r="E37" s="191"/>
      <c r="F37" s="123"/>
      <c r="G37" s="123"/>
      <c r="H37" s="123"/>
      <c r="I37" s="191"/>
      <c r="J37" s="191"/>
      <c r="K37" s="123"/>
      <c r="L37" s="123"/>
    </row>
  </sheetData>
  <printOptions horizontalCentered="1"/>
  <pageMargins left="0.7" right="0.7" top="0.75" bottom="0.75" header="0.3" footer="0.3"/>
  <pageSetup scale="79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21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3.2"/>
  <cols>
    <col min="1" max="1" width="7.6640625" bestFit="1" customWidth="1"/>
    <col min="2" max="2" width="60.5546875" bestFit="1" customWidth="1"/>
    <col min="3" max="3" width="13.88671875" bestFit="1" customWidth="1"/>
    <col min="4" max="5" width="15.109375" bestFit="1" customWidth="1"/>
    <col min="6" max="7" width="11.5546875" bestFit="1" customWidth="1"/>
    <col min="8" max="9" width="15.109375" bestFit="1" customWidth="1"/>
    <col min="10" max="10" width="9.88671875" bestFit="1" customWidth="1"/>
    <col min="11" max="11" width="8" bestFit="1" customWidth="1"/>
  </cols>
  <sheetData>
    <row r="1" spans="1:11">
      <c r="A1" s="548" t="s">
        <v>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</row>
    <row r="2" spans="1:11">
      <c r="A2" s="549" t="s">
        <v>212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</row>
    <row r="3" spans="1:11">
      <c r="A3" s="549" t="s">
        <v>213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</row>
    <row r="4" spans="1:11">
      <c r="A4" s="548" t="s">
        <v>214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</row>
    <row r="5" spans="1:11">
      <c r="A5" s="148"/>
    </row>
    <row r="7" spans="1:11" ht="79.2">
      <c r="A7" s="197" t="s">
        <v>3</v>
      </c>
      <c r="B7" s="197" t="s">
        <v>41</v>
      </c>
      <c r="C7" s="197" t="s">
        <v>215</v>
      </c>
      <c r="D7" s="198" t="s">
        <v>393</v>
      </c>
      <c r="E7" s="198" t="s">
        <v>394</v>
      </c>
      <c r="F7" s="198" t="s">
        <v>391</v>
      </c>
      <c r="G7" s="199" t="s">
        <v>392</v>
      </c>
      <c r="H7" s="197" t="s">
        <v>216</v>
      </c>
      <c r="I7" s="198" t="s">
        <v>217</v>
      </c>
      <c r="J7" s="198" t="s">
        <v>218</v>
      </c>
      <c r="K7" s="197" t="s">
        <v>219</v>
      </c>
    </row>
    <row r="8" spans="1:11">
      <c r="A8" s="200" t="s">
        <v>98</v>
      </c>
      <c r="B8" s="200" t="s">
        <v>99</v>
      </c>
      <c r="C8" s="200" t="s">
        <v>100</v>
      </c>
      <c r="D8" s="201" t="s">
        <v>101</v>
      </c>
      <c r="E8" s="200" t="s">
        <v>220</v>
      </c>
      <c r="F8" s="200" t="s">
        <v>221</v>
      </c>
      <c r="G8" s="202" t="s">
        <v>222</v>
      </c>
      <c r="H8" s="203" t="s">
        <v>223</v>
      </c>
      <c r="I8" s="203" t="s">
        <v>224</v>
      </c>
      <c r="J8" s="201" t="s">
        <v>225</v>
      </c>
      <c r="K8" s="204" t="s">
        <v>226</v>
      </c>
    </row>
    <row r="9" spans="1:11">
      <c r="A9" s="200"/>
      <c r="B9" s="200"/>
      <c r="C9" s="200"/>
      <c r="D9" s="204"/>
      <c r="E9" s="200"/>
      <c r="F9" s="200"/>
      <c r="G9" s="202"/>
      <c r="H9" s="200"/>
      <c r="I9" s="200"/>
      <c r="J9" s="204"/>
      <c r="K9" s="204"/>
    </row>
    <row r="10" spans="1:11">
      <c r="A10" s="205">
        <v>1</v>
      </c>
      <c r="B10" t="s">
        <v>15</v>
      </c>
      <c r="C10" s="205">
        <v>7</v>
      </c>
      <c r="D10" s="206">
        <v>10589868000</v>
      </c>
      <c r="E10" s="207">
        <v>1156336000</v>
      </c>
      <c r="F10" s="208">
        <v>-3.6600000000000001E-4</v>
      </c>
      <c r="G10" s="209">
        <v>-3.4600000000000001E-4</v>
      </c>
      <c r="H10" s="210">
        <v>1152460108</v>
      </c>
      <c r="I10" s="210">
        <v>1152671906</v>
      </c>
      <c r="J10" s="207">
        <v>211798</v>
      </c>
      <c r="K10" s="404">
        <v>1.8377902933886195E-4</v>
      </c>
    </row>
    <row r="11" spans="1:11">
      <c r="A11" s="205">
        <v>2</v>
      </c>
      <c r="B11" s="148" t="s">
        <v>227</v>
      </c>
      <c r="C11" s="205" t="s">
        <v>107</v>
      </c>
      <c r="D11" s="206">
        <v>2956760000</v>
      </c>
      <c r="E11" s="207">
        <v>309034000</v>
      </c>
      <c r="F11" s="208">
        <v>-2.6600000000000001E-4</v>
      </c>
      <c r="G11" s="209">
        <v>-2.63E-4</v>
      </c>
      <c r="H11" s="210">
        <v>308247502</v>
      </c>
      <c r="I11" s="210">
        <v>308256372</v>
      </c>
      <c r="J11" s="207">
        <v>8870</v>
      </c>
      <c r="K11" s="404">
        <v>2.8775577879622201E-5</v>
      </c>
    </row>
    <row r="12" spans="1:11">
      <c r="A12" s="205">
        <v>3</v>
      </c>
      <c r="B12" s="148" t="s">
        <v>228</v>
      </c>
      <c r="C12" s="211" t="s">
        <v>229</v>
      </c>
      <c r="D12" s="206">
        <v>2962293000</v>
      </c>
      <c r="E12" s="207">
        <v>288521000</v>
      </c>
      <c r="F12" s="208">
        <v>-2.4000000000000001E-4</v>
      </c>
      <c r="G12" s="209">
        <v>-2.4499999999999999E-4</v>
      </c>
      <c r="H12" s="210">
        <v>287810050</v>
      </c>
      <c r="I12" s="210">
        <v>287795238</v>
      </c>
      <c r="J12" s="207">
        <v>-14812</v>
      </c>
      <c r="K12" s="404">
        <v>-5.1464498894322833E-5</v>
      </c>
    </row>
    <row r="13" spans="1:11">
      <c r="A13" s="205">
        <v>4</v>
      </c>
      <c r="B13" s="148" t="s">
        <v>230</v>
      </c>
      <c r="C13" s="205" t="s">
        <v>180</v>
      </c>
      <c r="D13" s="206">
        <v>1891461000</v>
      </c>
      <c r="E13" s="207">
        <v>165868000</v>
      </c>
      <c r="F13" s="208">
        <v>-2.0900000000000001E-4</v>
      </c>
      <c r="G13" s="209">
        <v>-2.02E-4</v>
      </c>
      <c r="H13" s="210">
        <v>165472685</v>
      </c>
      <c r="I13" s="210">
        <v>165485925</v>
      </c>
      <c r="J13" s="207">
        <v>13240</v>
      </c>
      <c r="K13" s="404">
        <v>8.0013205804933907E-5</v>
      </c>
    </row>
    <row r="14" spans="1:11">
      <c r="A14" s="205">
        <v>5</v>
      </c>
      <c r="B14" s="212" t="s">
        <v>172</v>
      </c>
      <c r="C14" s="211" t="s">
        <v>231</v>
      </c>
      <c r="D14" s="206">
        <v>1428898000</v>
      </c>
      <c r="E14" s="207">
        <v>124017000</v>
      </c>
      <c r="F14" s="208">
        <v>-2.34E-4</v>
      </c>
      <c r="G14" s="209">
        <v>-2.3800000000000001E-4</v>
      </c>
      <c r="H14" s="210">
        <v>123682638</v>
      </c>
      <c r="I14" s="210">
        <v>123676922</v>
      </c>
      <c r="J14" s="207">
        <v>-5716</v>
      </c>
      <c r="K14" s="404">
        <v>-4.6215055665290706E-5</v>
      </c>
    </row>
    <row r="15" spans="1:11">
      <c r="A15" s="205">
        <v>6</v>
      </c>
      <c r="B15" s="212" t="s">
        <v>232</v>
      </c>
      <c r="C15" s="205">
        <v>40</v>
      </c>
      <c r="D15" s="206">
        <v>681789000</v>
      </c>
      <c r="E15" s="207">
        <v>57022000</v>
      </c>
      <c r="F15" s="208">
        <v>-1.2899999999999999E-4</v>
      </c>
      <c r="G15" s="209">
        <v>-1.3100000000000001E-4</v>
      </c>
      <c r="H15" s="210">
        <v>56934049</v>
      </c>
      <c r="I15" s="210">
        <v>56932686</v>
      </c>
      <c r="J15" s="207">
        <v>-1363</v>
      </c>
      <c r="K15" s="404">
        <v>-2.3939980098727917E-5</v>
      </c>
    </row>
    <row r="16" spans="1:11">
      <c r="A16" s="205">
        <v>7</v>
      </c>
      <c r="B16" s="212" t="s">
        <v>175</v>
      </c>
      <c r="C16" s="205" t="s">
        <v>233</v>
      </c>
      <c r="D16" s="206">
        <v>648998000</v>
      </c>
      <c r="E16" s="207">
        <v>46431000</v>
      </c>
      <c r="F16" s="208">
        <v>-8.5000000000000006E-5</v>
      </c>
      <c r="G16" s="209">
        <v>-1.1E-4</v>
      </c>
      <c r="H16" s="210">
        <v>46375835</v>
      </c>
      <c r="I16" s="210">
        <v>46359610</v>
      </c>
      <c r="J16" s="207">
        <v>-16225</v>
      </c>
      <c r="K16" s="404">
        <v>-3.4985892976374444E-4</v>
      </c>
    </row>
    <row r="17" spans="1:11">
      <c r="A17" s="205">
        <v>8</v>
      </c>
      <c r="B17" s="212" t="s">
        <v>152</v>
      </c>
      <c r="C17" s="205">
        <v>449</v>
      </c>
      <c r="D17" s="206">
        <v>2089170000</v>
      </c>
      <c r="E17" s="207">
        <v>10853000</v>
      </c>
      <c r="F17" s="208">
        <v>-3.1000000000000001E-5</v>
      </c>
      <c r="G17" s="209">
        <v>-2.8E-5</v>
      </c>
      <c r="H17" s="210">
        <v>10788236</v>
      </c>
      <c r="I17" s="210">
        <v>10794503</v>
      </c>
      <c r="J17" s="207">
        <v>6267</v>
      </c>
      <c r="K17" s="404">
        <v>5.8091053996223293E-4</v>
      </c>
    </row>
    <row r="18" spans="1:11">
      <c r="A18" s="205">
        <v>9</v>
      </c>
      <c r="B18" t="s">
        <v>177</v>
      </c>
      <c r="C18" s="205" t="s">
        <v>20</v>
      </c>
      <c r="D18" s="206">
        <v>76423000</v>
      </c>
      <c r="E18" s="207">
        <v>20326000</v>
      </c>
      <c r="F18" s="208">
        <v>-1.5399999999999999E-3</v>
      </c>
      <c r="G18" s="209">
        <v>-1.395E-3</v>
      </c>
      <c r="H18" s="210">
        <v>20208309</v>
      </c>
      <c r="I18" s="210">
        <v>20219390</v>
      </c>
      <c r="J18" s="207">
        <v>11081</v>
      </c>
      <c r="K18" s="404">
        <v>5.4833880459765336E-4</v>
      </c>
    </row>
    <row r="19" spans="1:11">
      <c r="A19" s="205">
        <v>10</v>
      </c>
      <c r="B19" t="s">
        <v>92</v>
      </c>
      <c r="C19" s="205"/>
      <c r="D19" s="206">
        <v>6991000</v>
      </c>
      <c r="E19" s="207">
        <v>277000</v>
      </c>
      <c r="F19" s="208">
        <v>0</v>
      </c>
      <c r="G19" s="209">
        <v>0</v>
      </c>
      <c r="H19" s="210">
        <v>277000</v>
      </c>
      <c r="I19" s="210">
        <v>277000</v>
      </c>
      <c r="J19" s="207">
        <v>0</v>
      </c>
      <c r="K19" s="404">
        <v>0</v>
      </c>
    </row>
    <row r="20" spans="1:11">
      <c r="A20" s="205">
        <v>11</v>
      </c>
      <c r="C20" s="205"/>
      <c r="D20" s="206"/>
      <c r="E20" s="205"/>
      <c r="F20" s="205"/>
      <c r="G20" s="213"/>
      <c r="H20" s="205"/>
      <c r="I20" s="205"/>
      <c r="K20" s="405"/>
    </row>
    <row r="21" spans="1:11">
      <c r="A21" s="205">
        <v>12</v>
      </c>
      <c r="B21" s="148" t="s">
        <v>22</v>
      </c>
      <c r="C21" s="205"/>
      <c r="D21" s="206">
        <v>23332651000</v>
      </c>
      <c r="E21" s="214">
        <v>2178685000</v>
      </c>
      <c r="F21" s="214"/>
      <c r="G21" s="215"/>
      <c r="H21" s="214">
        <v>2172256412</v>
      </c>
      <c r="I21" s="214">
        <v>2172469552</v>
      </c>
      <c r="J21" s="149">
        <v>213140</v>
      </c>
      <c r="K21" s="404">
        <v>9.7829654126227523E-5</v>
      </c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44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3.2"/>
  <cols>
    <col min="1" max="1" width="7.6640625" bestFit="1" customWidth="1"/>
    <col min="2" max="2" width="22.5546875" bestFit="1" customWidth="1"/>
    <col min="3" max="3" width="10.5546875" bestFit="1" customWidth="1"/>
    <col min="4" max="5" width="15.109375" bestFit="1" customWidth="1"/>
    <col min="6" max="7" width="11.5546875" bestFit="1" customWidth="1"/>
    <col min="8" max="9" width="15.109375" bestFit="1" customWidth="1"/>
    <col min="10" max="10" width="11.44140625" bestFit="1" customWidth="1"/>
  </cols>
  <sheetData>
    <row r="1" spans="1:11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>
      <c r="A2" s="153" t="s">
        <v>236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>
      <c r="A3" s="156"/>
      <c r="B3" s="141"/>
      <c r="C3" s="157"/>
      <c r="D3" s="130"/>
      <c r="E3" s="130"/>
      <c r="F3" s="130"/>
      <c r="G3" s="141"/>
      <c r="H3" s="141"/>
      <c r="I3" s="130"/>
      <c r="J3" s="141"/>
      <c r="K3" s="158"/>
    </row>
    <row r="4" spans="1:11">
      <c r="A4" s="166"/>
      <c r="B4" s="167"/>
      <c r="C4" s="167"/>
      <c r="D4" s="168"/>
      <c r="E4" s="168"/>
      <c r="F4" s="169"/>
      <c r="G4" s="167"/>
      <c r="H4" s="168"/>
      <c r="I4" s="168"/>
      <c r="J4" s="167"/>
      <c r="K4" s="170"/>
    </row>
    <row r="5" spans="1:11">
      <c r="A5" s="159"/>
      <c r="B5" s="89"/>
      <c r="C5" s="89"/>
      <c r="D5" s="160"/>
      <c r="E5" s="160"/>
      <c r="F5" s="160"/>
      <c r="G5" s="161"/>
      <c r="H5" s="160"/>
      <c r="I5" s="160"/>
      <c r="J5" s="161"/>
      <c r="K5" s="162"/>
    </row>
    <row r="6" spans="1:11" ht="66.599999999999994" thickBot="1">
      <c r="A6" s="163" t="s">
        <v>3</v>
      </c>
      <c r="B6" s="164" t="s">
        <v>95</v>
      </c>
      <c r="C6" s="164" t="s">
        <v>129</v>
      </c>
      <c r="D6" s="87" t="s">
        <v>395</v>
      </c>
      <c r="E6" s="86" t="s">
        <v>396</v>
      </c>
      <c r="F6" s="86" t="s">
        <v>397</v>
      </c>
      <c r="G6" s="86" t="s">
        <v>398</v>
      </c>
      <c r="H6" s="86" t="s">
        <v>399</v>
      </c>
      <c r="I6" s="86" t="s">
        <v>237</v>
      </c>
      <c r="J6" s="164" t="s">
        <v>197</v>
      </c>
      <c r="K6" s="165" t="s">
        <v>198</v>
      </c>
    </row>
    <row r="7" spans="1:11" ht="26.4">
      <c r="A7" s="166"/>
      <c r="B7" s="167"/>
      <c r="C7" s="167"/>
      <c r="D7" s="168" t="s">
        <v>98</v>
      </c>
      <c r="E7" s="168" t="s">
        <v>99</v>
      </c>
      <c r="F7" s="169" t="s">
        <v>100</v>
      </c>
      <c r="G7" s="167" t="s">
        <v>101</v>
      </c>
      <c r="H7" s="168" t="s">
        <v>238</v>
      </c>
      <c r="I7" s="168" t="s">
        <v>239</v>
      </c>
      <c r="J7" s="167" t="s">
        <v>104</v>
      </c>
      <c r="K7" s="170" t="s">
        <v>105</v>
      </c>
    </row>
    <row r="8" spans="1:11">
      <c r="A8" s="156"/>
      <c r="B8" s="141"/>
      <c r="C8" s="157"/>
      <c r="D8" s="130"/>
      <c r="E8" s="130"/>
      <c r="F8" s="130"/>
      <c r="G8" s="141"/>
      <c r="H8" s="141"/>
      <c r="I8" s="130"/>
      <c r="J8" s="141"/>
      <c r="K8" s="158"/>
    </row>
    <row r="9" spans="1:11">
      <c r="A9" s="156">
        <v>1</v>
      </c>
      <c r="B9" s="141" t="s">
        <v>15</v>
      </c>
      <c r="C9" s="157">
        <v>7</v>
      </c>
      <c r="D9" s="130">
        <v>10589868000</v>
      </c>
      <c r="E9" s="216">
        <v>1152460000</v>
      </c>
      <c r="F9" s="90">
        <v>0</v>
      </c>
      <c r="G9" s="90">
        <v>-3.4999999999999997E-5</v>
      </c>
      <c r="H9" s="132">
        <v>1152460000</v>
      </c>
      <c r="I9" s="132">
        <v>1152089354.6199999</v>
      </c>
      <c r="J9" s="132">
        <v>-370645.38000011444</v>
      </c>
      <c r="K9" s="217">
        <v>-3.2161235964815651E-4</v>
      </c>
    </row>
    <row r="10" spans="1:11">
      <c r="A10" s="156">
        <v>2</v>
      </c>
      <c r="B10" s="141"/>
      <c r="C10" s="157"/>
      <c r="D10" s="130"/>
      <c r="E10" s="216"/>
      <c r="F10" s="90"/>
      <c r="G10" s="90"/>
      <c r="H10" s="172"/>
      <c r="I10" s="132"/>
      <c r="J10" s="132"/>
      <c r="K10" s="217"/>
    </row>
    <row r="11" spans="1:11">
      <c r="A11" s="156">
        <v>3</v>
      </c>
      <c r="B11" s="173" t="s">
        <v>106</v>
      </c>
      <c r="C11" s="121" t="s">
        <v>146</v>
      </c>
      <c r="D11" s="130">
        <v>2956760000</v>
      </c>
      <c r="E11" s="216">
        <v>308247000</v>
      </c>
      <c r="F11" s="90">
        <v>0</v>
      </c>
      <c r="G11" s="90">
        <v>-2.8E-5</v>
      </c>
      <c r="H11" s="132">
        <v>308247000</v>
      </c>
      <c r="I11" s="132">
        <v>308164210.72000003</v>
      </c>
      <c r="J11" s="132">
        <v>-82789.27999997139</v>
      </c>
      <c r="K11" s="217">
        <v>-2.685809756460611E-4</v>
      </c>
    </row>
    <row r="12" spans="1:11">
      <c r="A12" s="156">
        <v>4</v>
      </c>
      <c r="B12" s="174" t="s">
        <v>108</v>
      </c>
      <c r="C12" s="121" t="s">
        <v>147</v>
      </c>
      <c r="D12" s="130">
        <v>2946226000</v>
      </c>
      <c r="E12" s="216">
        <v>286518000</v>
      </c>
      <c r="F12" s="90">
        <v>0</v>
      </c>
      <c r="G12" s="90">
        <v>-2.9E-5</v>
      </c>
      <c r="H12" s="132">
        <v>286518000</v>
      </c>
      <c r="I12" s="132">
        <v>286432559.44599998</v>
      </c>
      <c r="J12" s="132">
        <v>-85440.554000020027</v>
      </c>
      <c r="K12" s="217">
        <v>-2.9820309369749901E-4</v>
      </c>
    </row>
    <row r="13" spans="1:11">
      <c r="A13" s="156">
        <v>5</v>
      </c>
      <c r="B13" s="174" t="s">
        <v>110</v>
      </c>
      <c r="C13" s="121" t="s">
        <v>240</v>
      </c>
      <c r="D13" s="130">
        <v>1891461000</v>
      </c>
      <c r="E13" s="216">
        <v>165473000</v>
      </c>
      <c r="F13" s="90">
        <v>0</v>
      </c>
      <c r="G13" s="90">
        <v>-3.0000000000000001E-5</v>
      </c>
      <c r="H13" s="132">
        <v>165473000</v>
      </c>
      <c r="I13" s="132">
        <v>165416256.16999999</v>
      </c>
      <c r="J13" s="132">
        <v>-56743.830000013113</v>
      </c>
      <c r="K13" s="217">
        <v>-3.429189656319346E-4</v>
      </c>
    </row>
    <row r="14" spans="1:11">
      <c r="A14" s="156">
        <v>6</v>
      </c>
      <c r="B14" s="174" t="s">
        <v>112</v>
      </c>
      <c r="C14" s="157">
        <v>29</v>
      </c>
      <c r="D14" s="130">
        <v>16067000</v>
      </c>
      <c r="E14" s="216">
        <v>1292000</v>
      </c>
      <c r="F14" s="90">
        <v>0</v>
      </c>
      <c r="G14" s="90">
        <v>-2.5999999999999998E-5</v>
      </c>
      <c r="H14" s="132">
        <v>1292000</v>
      </c>
      <c r="I14" s="132">
        <v>1291582.2579999999</v>
      </c>
      <c r="J14" s="132">
        <v>-417.74200000008568</v>
      </c>
      <c r="K14" s="217">
        <v>-3.2332972136229544E-4</v>
      </c>
    </row>
    <row r="15" spans="1:11">
      <c r="A15" s="156">
        <v>7</v>
      </c>
      <c r="B15" s="141"/>
      <c r="C15" s="157"/>
      <c r="D15" s="130"/>
      <c r="E15" s="216"/>
      <c r="F15" s="90"/>
      <c r="G15" s="90"/>
      <c r="H15" s="172"/>
      <c r="I15" s="132"/>
      <c r="J15" s="132"/>
      <c r="K15" s="217"/>
    </row>
    <row r="16" spans="1:11">
      <c r="A16" s="156">
        <v>8</v>
      </c>
      <c r="B16" s="141" t="s">
        <v>113</v>
      </c>
      <c r="C16" s="157"/>
      <c r="D16" s="130">
        <v>7810514000</v>
      </c>
      <c r="E16" s="216">
        <v>761530000</v>
      </c>
      <c r="F16" s="90">
        <v>0</v>
      </c>
      <c r="G16" s="90">
        <v>-2.8857435759029431E-5</v>
      </c>
      <c r="H16" s="132">
        <v>761530000</v>
      </c>
      <c r="I16" s="132">
        <v>761304608.59399998</v>
      </c>
      <c r="J16" s="132">
        <v>-225391.40600000462</v>
      </c>
      <c r="K16" s="217">
        <v>-2.9597180150487128E-4</v>
      </c>
    </row>
    <row r="17" spans="1:11">
      <c r="A17" s="156">
        <v>9</v>
      </c>
      <c r="B17" s="141"/>
      <c r="C17" s="157"/>
      <c r="D17" s="130"/>
      <c r="E17" s="216"/>
      <c r="F17" s="90"/>
      <c r="G17" s="90"/>
      <c r="H17" s="172"/>
      <c r="I17" s="132"/>
      <c r="J17" s="132"/>
      <c r="K17" s="217"/>
    </row>
    <row r="18" spans="1:11">
      <c r="A18" s="156">
        <v>10</v>
      </c>
      <c r="B18" s="174" t="s">
        <v>114</v>
      </c>
      <c r="C18" s="121" t="s">
        <v>149</v>
      </c>
      <c r="D18" s="130">
        <v>1303207000</v>
      </c>
      <c r="E18" s="216">
        <v>111849000</v>
      </c>
      <c r="F18" s="90">
        <v>0</v>
      </c>
      <c r="G18" s="90">
        <v>-2.8E-5</v>
      </c>
      <c r="H18" s="132">
        <v>111849000</v>
      </c>
      <c r="I18" s="132">
        <v>111812510.204</v>
      </c>
      <c r="J18" s="132">
        <v>-36489.796000003815</v>
      </c>
      <c r="K18" s="217">
        <v>-3.2624159357708891E-4</v>
      </c>
    </row>
    <row r="19" spans="1:11">
      <c r="A19" s="156">
        <v>11</v>
      </c>
      <c r="B19" s="174" t="s">
        <v>116</v>
      </c>
      <c r="C19" s="157">
        <v>35</v>
      </c>
      <c r="D19" s="130">
        <v>5141000</v>
      </c>
      <c r="E19" s="216">
        <v>260000</v>
      </c>
      <c r="F19" s="90">
        <v>0</v>
      </c>
      <c r="G19" s="90">
        <v>-1.9000000000000001E-5</v>
      </c>
      <c r="H19" s="132">
        <v>260000</v>
      </c>
      <c r="I19" s="132">
        <v>259902.321</v>
      </c>
      <c r="J19" s="132">
        <v>-97.679000000003725</v>
      </c>
      <c r="K19" s="217">
        <v>-3.7568846153847589E-4</v>
      </c>
    </row>
    <row r="20" spans="1:11">
      <c r="A20" s="156">
        <v>12</v>
      </c>
      <c r="B20" s="174" t="s">
        <v>117</v>
      </c>
      <c r="C20" s="157">
        <v>43</v>
      </c>
      <c r="D20" s="130">
        <v>120550000</v>
      </c>
      <c r="E20" s="216">
        <v>11574000</v>
      </c>
      <c r="F20" s="90">
        <v>0</v>
      </c>
      <c r="G20" s="90">
        <v>-2.5000000000000001E-5</v>
      </c>
      <c r="H20" s="132">
        <v>11574000</v>
      </c>
      <c r="I20" s="132">
        <v>11570986.25</v>
      </c>
      <c r="J20" s="132">
        <v>-3013.75</v>
      </c>
      <c r="K20" s="217">
        <v>-2.6038966649386555E-4</v>
      </c>
    </row>
    <row r="21" spans="1:11">
      <c r="A21" s="156">
        <v>13</v>
      </c>
      <c r="B21" s="175"/>
      <c r="C21" s="157"/>
      <c r="D21" s="130"/>
      <c r="E21" s="216"/>
      <c r="F21" s="90"/>
      <c r="G21" s="90"/>
      <c r="H21" s="172"/>
      <c r="I21" s="132"/>
      <c r="J21" s="132"/>
      <c r="K21" s="217"/>
    </row>
    <row r="22" spans="1:11">
      <c r="A22" s="156">
        <v>14</v>
      </c>
      <c r="B22" s="175" t="s">
        <v>118</v>
      </c>
      <c r="C22" s="157"/>
      <c r="D22" s="130">
        <v>1428898000</v>
      </c>
      <c r="E22" s="216">
        <v>123683000</v>
      </c>
      <c r="F22" s="90">
        <v>0</v>
      </c>
      <c r="G22" s="90">
        <v>-2.7714521960279878E-5</v>
      </c>
      <c r="H22" s="132">
        <v>123683000</v>
      </c>
      <c r="I22" s="132">
        <v>123643398.77499999</v>
      </c>
      <c r="J22" s="132">
        <v>-39601.225000003818</v>
      </c>
      <c r="K22" s="217">
        <v>-3.2018325072971887E-4</v>
      </c>
    </row>
    <row r="23" spans="1:11">
      <c r="A23" s="156">
        <v>15</v>
      </c>
      <c r="B23" s="175"/>
      <c r="C23" s="157"/>
      <c r="D23" s="130"/>
      <c r="E23" s="216"/>
      <c r="F23" s="90"/>
      <c r="G23" s="90"/>
      <c r="H23" s="172"/>
      <c r="I23" s="132"/>
      <c r="J23" s="132"/>
      <c r="K23" s="217"/>
    </row>
    <row r="24" spans="1:11">
      <c r="A24" s="156">
        <v>16</v>
      </c>
      <c r="B24" s="176" t="s">
        <v>76</v>
      </c>
      <c r="C24" s="157">
        <v>40</v>
      </c>
      <c r="D24" s="130">
        <v>681789000</v>
      </c>
      <c r="E24" s="216">
        <v>56934000</v>
      </c>
      <c r="F24" s="90">
        <v>0</v>
      </c>
      <c r="G24" s="90">
        <v>-3.0000000000000001E-5</v>
      </c>
      <c r="H24" s="132">
        <v>56934000</v>
      </c>
      <c r="I24" s="132">
        <v>56913546.329999998</v>
      </c>
      <c r="J24" s="132">
        <v>-20453.670000001788</v>
      </c>
      <c r="K24" s="217">
        <v>-3.5925229212775824E-4</v>
      </c>
    </row>
    <row r="25" spans="1:11">
      <c r="A25" s="156">
        <v>17</v>
      </c>
      <c r="B25" s="175"/>
      <c r="C25" s="157"/>
      <c r="D25" s="130"/>
      <c r="E25" s="216"/>
      <c r="F25" s="90"/>
      <c r="G25" s="90"/>
      <c r="H25" s="172"/>
      <c r="I25" s="132"/>
      <c r="J25" s="132"/>
      <c r="K25" s="217"/>
    </row>
    <row r="26" spans="1:11">
      <c r="A26" s="156">
        <v>16</v>
      </c>
      <c r="B26" s="174" t="s">
        <v>120</v>
      </c>
      <c r="C26" s="157">
        <v>46</v>
      </c>
      <c r="D26" s="130">
        <v>72699000</v>
      </c>
      <c r="E26" s="216">
        <v>5303000</v>
      </c>
      <c r="F26" s="90">
        <v>0</v>
      </c>
      <c r="G26" s="90">
        <v>-1.4E-5</v>
      </c>
      <c r="H26" s="132">
        <v>5303000</v>
      </c>
      <c r="I26" s="132">
        <v>5301982.2139999997</v>
      </c>
      <c r="J26" s="132">
        <v>-1017.7860000003129</v>
      </c>
      <c r="K26" s="217">
        <v>-1.9192645672266886E-4</v>
      </c>
    </row>
    <row r="27" spans="1:11">
      <c r="A27" s="156">
        <v>17</v>
      </c>
      <c r="B27" s="173" t="s">
        <v>121</v>
      </c>
      <c r="C27" s="157">
        <v>49</v>
      </c>
      <c r="D27" s="130">
        <v>576299000</v>
      </c>
      <c r="E27" s="216">
        <v>41073000</v>
      </c>
      <c r="F27" s="90">
        <v>0</v>
      </c>
      <c r="G27" s="90">
        <v>-2.8E-5</v>
      </c>
      <c r="H27" s="132">
        <v>41073000</v>
      </c>
      <c r="I27" s="132">
        <v>41056863.627999999</v>
      </c>
      <c r="J27" s="132">
        <v>-16136.372000001371</v>
      </c>
      <c r="K27" s="217">
        <v>-3.9287054756169187E-4</v>
      </c>
    </row>
    <row r="28" spans="1:11">
      <c r="A28" s="156">
        <v>18</v>
      </c>
      <c r="B28" s="141"/>
      <c r="C28" s="157"/>
      <c r="D28" s="130"/>
      <c r="E28" s="216"/>
      <c r="F28" s="90"/>
      <c r="G28" s="90"/>
      <c r="H28" s="172"/>
      <c r="I28" s="132"/>
      <c r="J28" s="132"/>
      <c r="K28" s="217"/>
    </row>
    <row r="29" spans="1:11">
      <c r="A29" s="156">
        <v>19</v>
      </c>
      <c r="B29" s="176" t="s">
        <v>122</v>
      </c>
      <c r="C29" s="157"/>
      <c r="D29" s="130">
        <v>648998000</v>
      </c>
      <c r="E29" s="216">
        <v>46376000</v>
      </c>
      <c r="F29" s="90">
        <v>0</v>
      </c>
      <c r="G29" s="90">
        <v>-2.6431757879068966E-5</v>
      </c>
      <c r="H29" s="130">
        <v>46376000</v>
      </c>
      <c r="I29" s="130">
        <v>46358845.842</v>
      </c>
      <c r="J29" s="132">
        <v>-17154.158000001684</v>
      </c>
      <c r="K29" s="217">
        <v>-3.6989300500262385E-4</v>
      </c>
    </row>
    <row r="30" spans="1:11">
      <c r="A30" s="156">
        <v>20</v>
      </c>
      <c r="B30" s="141"/>
      <c r="C30" s="157"/>
      <c r="D30" s="130"/>
      <c r="E30" s="216"/>
      <c r="F30" s="90"/>
      <c r="G30" s="90"/>
      <c r="H30" s="172"/>
      <c r="I30" s="132"/>
      <c r="J30" s="132"/>
      <c r="K30" s="217"/>
    </row>
    <row r="31" spans="1:11">
      <c r="A31" s="156">
        <v>21</v>
      </c>
      <c r="B31" s="141" t="s">
        <v>123</v>
      </c>
      <c r="C31" s="157" t="s">
        <v>20</v>
      </c>
      <c r="D31" s="130">
        <v>76423000</v>
      </c>
      <c r="E31" s="216">
        <v>20208000</v>
      </c>
      <c r="F31" s="90">
        <v>0</v>
      </c>
      <c r="G31" s="90">
        <v>-3.4999999999999997E-5</v>
      </c>
      <c r="H31" s="132">
        <v>20208000</v>
      </c>
      <c r="I31" s="132">
        <v>20205325.195</v>
      </c>
      <c r="J31" s="132">
        <v>-2674.804999999702</v>
      </c>
      <c r="K31" s="217">
        <v>-1.3236366785430038E-4</v>
      </c>
    </row>
    <row r="32" spans="1:11">
      <c r="A32" s="156">
        <v>22</v>
      </c>
      <c r="B32" s="141"/>
      <c r="C32" s="157"/>
      <c r="D32" s="130"/>
      <c r="E32" s="216"/>
      <c r="F32" s="90"/>
      <c r="G32" s="90"/>
      <c r="H32" s="141"/>
      <c r="I32" s="132"/>
      <c r="J32" s="132"/>
      <c r="K32" s="217"/>
    </row>
    <row r="33" spans="1:11">
      <c r="A33" s="156">
        <v>23</v>
      </c>
      <c r="B33" s="177" t="s">
        <v>201</v>
      </c>
      <c r="C33" s="121" t="s">
        <v>202</v>
      </c>
      <c r="D33" s="130">
        <v>6991000</v>
      </c>
      <c r="E33" s="216">
        <v>277000</v>
      </c>
      <c r="F33" s="90">
        <v>0</v>
      </c>
      <c r="G33" s="90">
        <v>-3.4E-5</v>
      </c>
      <c r="H33" s="132">
        <v>277000</v>
      </c>
      <c r="I33" s="132">
        <v>276762.30599999998</v>
      </c>
      <c r="J33" s="132">
        <v>-237.6940000000177</v>
      </c>
      <c r="K33" s="217">
        <v>-8.581010830325549E-4</v>
      </c>
    </row>
    <row r="34" spans="1:11">
      <c r="A34" s="156">
        <v>24</v>
      </c>
      <c r="B34" s="177"/>
      <c r="C34" s="121"/>
      <c r="D34" s="130"/>
      <c r="E34" s="216"/>
      <c r="F34" s="90"/>
      <c r="G34" s="90"/>
      <c r="H34" s="172"/>
      <c r="I34" s="132"/>
      <c r="J34" s="132"/>
      <c r="K34" s="217"/>
    </row>
    <row r="35" spans="1:11">
      <c r="A35" s="156">
        <v>25</v>
      </c>
      <c r="B35" s="174" t="s">
        <v>124</v>
      </c>
      <c r="C35" s="157"/>
      <c r="D35" s="130">
        <v>21243481000</v>
      </c>
      <c r="E35" s="216">
        <v>2161468000</v>
      </c>
      <c r="F35" s="90">
        <v>0</v>
      </c>
      <c r="G35" s="90">
        <v>-3.1828980288117567E-5</v>
      </c>
      <c r="H35" s="132">
        <v>2161468000</v>
      </c>
      <c r="I35" s="132">
        <v>2160791841.6620002</v>
      </c>
      <c r="J35" s="132">
        <v>-676158.33800012607</v>
      </c>
      <c r="K35" s="217">
        <v>-3.1282366336218072E-4</v>
      </c>
    </row>
    <row r="36" spans="1:11">
      <c r="A36" s="156">
        <v>26</v>
      </c>
      <c r="B36" s="176"/>
      <c r="C36" s="157"/>
      <c r="D36" s="130"/>
      <c r="E36" s="216"/>
      <c r="F36" s="172"/>
      <c r="G36" s="172"/>
      <c r="H36" s="172"/>
      <c r="I36" s="132"/>
      <c r="J36" s="132"/>
      <c r="K36" s="217"/>
    </row>
    <row r="37" spans="1:11">
      <c r="A37" s="156">
        <v>27</v>
      </c>
      <c r="B37" s="176" t="s">
        <v>203</v>
      </c>
      <c r="C37" s="157"/>
      <c r="D37" s="130"/>
      <c r="E37" s="216"/>
      <c r="F37" s="132"/>
      <c r="G37" s="172"/>
      <c r="H37" s="172"/>
      <c r="I37" s="132"/>
      <c r="J37" s="132"/>
      <c r="K37" s="217"/>
    </row>
    <row r="38" spans="1:11">
      <c r="A38" s="156">
        <v>28</v>
      </c>
      <c r="B38" s="174" t="s">
        <v>125</v>
      </c>
      <c r="C38" s="121" t="s">
        <v>126</v>
      </c>
      <c r="D38" s="130">
        <v>2089170000</v>
      </c>
      <c r="E38" s="216">
        <v>10788000</v>
      </c>
      <c r="F38" s="132"/>
      <c r="G38" s="172"/>
      <c r="H38" s="132">
        <v>10788000</v>
      </c>
      <c r="I38" s="132">
        <v>10788000</v>
      </c>
      <c r="J38" s="132">
        <v>0</v>
      </c>
      <c r="K38" s="217"/>
    </row>
    <row r="39" spans="1:11">
      <c r="A39" s="156">
        <v>29</v>
      </c>
      <c r="B39" s="173"/>
      <c r="C39" s="157"/>
      <c r="D39" s="130"/>
      <c r="E39" s="216"/>
      <c r="F39" s="132"/>
      <c r="G39" s="172"/>
      <c r="H39" s="172"/>
      <c r="I39" s="132"/>
      <c r="J39" s="132"/>
      <c r="K39" s="217"/>
    </row>
    <row r="40" spans="1:11">
      <c r="A40" s="156">
        <v>30</v>
      </c>
      <c r="B40" s="176"/>
      <c r="C40" s="157"/>
      <c r="D40" s="130"/>
      <c r="E40" s="216"/>
      <c r="F40" s="132"/>
      <c r="G40" s="172"/>
      <c r="H40" s="172"/>
      <c r="I40" s="132"/>
      <c r="J40" s="132"/>
      <c r="K40" s="217"/>
    </row>
    <row r="41" spans="1:11">
      <c r="A41" s="156">
        <v>31</v>
      </c>
      <c r="B41" s="176" t="s">
        <v>22</v>
      </c>
      <c r="C41" s="157"/>
      <c r="D41" s="130">
        <v>23332651000</v>
      </c>
      <c r="E41" s="216">
        <v>2172256000</v>
      </c>
      <c r="F41" s="132"/>
      <c r="G41" s="172"/>
      <c r="H41" s="132">
        <v>2172256000</v>
      </c>
      <c r="I41" s="132">
        <v>2171579841.6620002</v>
      </c>
      <c r="J41" s="132">
        <v>-676158.33800012607</v>
      </c>
      <c r="K41" s="217"/>
    </row>
    <row r="42" spans="1:11" ht="13.8" thickBot="1">
      <c r="A42" s="178"/>
      <c r="B42" s="179"/>
      <c r="C42" s="180"/>
      <c r="D42" s="181"/>
      <c r="E42" s="182"/>
      <c r="F42" s="182"/>
      <c r="G42" s="179"/>
      <c r="H42" s="179"/>
      <c r="I42" s="181"/>
      <c r="J42" s="179"/>
      <c r="K42" s="183"/>
    </row>
    <row r="43" spans="1:11">
      <c r="A43" s="157"/>
      <c r="B43" s="141"/>
      <c r="C43" s="157"/>
      <c r="D43" s="130"/>
      <c r="E43" s="130"/>
      <c r="F43" s="130"/>
      <c r="G43" s="141"/>
      <c r="H43" s="141"/>
      <c r="I43" s="130"/>
      <c r="J43" s="132"/>
      <c r="K43" s="141"/>
    </row>
    <row r="44" spans="1:11">
      <c r="A44" s="550"/>
      <c r="B44" s="550"/>
      <c r="C44" s="550"/>
      <c r="D44" s="550"/>
      <c r="E44" s="550"/>
      <c r="F44" s="550"/>
      <c r="G44" s="550"/>
      <c r="H44" s="550"/>
      <c r="I44" s="550"/>
      <c r="J44" s="550"/>
      <c r="K44" s="550"/>
    </row>
  </sheetData>
  <mergeCells count="1">
    <mergeCell ref="A44:K44"/>
  </mergeCells>
  <printOptions horizontalCentered="1"/>
  <pageMargins left="0.7" right="0.7" top="0.75" bottom="0.75" header="0.3" footer="0.3"/>
  <pageSetup scale="8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3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88671875" defaultRowHeight="13.2"/>
  <cols>
    <col min="1" max="1" width="7.6640625" style="1" bestFit="1" customWidth="1"/>
    <col min="2" max="2" width="33.6640625" style="1" bestFit="1" customWidth="1"/>
    <col min="3" max="3" width="10.109375" style="1" bestFit="1" customWidth="1"/>
    <col min="4" max="4" width="14.6640625" style="1" bestFit="1" customWidth="1"/>
    <col min="5" max="5" width="13.6640625" style="1" bestFit="1" customWidth="1"/>
    <col min="6" max="7" width="10.6640625" style="1" bestFit="1" customWidth="1"/>
    <col min="8" max="8" width="11.88671875" style="1" bestFit="1" customWidth="1"/>
    <col min="9" max="9" width="8.44140625" style="1" bestFit="1" customWidth="1"/>
    <col min="10" max="16384" width="8.88671875" style="1"/>
  </cols>
  <sheetData>
    <row r="1" spans="1:9">
      <c r="A1" s="551" t="s">
        <v>0</v>
      </c>
      <c r="B1" s="551">
        <v>0</v>
      </c>
      <c r="C1" s="551">
        <v>0</v>
      </c>
      <c r="D1" s="551">
        <v>0</v>
      </c>
      <c r="E1" s="551">
        <v>0</v>
      </c>
      <c r="F1" s="551">
        <v>0</v>
      </c>
      <c r="G1" s="551">
        <v>0</v>
      </c>
      <c r="H1" s="551">
        <v>0</v>
      </c>
      <c r="I1" s="551">
        <v>0</v>
      </c>
    </row>
    <row r="2" spans="1:9">
      <c r="A2" s="551" t="s">
        <v>153</v>
      </c>
      <c r="B2" s="551">
        <v>0</v>
      </c>
      <c r="C2" s="551">
        <v>0</v>
      </c>
      <c r="D2" s="551">
        <v>0</v>
      </c>
      <c r="E2" s="551">
        <v>0</v>
      </c>
      <c r="F2" s="551">
        <v>0</v>
      </c>
      <c r="G2" s="551">
        <v>0</v>
      </c>
      <c r="H2" s="551">
        <v>0</v>
      </c>
      <c r="I2" s="551">
        <v>0</v>
      </c>
    </row>
    <row r="3" spans="1:9">
      <c r="A3" s="552" t="s">
        <v>449</v>
      </c>
      <c r="B3" s="551">
        <v>0</v>
      </c>
      <c r="C3" s="551">
        <v>0</v>
      </c>
      <c r="D3" s="551">
        <v>0</v>
      </c>
      <c r="E3" s="551">
        <v>0</v>
      </c>
      <c r="F3" s="551">
        <v>0</v>
      </c>
      <c r="G3" s="551">
        <v>0</v>
      </c>
      <c r="H3" s="551">
        <v>0</v>
      </c>
      <c r="I3" s="551">
        <v>0</v>
      </c>
    </row>
    <row r="4" spans="1:9">
      <c r="A4" s="235"/>
      <c r="B4" s="91"/>
      <c r="C4" s="91"/>
      <c r="D4" s="91"/>
      <c r="E4" s="91"/>
      <c r="F4" s="235"/>
      <c r="G4" s="235"/>
      <c r="H4" s="235"/>
      <c r="I4" s="235"/>
    </row>
    <row r="5" spans="1:9" ht="92.4">
      <c r="A5" s="92" t="s">
        <v>3</v>
      </c>
      <c r="B5" s="92" t="s">
        <v>154</v>
      </c>
      <c r="C5" s="92" t="s">
        <v>133</v>
      </c>
      <c r="D5" s="93" t="s">
        <v>450</v>
      </c>
      <c r="E5" s="93" t="s">
        <v>451</v>
      </c>
      <c r="F5" s="93" t="s">
        <v>452</v>
      </c>
      <c r="G5" s="93" t="s">
        <v>453</v>
      </c>
      <c r="H5" s="93" t="s">
        <v>155</v>
      </c>
      <c r="I5" s="93" t="s">
        <v>156</v>
      </c>
    </row>
    <row r="6" spans="1:9" ht="39.6">
      <c r="A6" s="94"/>
      <c r="B6" s="95" t="s">
        <v>157</v>
      </c>
      <c r="C6" s="96" t="s">
        <v>158</v>
      </c>
      <c r="D6" s="96" t="s">
        <v>159</v>
      </c>
      <c r="E6" s="96" t="s">
        <v>160</v>
      </c>
      <c r="F6" s="97" t="s">
        <v>161</v>
      </c>
      <c r="G6" s="97" t="s">
        <v>162</v>
      </c>
      <c r="H6" s="96" t="s">
        <v>163</v>
      </c>
      <c r="I6" s="96" t="s">
        <v>164</v>
      </c>
    </row>
    <row r="7" spans="1:9">
      <c r="A7" s="98">
        <v>1</v>
      </c>
      <c r="B7" s="99" t="s">
        <v>15</v>
      </c>
      <c r="C7" s="94"/>
      <c r="D7" s="94"/>
      <c r="E7" s="100"/>
      <c r="F7" s="98"/>
      <c r="G7" s="98"/>
      <c r="H7" s="100"/>
      <c r="I7" s="100"/>
    </row>
    <row r="8" spans="1:9">
      <c r="A8" s="98">
        <v>2</v>
      </c>
      <c r="B8" s="101" t="s">
        <v>15</v>
      </c>
      <c r="C8" s="411">
        <v>7</v>
      </c>
      <c r="D8" s="102">
        <v>10637302000</v>
      </c>
      <c r="E8" s="102">
        <v>1137477000</v>
      </c>
      <c r="F8" s="104">
        <v>3.6039999999999996E-3</v>
      </c>
      <c r="G8" s="104">
        <v>3.4720000000000003E-3</v>
      </c>
      <c r="H8" s="103">
        <v>-1404123.8639999926</v>
      </c>
      <c r="I8" s="105">
        <v>-1.1941719178007449E-3</v>
      </c>
    </row>
    <row r="9" spans="1:9">
      <c r="A9" s="98">
        <v>3</v>
      </c>
      <c r="B9" s="106" t="s">
        <v>165</v>
      </c>
      <c r="C9" s="235"/>
      <c r="D9" s="107">
        <v>10637302000</v>
      </c>
      <c r="E9" s="107">
        <v>1137477000</v>
      </c>
      <c r="F9" s="109">
        <v>3.6039999999999996E-3</v>
      </c>
      <c r="G9" s="109">
        <v>3.4720000000000003E-3</v>
      </c>
      <c r="H9" s="108">
        <v>-1404123.8639999926</v>
      </c>
      <c r="I9" s="110">
        <v>-1.1941719178007449E-3</v>
      </c>
    </row>
    <row r="10" spans="1:9">
      <c r="A10" s="98">
        <v>4</v>
      </c>
      <c r="B10" s="235"/>
      <c r="C10" s="235"/>
      <c r="D10" s="111"/>
      <c r="E10" s="111"/>
      <c r="F10" s="113"/>
      <c r="G10" s="113"/>
      <c r="H10" s="112"/>
      <c r="I10" s="114"/>
    </row>
    <row r="11" spans="1:9">
      <c r="A11" s="98">
        <v>5</v>
      </c>
      <c r="B11" s="235" t="s">
        <v>166</v>
      </c>
      <c r="C11" s="235"/>
      <c r="D11" s="111"/>
      <c r="E11" s="111"/>
      <c r="F11" s="113"/>
      <c r="G11" s="113"/>
      <c r="H11" s="112"/>
      <c r="I11" s="114"/>
    </row>
    <row r="12" spans="1:9">
      <c r="A12" s="98">
        <v>6</v>
      </c>
      <c r="B12" s="115" t="s">
        <v>167</v>
      </c>
      <c r="C12" s="412" t="s">
        <v>146</v>
      </c>
      <c r="D12" s="111">
        <v>3012037000</v>
      </c>
      <c r="E12" s="111">
        <v>313848000</v>
      </c>
      <c r="F12" s="104">
        <v>2.5469999999999998E-3</v>
      </c>
      <c r="G12" s="104">
        <v>2.6289999999999998E-3</v>
      </c>
      <c r="H12" s="112">
        <v>246987.03400000013</v>
      </c>
      <c r="I12" s="114">
        <v>7.6818641619855036E-4</v>
      </c>
    </row>
    <row r="13" spans="1:9">
      <c r="A13" s="98">
        <v>7</v>
      </c>
      <c r="B13" s="115" t="s">
        <v>168</v>
      </c>
      <c r="C13" s="412" t="s">
        <v>169</v>
      </c>
      <c r="D13" s="111">
        <v>2993580000</v>
      </c>
      <c r="E13" s="111">
        <v>288969000</v>
      </c>
      <c r="F13" s="104">
        <v>2.3180000000000002E-3</v>
      </c>
      <c r="G13" s="104">
        <v>2.467E-3</v>
      </c>
      <c r="H13" s="112">
        <v>446043.41999999946</v>
      </c>
      <c r="I13" s="114">
        <v>1.5073713501052245E-3</v>
      </c>
    </row>
    <row r="14" spans="1:9">
      <c r="A14" s="98">
        <v>8</v>
      </c>
      <c r="B14" s="115" t="s">
        <v>170</v>
      </c>
      <c r="C14" s="412" t="s">
        <v>240</v>
      </c>
      <c r="D14" s="111">
        <v>1913788000</v>
      </c>
      <c r="E14" s="111">
        <v>167599000</v>
      </c>
      <c r="F14" s="104">
        <v>2.2060000000000001E-3</v>
      </c>
      <c r="G14" s="104">
        <v>2.2649999999999997E-3</v>
      </c>
      <c r="H14" s="112">
        <v>112913.49199999921</v>
      </c>
      <c r="I14" s="114">
        <v>6.5715839566523335E-4</v>
      </c>
    </row>
    <row r="15" spans="1:9">
      <c r="A15" s="98">
        <v>9</v>
      </c>
      <c r="B15" s="101" t="s">
        <v>171</v>
      </c>
      <c r="C15" s="411">
        <v>29</v>
      </c>
      <c r="D15" s="111">
        <v>16193000</v>
      </c>
      <c r="E15" s="111">
        <v>1272000</v>
      </c>
      <c r="F15" s="104">
        <v>2.3180000000000002E-3</v>
      </c>
      <c r="G15" s="104">
        <v>2.467E-3</v>
      </c>
      <c r="H15" s="112">
        <v>2412.7569999999973</v>
      </c>
      <c r="I15" s="114">
        <v>1.8424527110177914E-3</v>
      </c>
    </row>
    <row r="16" spans="1:9">
      <c r="A16" s="98">
        <v>10</v>
      </c>
      <c r="B16" s="116" t="s">
        <v>17</v>
      </c>
      <c r="C16" s="235"/>
      <c r="D16" s="107">
        <v>7935598000</v>
      </c>
      <c r="E16" s="107">
        <v>771688000</v>
      </c>
      <c r="F16" s="109">
        <v>2.3779088080066557E-3</v>
      </c>
      <c r="G16" s="109">
        <v>2.479773431567476E-3</v>
      </c>
      <c r="H16" s="108">
        <v>808356.70299999882</v>
      </c>
      <c r="I16" s="110">
        <v>1.0225139353831562E-3</v>
      </c>
    </row>
    <row r="17" spans="1:9">
      <c r="A17" s="98">
        <v>11</v>
      </c>
      <c r="B17" s="235"/>
      <c r="C17" s="235"/>
      <c r="D17" s="111"/>
      <c r="E17" s="111"/>
      <c r="F17" s="113"/>
      <c r="G17" s="113"/>
      <c r="H17" s="112"/>
      <c r="I17" s="114"/>
    </row>
    <row r="18" spans="1:9">
      <c r="A18" s="98">
        <v>12</v>
      </c>
      <c r="B18" s="235" t="s">
        <v>172</v>
      </c>
      <c r="C18" s="235"/>
      <c r="D18" s="111"/>
      <c r="E18" s="111"/>
      <c r="F18" s="113"/>
      <c r="G18" s="113"/>
      <c r="H18" s="112"/>
      <c r="I18" s="114"/>
    </row>
    <row r="19" spans="1:9">
      <c r="A19" s="98">
        <v>13</v>
      </c>
      <c r="B19" s="115" t="s">
        <v>173</v>
      </c>
      <c r="C19" s="412" t="s">
        <v>149</v>
      </c>
      <c r="D19" s="111">
        <v>1316672000</v>
      </c>
      <c r="E19" s="111">
        <v>113411000</v>
      </c>
      <c r="F19" s="104">
        <v>2.1980000000000003E-3</v>
      </c>
      <c r="G19" s="113">
        <v>2.2539999999999999E-3</v>
      </c>
      <c r="H19" s="112">
        <v>73733.631999999503</v>
      </c>
      <c r="I19" s="114">
        <v>6.339676147711161E-4</v>
      </c>
    </row>
    <row r="20" spans="1:9">
      <c r="A20" s="98">
        <v>14</v>
      </c>
      <c r="B20" s="101" t="s">
        <v>171</v>
      </c>
      <c r="C20" s="411">
        <v>35</v>
      </c>
      <c r="D20" s="111">
        <v>5161000</v>
      </c>
      <c r="E20" s="111">
        <v>285000</v>
      </c>
      <c r="F20" s="104">
        <v>2.1980000000000003E-3</v>
      </c>
      <c r="G20" s="113">
        <v>2.2539999999999999E-3</v>
      </c>
      <c r="H20" s="112">
        <v>289.01599999999809</v>
      </c>
      <c r="I20" s="114">
        <v>9.7527238271477991E-4</v>
      </c>
    </row>
    <row r="21" spans="1:9">
      <c r="A21" s="98">
        <v>15</v>
      </c>
      <c r="B21" s="101" t="s">
        <v>174</v>
      </c>
      <c r="C21" s="411">
        <v>43</v>
      </c>
      <c r="D21" s="111">
        <v>123190000</v>
      </c>
      <c r="E21" s="111">
        <v>11739000</v>
      </c>
      <c r="F21" s="104">
        <v>3.7650000000000001E-3</v>
      </c>
      <c r="G21" s="113">
        <v>3.2960000000000003E-3</v>
      </c>
      <c r="H21" s="112">
        <v>-57776.109999999979</v>
      </c>
      <c r="I21" s="114">
        <v>-4.7346560622406114E-3</v>
      </c>
    </row>
    <row r="22" spans="1:9">
      <c r="A22" s="98">
        <v>16</v>
      </c>
      <c r="B22" s="106" t="s">
        <v>18</v>
      </c>
      <c r="C22" s="235"/>
      <c r="D22" s="107">
        <v>1445023000</v>
      </c>
      <c r="E22" s="107">
        <v>125435000</v>
      </c>
      <c r="F22" s="109">
        <v>2.3315886902838226E-3</v>
      </c>
      <c r="G22" s="109">
        <v>2.3428317902206403E-3</v>
      </c>
      <c r="H22" s="108">
        <v>16246.537999999528</v>
      </c>
      <c r="I22" s="110">
        <v>1.261336050401399E-4</v>
      </c>
    </row>
    <row r="23" spans="1:9">
      <c r="A23" s="98">
        <v>17</v>
      </c>
      <c r="B23" s="235"/>
      <c r="C23" s="235"/>
      <c r="D23" s="111"/>
      <c r="E23" s="111"/>
      <c r="F23" s="113"/>
      <c r="G23" s="113"/>
      <c r="H23" s="112"/>
      <c r="I23" s="114"/>
    </row>
    <row r="24" spans="1:9">
      <c r="A24" s="98">
        <v>18</v>
      </c>
      <c r="B24" s="235" t="s">
        <v>76</v>
      </c>
      <c r="C24" s="411">
        <v>40</v>
      </c>
      <c r="D24" s="107">
        <v>679072000</v>
      </c>
      <c r="E24" s="107">
        <v>54431000</v>
      </c>
      <c r="F24" s="109">
        <v>2.3499999999999997E-3</v>
      </c>
      <c r="G24" s="109">
        <v>2.104E-3</v>
      </c>
      <c r="H24" s="108">
        <v>-167051.7119999998</v>
      </c>
      <c r="I24" s="110">
        <v>-2.9816383365200891E-3</v>
      </c>
    </row>
    <row r="25" spans="1:9">
      <c r="A25" s="98">
        <v>19</v>
      </c>
      <c r="B25" s="235"/>
      <c r="C25" s="235"/>
      <c r="D25" s="111"/>
      <c r="E25" s="111"/>
      <c r="F25" s="113"/>
      <c r="G25" s="113"/>
      <c r="H25" s="112"/>
      <c r="I25" s="114"/>
    </row>
    <row r="26" spans="1:9">
      <c r="A26" s="98">
        <v>20</v>
      </c>
      <c r="B26" s="235" t="s">
        <v>175</v>
      </c>
      <c r="C26" s="235"/>
      <c r="D26" s="111"/>
      <c r="E26" s="111"/>
      <c r="F26" s="113"/>
      <c r="G26" s="113"/>
      <c r="H26" s="112"/>
      <c r="I26" s="114"/>
    </row>
    <row r="27" spans="1:9">
      <c r="A27" s="98">
        <v>21</v>
      </c>
      <c r="B27" s="115" t="s">
        <v>176</v>
      </c>
      <c r="C27" s="411">
        <v>46</v>
      </c>
      <c r="D27" s="111">
        <v>72776000</v>
      </c>
      <c r="E27" s="111">
        <v>5262000</v>
      </c>
      <c r="F27" s="113">
        <v>1.4659999999999999E-3</v>
      </c>
      <c r="G27" s="113">
        <v>1.6520000000000003E-3</v>
      </c>
      <c r="H27" s="112">
        <v>13536.336000000028</v>
      </c>
      <c r="I27" s="114">
        <v>2.5213482186898003E-3</v>
      </c>
    </row>
    <row r="28" spans="1:9">
      <c r="A28" s="98">
        <v>22</v>
      </c>
      <c r="B28" s="115" t="s">
        <v>173</v>
      </c>
      <c r="C28" s="411">
        <v>49</v>
      </c>
      <c r="D28" s="111">
        <v>584007000</v>
      </c>
      <c r="E28" s="111">
        <v>41754000</v>
      </c>
      <c r="F28" s="113">
        <v>1.4659999999999999E-3</v>
      </c>
      <c r="G28" s="113">
        <v>1.6520000000000003E-3</v>
      </c>
      <c r="H28" s="112">
        <v>108625.30200000023</v>
      </c>
      <c r="I28" s="114">
        <v>2.549282063896984E-3</v>
      </c>
    </row>
    <row r="29" spans="1:9">
      <c r="A29" s="98">
        <v>23</v>
      </c>
      <c r="B29" s="116" t="s">
        <v>19</v>
      </c>
      <c r="C29" s="235"/>
      <c r="D29" s="107">
        <v>656783000</v>
      </c>
      <c r="E29" s="107">
        <v>47016000</v>
      </c>
      <c r="F29" s="109">
        <v>1.4659999999999999E-3</v>
      </c>
      <c r="G29" s="109">
        <v>1.652E-3</v>
      </c>
      <c r="H29" s="108">
        <v>122161.63800000025</v>
      </c>
      <c r="I29" s="110">
        <v>2.546156349882697E-3</v>
      </c>
    </row>
    <row r="30" spans="1:9">
      <c r="A30" s="98">
        <v>24</v>
      </c>
      <c r="B30" s="235"/>
      <c r="C30" s="235"/>
      <c r="D30" s="111"/>
      <c r="E30" s="111"/>
      <c r="F30" s="113"/>
      <c r="G30" s="113"/>
      <c r="H30" s="112"/>
      <c r="I30" s="114"/>
    </row>
    <row r="31" spans="1:9">
      <c r="A31" s="98">
        <v>25</v>
      </c>
      <c r="B31" s="235" t="s">
        <v>177</v>
      </c>
      <c r="C31" s="411" t="s">
        <v>20</v>
      </c>
      <c r="D31" s="107">
        <v>76506000</v>
      </c>
      <c r="E31" s="107">
        <v>19237000</v>
      </c>
      <c r="F31" s="109">
        <v>1.0231000000000001E-2</v>
      </c>
      <c r="G31" s="109">
        <v>9.2829999999999996E-3</v>
      </c>
      <c r="H31" s="108">
        <v>-72527.688000000067</v>
      </c>
      <c r="I31" s="110">
        <v>-3.6228099751880009E-3</v>
      </c>
    </row>
    <row r="32" spans="1:9">
      <c r="A32" s="98">
        <v>26</v>
      </c>
      <c r="B32" s="235"/>
      <c r="C32" s="235"/>
      <c r="D32" s="111"/>
      <c r="E32" s="111"/>
      <c r="F32" s="113"/>
      <c r="G32" s="113"/>
      <c r="H32" s="112"/>
      <c r="I32" s="114"/>
    </row>
    <row r="33" spans="1:9">
      <c r="A33" s="98">
        <v>27</v>
      </c>
      <c r="B33" s="106" t="s">
        <v>178</v>
      </c>
      <c r="C33" s="411" t="s">
        <v>21</v>
      </c>
      <c r="D33" s="107">
        <v>2088697000</v>
      </c>
      <c r="E33" s="107">
        <v>10776000</v>
      </c>
      <c r="F33" s="109">
        <v>2.99E-4</v>
      </c>
      <c r="G33" s="109">
        <v>2.9999999999999997E-5</v>
      </c>
      <c r="H33" s="108">
        <v>-561859.49300000002</v>
      </c>
      <c r="I33" s="110">
        <v>-4.9283670669292338E-2</v>
      </c>
    </row>
    <row r="34" spans="1:9">
      <c r="A34" s="98">
        <v>28</v>
      </c>
      <c r="B34" s="235"/>
      <c r="C34" s="235"/>
      <c r="D34" s="111"/>
      <c r="E34" s="111"/>
      <c r="F34" s="113"/>
      <c r="G34" s="113"/>
      <c r="H34" s="112"/>
      <c r="I34" s="114"/>
    </row>
    <row r="35" spans="1:9" ht="13.8" thickBot="1">
      <c r="A35" s="98">
        <v>29</v>
      </c>
      <c r="B35" s="116" t="s">
        <v>179</v>
      </c>
      <c r="C35" s="235"/>
      <c r="D35" s="117">
        <v>23518981000</v>
      </c>
      <c r="E35" s="117">
        <v>2166060000</v>
      </c>
      <c r="F35" s="119">
        <v>2.7442549675090085E-3</v>
      </c>
      <c r="G35" s="119">
        <v>2.6907323307076947E-3</v>
      </c>
      <c r="H35" s="118">
        <v>-1258797.877999994</v>
      </c>
      <c r="I35" s="120">
        <v>-5.6433098894612718E-4</v>
      </c>
    </row>
    <row r="36" spans="1:9" ht="13.8" thickTop="1"/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3"/>
  <sheetViews>
    <sheetView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8.88671875" defaultRowHeight="13.2"/>
  <cols>
    <col min="1" max="2" width="7.6640625" style="1" bestFit="1" customWidth="1"/>
    <col min="3" max="3" width="21" style="1" bestFit="1" customWidth="1"/>
    <col min="4" max="4" width="15.109375" style="1" bestFit="1" customWidth="1"/>
    <col min="5" max="5" width="10.44140625" style="1" bestFit="1" customWidth="1"/>
    <col min="6" max="6" width="15.109375" style="1" bestFit="1" customWidth="1"/>
    <col min="7" max="7" width="2" style="1" bestFit="1" customWidth="1"/>
    <col min="8" max="8" width="10.88671875" style="1" bestFit="1" customWidth="1"/>
    <col min="9" max="9" width="11.5546875" style="1" bestFit="1" customWidth="1"/>
    <col min="10" max="10" width="2" style="1" bestFit="1" customWidth="1"/>
    <col min="11" max="11" width="12.44140625" style="1" bestFit="1" customWidth="1"/>
    <col min="12" max="13" width="13.33203125" style="1" bestFit="1" customWidth="1"/>
    <col min="14" max="16384" width="8.88671875" style="1"/>
  </cols>
  <sheetData>
    <row r="1" spans="1:12">
      <c r="A1" s="553" t="s">
        <v>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</row>
    <row r="2" spans="1:12">
      <c r="A2" s="554" t="s">
        <v>436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</row>
    <row r="3" spans="1:12">
      <c r="A3" s="553" t="s">
        <v>437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</row>
    <row r="4" spans="1:12">
      <c r="A4" s="553" t="s">
        <v>438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</row>
    <row r="5" spans="1:12">
      <c r="A5" s="553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</row>
    <row r="6" spans="1:12">
      <c r="A6" s="415"/>
      <c r="B6" s="416"/>
      <c r="C6" s="416"/>
      <c r="D6" s="553" t="s">
        <v>439</v>
      </c>
      <c r="E6" s="553"/>
      <c r="F6" s="553"/>
      <c r="G6" s="417"/>
      <c r="H6" s="417"/>
      <c r="I6" s="417"/>
      <c r="J6" s="417"/>
      <c r="K6" s="417"/>
      <c r="L6" s="417"/>
    </row>
    <row r="7" spans="1:12" ht="52.8">
      <c r="A7" s="418" t="s">
        <v>3</v>
      </c>
      <c r="B7" s="418" t="s">
        <v>4</v>
      </c>
      <c r="C7" s="418" t="s">
        <v>41</v>
      </c>
      <c r="D7" s="419" t="s">
        <v>440</v>
      </c>
      <c r="E7" s="420" t="s">
        <v>441</v>
      </c>
      <c r="F7" s="421" t="s">
        <v>5</v>
      </c>
      <c r="G7" s="422"/>
      <c r="H7" s="419" t="s">
        <v>444</v>
      </c>
      <c r="I7" s="419" t="s">
        <v>423</v>
      </c>
      <c r="J7" s="422"/>
      <c r="K7" s="420" t="s">
        <v>445</v>
      </c>
      <c r="L7" s="420" t="s">
        <v>446</v>
      </c>
    </row>
    <row r="8" spans="1:12" ht="39.6">
      <c r="A8" s="418"/>
      <c r="B8" s="418"/>
      <c r="C8" s="418"/>
      <c r="D8" s="423" t="s">
        <v>157</v>
      </c>
      <c r="E8" s="424" t="s">
        <v>158</v>
      </c>
      <c r="F8" s="423" t="s">
        <v>159</v>
      </c>
      <c r="G8" s="423"/>
      <c r="H8" s="423" t="s">
        <v>160</v>
      </c>
      <c r="I8" s="422" t="s">
        <v>161</v>
      </c>
      <c r="J8" s="423"/>
      <c r="K8" s="423" t="s">
        <v>447</v>
      </c>
      <c r="L8" s="423" t="s">
        <v>448</v>
      </c>
    </row>
    <row r="9" spans="1:12">
      <c r="A9" s="416">
        <v>1</v>
      </c>
      <c r="B9" s="416">
        <v>7</v>
      </c>
      <c r="C9" s="417"/>
      <c r="D9" s="425">
        <v>10637302000</v>
      </c>
      <c r="E9" s="426"/>
      <c r="F9" s="427">
        <v>1159444000</v>
      </c>
      <c r="G9" s="422"/>
      <c r="H9" s="428">
        <v>1.201E-3</v>
      </c>
      <c r="I9" s="429">
        <v>-1.237E-3</v>
      </c>
      <c r="J9" s="422"/>
      <c r="K9" s="430">
        <v>12775000</v>
      </c>
      <c r="L9" s="430">
        <v>-13158000</v>
      </c>
    </row>
    <row r="10" spans="1:12">
      <c r="A10" s="416">
        <v>2</v>
      </c>
      <c r="B10" s="415" t="s">
        <v>243</v>
      </c>
      <c r="C10" s="417"/>
      <c r="D10" s="425">
        <v>2067000</v>
      </c>
      <c r="E10" s="426"/>
      <c r="F10" s="427">
        <v>176000</v>
      </c>
      <c r="G10" s="422"/>
      <c r="H10" s="428">
        <v>1.335E-3</v>
      </c>
      <c r="I10" s="429">
        <v>1.408E-3</v>
      </c>
      <c r="J10" s="422"/>
      <c r="K10" s="430">
        <v>3000</v>
      </c>
      <c r="L10" s="430">
        <v>3000</v>
      </c>
    </row>
    <row r="11" spans="1:12">
      <c r="A11" s="416">
        <v>3</v>
      </c>
      <c r="B11" s="416"/>
      <c r="C11" s="417" t="s">
        <v>15</v>
      </c>
      <c r="D11" s="431">
        <v>10639369000</v>
      </c>
      <c r="E11" s="426"/>
      <c r="F11" s="432">
        <v>1159620000</v>
      </c>
      <c r="G11" s="422"/>
      <c r="H11" s="433"/>
      <c r="I11" s="433"/>
      <c r="J11" s="422"/>
      <c r="K11" s="432">
        <v>12778000</v>
      </c>
      <c r="L11" s="432">
        <v>-13155000</v>
      </c>
    </row>
    <row r="12" spans="1:12">
      <c r="A12" s="416">
        <v>4</v>
      </c>
      <c r="B12" s="416"/>
      <c r="C12" s="417"/>
      <c r="D12" s="426"/>
      <c r="E12" s="426"/>
      <c r="F12" s="430"/>
      <c r="G12" s="434"/>
      <c r="H12" s="433"/>
      <c r="I12" s="433"/>
      <c r="J12" s="434"/>
      <c r="K12" s="430"/>
      <c r="L12" s="430"/>
    </row>
    <row r="13" spans="1:12">
      <c r="A13" s="416">
        <v>5</v>
      </c>
      <c r="B13" s="415" t="s">
        <v>442</v>
      </c>
      <c r="C13" s="417"/>
      <c r="D13" s="425">
        <v>253017000</v>
      </c>
      <c r="E13" s="426"/>
      <c r="F13" s="427">
        <v>25376000</v>
      </c>
      <c r="G13" s="434"/>
      <c r="H13" s="428">
        <v>1.335E-3</v>
      </c>
      <c r="I13" s="429">
        <v>1.2509999999999999E-3</v>
      </c>
      <c r="J13" s="434"/>
      <c r="K13" s="430">
        <v>338000</v>
      </c>
      <c r="L13" s="430">
        <v>317000</v>
      </c>
    </row>
    <row r="14" spans="1:12">
      <c r="A14" s="416">
        <v>6</v>
      </c>
      <c r="B14" s="416">
        <v>24</v>
      </c>
      <c r="C14" s="417"/>
      <c r="D14" s="425">
        <v>2759020000</v>
      </c>
      <c r="E14" s="426"/>
      <c r="F14" s="427">
        <v>276708000</v>
      </c>
      <c r="G14" s="434"/>
      <c r="H14" s="428">
        <v>1.335E-3</v>
      </c>
      <c r="I14" s="429">
        <v>1.2509999999999999E-3</v>
      </c>
      <c r="J14" s="434"/>
      <c r="K14" s="430">
        <v>3683000</v>
      </c>
      <c r="L14" s="430">
        <v>3452000</v>
      </c>
    </row>
    <row r="15" spans="1:12">
      <c r="A15" s="416">
        <v>7</v>
      </c>
      <c r="B15" s="415">
        <v>11</v>
      </c>
      <c r="C15" s="417"/>
      <c r="D15" s="425">
        <v>151312000</v>
      </c>
      <c r="E15" s="426"/>
      <c r="F15" s="427">
        <v>14014000</v>
      </c>
      <c r="G15" s="434"/>
      <c r="H15" s="428">
        <v>1.335E-3</v>
      </c>
      <c r="I15" s="429">
        <v>1.408E-3</v>
      </c>
      <c r="J15" s="434"/>
      <c r="K15" s="430">
        <v>202000</v>
      </c>
      <c r="L15" s="430">
        <v>213000</v>
      </c>
    </row>
    <row r="16" spans="1:12">
      <c r="A16" s="416">
        <v>8</v>
      </c>
      <c r="B16" s="415">
        <v>25</v>
      </c>
      <c r="C16" s="417"/>
      <c r="D16" s="425">
        <v>2840201000</v>
      </c>
      <c r="E16" s="426"/>
      <c r="F16" s="427">
        <v>263057000</v>
      </c>
      <c r="G16" s="434"/>
      <c r="H16" s="428">
        <v>1.335E-3</v>
      </c>
      <c r="I16" s="429">
        <v>1.408E-3</v>
      </c>
      <c r="J16" s="434"/>
      <c r="K16" s="430">
        <v>3792000</v>
      </c>
      <c r="L16" s="430">
        <v>3999000</v>
      </c>
    </row>
    <row r="17" spans="1:12">
      <c r="A17" s="416">
        <v>9</v>
      </c>
      <c r="B17" s="416">
        <v>12</v>
      </c>
      <c r="C17" s="417"/>
      <c r="D17" s="425">
        <v>20054000</v>
      </c>
      <c r="E17" s="426"/>
      <c r="F17" s="427"/>
      <c r="G17" s="434"/>
      <c r="H17" s="428">
        <v>0</v>
      </c>
      <c r="I17" s="429">
        <v>8.5000000000000006E-5</v>
      </c>
      <c r="J17" s="434"/>
      <c r="K17" s="430">
        <v>0</v>
      </c>
      <c r="L17" s="430">
        <v>2000</v>
      </c>
    </row>
    <row r="18" spans="1:12">
      <c r="A18" s="416">
        <v>10</v>
      </c>
      <c r="B18" s="415" t="s">
        <v>443</v>
      </c>
      <c r="C18" s="417"/>
      <c r="D18" s="425">
        <v>1893734000</v>
      </c>
      <c r="E18" s="426"/>
      <c r="F18" s="427"/>
      <c r="G18" s="434"/>
      <c r="H18" s="428">
        <v>0</v>
      </c>
      <c r="I18" s="429">
        <v>8.5000000000000006E-5</v>
      </c>
      <c r="J18" s="434"/>
      <c r="K18" s="430">
        <v>0</v>
      </c>
      <c r="L18" s="430">
        <v>161000</v>
      </c>
    </row>
    <row r="19" spans="1:12">
      <c r="A19" s="416">
        <v>11</v>
      </c>
      <c r="B19" s="416">
        <v>12</v>
      </c>
      <c r="C19" s="417"/>
      <c r="D19" s="425"/>
      <c r="E19" s="426">
        <v>47459</v>
      </c>
      <c r="F19" s="427">
        <v>1701000</v>
      </c>
      <c r="G19" s="434"/>
      <c r="H19" s="435">
        <v>-0.17</v>
      </c>
      <c r="I19" s="436">
        <v>-0.06</v>
      </c>
      <c r="J19" s="434"/>
      <c r="K19" s="430">
        <v>-8000</v>
      </c>
      <c r="L19" s="430">
        <v>-3000</v>
      </c>
    </row>
    <row r="20" spans="1:12">
      <c r="A20" s="416">
        <v>12</v>
      </c>
      <c r="B20" s="415" t="s">
        <v>443</v>
      </c>
      <c r="C20" s="417"/>
      <c r="D20" s="425"/>
      <c r="E20" s="426">
        <v>4359242</v>
      </c>
      <c r="F20" s="427">
        <v>160642000</v>
      </c>
      <c r="G20" s="434"/>
      <c r="H20" s="435">
        <v>-0.17</v>
      </c>
      <c r="I20" s="436">
        <v>-0.06</v>
      </c>
      <c r="J20" s="434"/>
      <c r="K20" s="430">
        <v>-741000</v>
      </c>
      <c r="L20" s="430">
        <v>-262000</v>
      </c>
    </row>
    <row r="21" spans="1:12">
      <c r="A21" s="416">
        <v>13</v>
      </c>
      <c r="B21" s="416">
        <v>29</v>
      </c>
      <c r="C21" s="417"/>
      <c r="D21" s="425">
        <v>16193000</v>
      </c>
      <c r="E21" s="426"/>
      <c r="F21" s="427">
        <v>1323000</v>
      </c>
      <c r="G21" s="434"/>
      <c r="H21" s="428">
        <v>1.335E-3</v>
      </c>
      <c r="I21" s="429">
        <v>1.408E-3</v>
      </c>
      <c r="J21" s="434"/>
      <c r="K21" s="430">
        <v>22000</v>
      </c>
      <c r="L21" s="430">
        <v>23000</v>
      </c>
    </row>
    <row r="22" spans="1:12">
      <c r="A22" s="416">
        <v>14</v>
      </c>
      <c r="B22" s="416"/>
      <c r="C22" s="437" t="s">
        <v>17</v>
      </c>
      <c r="D22" s="431">
        <v>7933531000</v>
      </c>
      <c r="E22" s="431">
        <v>4406701</v>
      </c>
      <c r="F22" s="432">
        <v>742821000</v>
      </c>
      <c r="G22" s="434"/>
      <c r="H22" s="433"/>
      <c r="I22" s="433"/>
      <c r="J22" s="434"/>
      <c r="K22" s="432">
        <v>7288000</v>
      </c>
      <c r="L22" s="432">
        <v>7902000</v>
      </c>
    </row>
    <row r="23" spans="1:12">
      <c r="A23" s="416">
        <v>15</v>
      </c>
      <c r="B23" s="416"/>
      <c r="C23" s="417"/>
      <c r="D23" s="426"/>
      <c r="E23" s="426"/>
      <c r="F23" s="430"/>
      <c r="G23" s="434"/>
      <c r="H23" s="433"/>
      <c r="I23" s="433"/>
      <c r="J23" s="434"/>
      <c r="K23" s="430"/>
      <c r="L23" s="430"/>
    </row>
    <row r="24" spans="1:12">
      <c r="A24" s="416">
        <v>16</v>
      </c>
      <c r="B24" s="416">
        <v>10</v>
      </c>
      <c r="C24" s="417"/>
      <c r="D24" s="425">
        <v>30336000</v>
      </c>
      <c r="E24" s="426"/>
      <c r="F24" s="430"/>
      <c r="G24" s="434"/>
      <c r="H24" s="428">
        <v>0</v>
      </c>
      <c r="I24" s="429">
        <v>-5.5999999999999999E-5</v>
      </c>
      <c r="J24" s="434"/>
      <c r="K24" s="430">
        <v>0</v>
      </c>
      <c r="L24" s="430">
        <v>-2000</v>
      </c>
    </row>
    <row r="25" spans="1:12">
      <c r="A25" s="416">
        <v>17</v>
      </c>
      <c r="B25" s="416">
        <v>31</v>
      </c>
      <c r="C25" s="417"/>
      <c r="D25" s="425">
        <v>1286336000</v>
      </c>
      <c r="E25" s="426"/>
      <c r="F25" s="430"/>
      <c r="G25" s="434"/>
      <c r="H25" s="428">
        <v>0</v>
      </c>
      <c r="I25" s="429">
        <v>-5.5999999999999999E-5</v>
      </c>
      <c r="J25" s="434"/>
      <c r="K25" s="430">
        <v>0</v>
      </c>
      <c r="L25" s="430">
        <v>-72000</v>
      </c>
    </row>
    <row r="26" spans="1:12">
      <c r="A26" s="416">
        <v>18</v>
      </c>
      <c r="B26" s="416">
        <v>10</v>
      </c>
      <c r="C26" s="417"/>
      <c r="D26" s="438"/>
      <c r="E26" s="426">
        <v>65163</v>
      </c>
      <c r="F26" s="427">
        <v>2531000</v>
      </c>
      <c r="G26" s="434"/>
      <c r="H26" s="435">
        <v>-0.04</v>
      </c>
      <c r="I26" s="436">
        <v>-0.08</v>
      </c>
      <c r="J26" s="434"/>
      <c r="K26" s="430">
        <v>-3000</v>
      </c>
      <c r="L26" s="430">
        <v>-5000</v>
      </c>
    </row>
    <row r="27" spans="1:12">
      <c r="A27" s="416">
        <v>19</v>
      </c>
      <c r="B27" s="416">
        <v>31</v>
      </c>
      <c r="C27" s="417"/>
      <c r="D27" s="438"/>
      <c r="E27" s="426">
        <v>3173045</v>
      </c>
      <c r="F27" s="427">
        <v>107316000</v>
      </c>
      <c r="G27" s="434"/>
      <c r="H27" s="435">
        <v>-0.04</v>
      </c>
      <c r="I27" s="436">
        <v>-0.08</v>
      </c>
      <c r="J27" s="434"/>
      <c r="K27" s="430">
        <v>-127000</v>
      </c>
      <c r="L27" s="430">
        <v>-254000</v>
      </c>
    </row>
    <row r="28" spans="1:12">
      <c r="A28" s="416">
        <v>20</v>
      </c>
      <c r="B28" s="416">
        <v>35</v>
      </c>
      <c r="C28" s="417"/>
      <c r="D28" s="425">
        <v>5161000</v>
      </c>
      <c r="E28" s="426"/>
      <c r="F28" s="427">
        <v>306000</v>
      </c>
      <c r="G28" s="434"/>
      <c r="H28" s="428">
        <v>1.335E-3</v>
      </c>
      <c r="I28" s="429">
        <v>1.408E-3</v>
      </c>
      <c r="J28" s="434"/>
      <c r="K28" s="430">
        <v>7000</v>
      </c>
      <c r="L28" s="430">
        <v>7000</v>
      </c>
    </row>
    <row r="29" spans="1:12">
      <c r="A29" s="416">
        <v>21</v>
      </c>
      <c r="B29" s="416">
        <v>43</v>
      </c>
      <c r="C29" s="417"/>
      <c r="D29" s="425">
        <v>123190000</v>
      </c>
      <c r="E29" s="426"/>
      <c r="F29" s="427">
        <v>11211000</v>
      </c>
      <c r="G29" s="434"/>
      <c r="H29" s="428">
        <v>1.335E-3</v>
      </c>
      <c r="I29" s="429">
        <v>1.408E-3</v>
      </c>
      <c r="J29" s="434"/>
      <c r="K29" s="430">
        <v>164000</v>
      </c>
      <c r="L29" s="430">
        <v>173000</v>
      </c>
    </row>
    <row r="30" spans="1:12">
      <c r="A30" s="416">
        <v>22</v>
      </c>
      <c r="B30" s="416"/>
      <c r="C30" s="417" t="s">
        <v>18</v>
      </c>
      <c r="D30" s="431">
        <v>1445023000</v>
      </c>
      <c r="E30" s="431">
        <v>3238208</v>
      </c>
      <c r="F30" s="432">
        <v>121364000</v>
      </c>
      <c r="G30" s="434"/>
      <c r="H30" s="433"/>
      <c r="I30" s="433"/>
      <c r="J30" s="434"/>
      <c r="K30" s="432">
        <v>41000</v>
      </c>
      <c r="L30" s="432">
        <v>-153000</v>
      </c>
    </row>
    <row r="31" spans="1:12">
      <c r="A31" s="416">
        <v>23</v>
      </c>
      <c r="B31" s="416"/>
      <c r="C31" s="417"/>
      <c r="D31" s="426"/>
      <c r="E31" s="426"/>
      <c r="F31" s="430"/>
      <c r="G31" s="434"/>
      <c r="H31" s="433"/>
      <c r="I31" s="433"/>
      <c r="J31" s="434"/>
      <c r="K31" s="430"/>
      <c r="L31" s="430"/>
    </row>
    <row r="32" spans="1:12">
      <c r="A32" s="416">
        <v>24</v>
      </c>
      <c r="B32" s="416">
        <v>40</v>
      </c>
      <c r="C32" s="417"/>
      <c r="D32" s="439">
        <v>679072000</v>
      </c>
      <c r="E32" s="426"/>
      <c r="F32" s="427">
        <v>51132000</v>
      </c>
      <c r="G32" s="434"/>
      <c r="H32" s="428">
        <v>1.335E-3</v>
      </c>
      <c r="I32" s="429">
        <v>1.7980000000000001E-3</v>
      </c>
      <c r="J32" s="434"/>
      <c r="K32" s="430">
        <v>907000</v>
      </c>
      <c r="L32" s="430">
        <v>1221000</v>
      </c>
    </row>
    <row r="33" spans="1:13">
      <c r="A33" s="416">
        <v>25</v>
      </c>
      <c r="B33" s="416">
        <v>0</v>
      </c>
      <c r="C33" s="417"/>
      <c r="D33" s="426"/>
      <c r="E33" s="426"/>
      <c r="F33" s="427"/>
      <c r="G33" s="434"/>
      <c r="H33" s="433"/>
      <c r="I33" s="433"/>
      <c r="J33" s="434"/>
      <c r="K33" s="430"/>
      <c r="L33" s="430"/>
    </row>
    <row r="34" spans="1:13">
      <c r="A34" s="416">
        <v>26</v>
      </c>
      <c r="B34" s="416">
        <v>46</v>
      </c>
      <c r="C34" s="417"/>
      <c r="D34" s="425">
        <v>72776000</v>
      </c>
      <c r="E34" s="426"/>
      <c r="F34" s="427">
        <v>4993000</v>
      </c>
      <c r="G34" s="434"/>
      <c r="H34" s="428">
        <v>1.335E-3</v>
      </c>
      <c r="I34" s="429">
        <v>1.323E-3</v>
      </c>
      <c r="J34" s="434"/>
      <c r="K34" s="430">
        <v>97000</v>
      </c>
      <c r="L34" s="430">
        <v>96000</v>
      </c>
    </row>
    <row r="35" spans="1:13">
      <c r="A35" s="416">
        <v>27</v>
      </c>
      <c r="B35" s="416">
        <v>49</v>
      </c>
      <c r="C35" s="417"/>
      <c r="D35" s="425">
        <v>584007000</v>
      </c>
      <c r="E35" s="426"/>
      <c r="F35" s="427">
        <v>39323000</v>
      </c>
      <c r="G35" s="434"/>
      <c r="H35" s="428">
        <v>1.335E-3</v>
      </c>
      <c r="I35" s="429">
        <v>1.323E-3</v>
      </c>
      <c r="J35" s="434"/>
      <c r="K35" s="430">
        <v>780000</v>
      </c>
      <c r="L35" s="430">
        <v>773000</v>
      </c>
    </row>
    <row r="36" spans="1:13">
      <c r="A36" s="416">
        <v>28</v>
      </c>
      <c r="B36" s="416"/>
      <c r="C36" s="417" t="s">
        <v>19</v>
      </c>
      <c r="D36" s="431">
        <v>656783000</v>
      </c>
      <c r="E36" s="426"/>
      <c r="F36" s="432">
        <v>44316000</v>
      </c>
      <c r="G36" s="434"/>
      <c r="H36" s="433"/>
      <c r="I36" s="433"/>
      <c r="J36" s="434"/>
      <c r="K36" s="432">
        <v>877000</v>
      </c>
      <c r="L36" s="432">
        <v>869000</v>
      </c>
    </row>
    <row r="37" spans="1:13">
      <c r="A37" s="416">
        <v>29</v>
      </c>
      <c r="B37" s="416"/>
      <c r="C37" s="417"/>
      <c r="D37" s="426"/>
      <c r="E37" s="426"/>
      <c r="F37" s="430"/>
      <c r="G37" s="434"/>
      <c r="H37" s="440"/>
      <c r="I37" s="440"/>
      <c r="J37" s="434"/>
      <c r="K37" s="430"/>
      <c r="L37" s="430"/>
    </row>
    <row r="38" spans="1:13">
      <c r="A38" s="416">
        <v>30</v>
      </c>
      <c r="B38" s="416" t="s">
        <v>20</v>
      </c>
      <c r="C38" s="417"/>
      <c r="D38" s="439">
        <v>76506000</v>
      </c>
      <c r="E38" s="426"/>
      <c r="F38" s="427">
        <v>18910000</v>
      </c>
      <c r="G38" s="434"/>
      <c r="H38" s="440"/>
      <c r="I38" s="440"/>
      <c r="J38" s="434"/>
      <c r="K38" s="430">
        <v>0</v>
      </c>
      <c r="L38" s="430">
        <v>0</v>
      </c>
    </row>
    <row r="39" spans="1:13">
      <c r="A39" s="416">
        <v>31</v>
      </c>
      <c r="B39" s="416"/>
      <c r="C39" s="417"/>
      <c r="D39" s="426"/>
      <c r="E39" s="426"/>
      <c r="F39" s="427"/>
      <c r="G39" s="434"/>
      <c r="H39" s="440"/>
      <c r="I39" s="440"/>
      <c r="J39" s="434"/>
      <c r="K39" s="430"/>
      <c r="L39" s="430"/>
    </row>
    <row r="40" spans="1:13">
      <c r="A40" s="416">
        <v>32</v>
      </c>
      <c r="B40" s="416" t="s">
        <v>21</v>
      </c>
      <c r="C40" s="417"/>
      <c r="D40" s="439">
        <v>2088697000</v>
      </c>
      <c r="E40" s="426"/>
      <c r="F40" s="427">
        <v>8505000</v>
      </c>
      <c r="G40" s="434"/>
      <c r="H40" s="440"/>
      <c r="I40" s="440"/>
      <c r="J40" s="434"/>
      <c r="K40" s="430">
        <v>0</v>
      </c>
      <c r="L40" s="430">
        <v>0</v>
      </c>
    </row>
    <row r="41" spans="1:13">
      <c r="A41" s="416">
        <v>33</v>
      </c>
      <c r="B41" s="416"/>
      <c r="C41" s="417"/>
      <c r="D41" s="426"/>
      <c r="E41" s="426"/>
      <c r="F41" s="430"/>
      <c r="G41" s="434"/>
      <c r="H41" s="440"/>
      <c r="I41" s="440"/>
      <c r="J41" s="434"/>
      <c r="K41" s="430"/>
      <c r="L41" s="430"/>
    </row>
    <row r="42" spans="1:13" ht="13.8" thickBot="1">
      <c r="A42" s="416">
        <v>34</v>
      </c>
      <c r="B42" s="416"/>
      <c r="C42" s="437" t="s">
        <v>91</v>
      </c>
      <c r="D42" s="441">
        <v>23518981000</v>
      </c>
      <c r="E42" s="441">
        <v>7644909</v>
      </c>
      <c r="F42" s="442">
        <v>2146668000</v>
      </c>
      <c r="G42" s="434"/>
      <c r="H42" s="440"/>
      <c r="I42" s="440"/>
      <c r="J42" s="434"/>
      <c r="K42" s="442">
        <v>21891000</v>
      </c>
      <c r="L42" s="442">
        <v>-3316000</v>
      </c>
      <c r="M42" s="414"/>
    </row>
    <row r="43" spans="1:13" ht="13.8" thickTop="1"/>
  </sheetData>
  <mergeCells count="6">
    <mergeCell ref="D6:F6"/>
    <mergeCell ref="A1:L1"/>
    <mergeCell ref="A2:L2"/>
    <mergeCell ref="A3:L3"/>
    <mergeCell ref="A4:L4"/>
    <mergeCell ref="A5:L5"/>
  </mergeCells>
  <printOptions horizontalCentered="1"/>
  <pageMargins left="0.7" right="0.7" top="0.75" bottom="0.75" header="0.3" footer="0.3"/>
  <pageSetup scale="8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D2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.88671875" defaultRowHeight="13.2"/>
  <cols>
    <col min="1" max="1" width="7.6640625" style="1" bestFit="1" customWidth="1"/>
    <col min="2" max="2" width="8.44140625" style="1" bestFit="1" customWidth="1"/>
    <col min="3" max="3" width="78.44140625" style="1" bestFit="1" customWidth="1"/>
    <col min="4" max="4" width="12.44140625" style="1" bestFit="1" customWidth="1"/>
    <col min="5" max="16384" width="8.88671875" style="1"/>
  </cols>
  <sheetData>
    <row r="1" spans="1:4">
      <c r="A1" s="555" t="s">
        <v>0</v>
      </c>
      <c r="B1" s="555"/>
      <c r="C1" s="555"/>
      <c r="D1" s="555"/>
    </row>
    <row r="2" spans="1:4">
      <c r="A2" s="555" t="s">
        <v>181</v>
      </c>
      <c r="B2" s="555"/>
      <c r="C2" s="555"/>
      <c r="D2" s="555"/>
    </row>
    <row r="3" spans="1:4">
      <c r="A3" s="555" t="s">
        <v>182</v>
      </c>
      <c r="B3" s="555"/>
      <c r="C3" s="555"/>
      <c r="D3" s="555"/>
    </row>
    <row r="4" spans="1:4">
      <c r="A4" s="556" t="s">
        <v>380</v>
      </c>
      <c r="B4" s="555"/>
      <c r="C4" s="555"/>
      <c r="D4" s="555"/>
    </row>
    <row r="5" spans="1:4">
      <c r="A5" s="556" t="s">
        <v>381</v>
      </c>
      <c r="B5" s="555"/>
      <c r="C5" s="555"/>
      <c r="D5" s="555"/>
    </row>
    <row r="6" spans="1:4">
      <c r="A6" s="122"/>
      <c r="B6" s="122"/>
      <c r="C6" s="123"/>
      <c r="D6" s="123"/>
    </row>
    <row r="7" spans="1:4">
      <c r="A7" s="124" t="s">
        <v>3</v>
      </c>
      <c r="B7" s="124"/>
      <c r="C7" s="124" t="s">
        <v>41</v>
      </c>
      <c r="D7" s="125" t="s">
        <v>183</v>
      </c>
    </row>
    <row r="8" spans="1:4">
      <c r="A8" s="126">
        <v>1</v>
      </c>
      <c r="B8" s="122"/>
      <c r="C8" s="127" t="s">
        <v>373</v>
      </c>
      <c r="D8" s="128">
        <v>10907855</v>
      </c>
    </row>
    <row r="9" spans="1:4">
      <c r="A9" s="126">
        <v>2</v>
      </c>
      <c r="B9" s="129"/>
      <c r="C9" s="122"/>
      <c r="D9" s="130"/>
    </row>
    <row r="10" spans="1:4">
      <c r="A10" s="126">
        <v>3</v>
      </c>
      <c r="B10" s="127"/>
      <c r="C10" s="127" t="s">
        <v>374</v>
      </c>
      <c r="D10" s="131">
        <v>75268651.353983968</v>
      </c>
    </row>
    <row r="11" spans="1:4">
      <c r="A11" s="126">
        <v>4</v>
      </c>
      <c r="B11" s="129"/>
      <c r="C11" s="122"/>
      <c r="D11" s="132"/>
    </row>
    <row r="12" spans="1:4">
      <c r="A12" s="126">
        <v>5</v>
      </c>
      <c r="B12" s="129"/>
      <c r="C12" s="133" t="s">
        <v>375</v>
      </c>
      <c r="D12" s="134">
        <v>1827804.9350000001</v>
      </c>
    </row>
    <row r="13" spans="1:4">
      <c r="A13" s="126">
        <v>6</v>
      </c>
      <c r="B13" s="122" t="s">
        <v>184</v>
      </c>
      <c r="C13" s="135" t="s">
        <v>185</v>
      </c>
      <c r="D13" s="136">
        <v>77096456.288983971</v>
      </c>
    </row>
    <row r="14" spans="1:4">
      <c r="A14" s="126">
        <v>7</v>
      </c>
      <c r="B14" s="122"/>
      <c r="C14" s="135"/>
      <c r="D14" s="132"/>
    </row>
    <row r="15" spans="1:4">
      <c r="A15" s="126">
        <v>8</v>
      </c>
      <c r="B15" s="129"/>
      <c r="C15" s="137" t="s">
        <v>186</v>
      </c>
      <c r="D15" s="138">
        <v>0.95437899999999998</v>
      </c>
    </row>
    <row r="16" spans="1:4" ht="13.8" thickBot="1">
      <c r="A16" s="126">
        <v>9</v>
      </c>
      <c r="B16" s="122" t="s">
        <v>187</v>
      </c>
      <c r="C16" s="139" t="s">
        <v>188</v>
      </c>
      <c r="D16" s="140">
        <v>80781802.919997171</v>
      </c>
    </row>
    <row r="17" spans="1:4" ht="13.8" thickTop="1">
      <c r="A17" s="126">
        <v>10</v>
      </c>
      <c r="B17" s="129"/>
      <c r="C17" s="123"/>
      <c r="D17" s="141"/>
    </row>
    <row r="18" spans="1:4" ht="13.8" thickBot="1">
      <c r="A18" s="126">
        <v>11</v>
      </c>
      <c r="B18" s="122" t="s">
        <v>189</v>
      </c>
      <c r="C18" s="127" t="s">
        <v>376</v>
      </c>
      <c r="D18" s="142">
        <v>7.4058380000000005E-3</v>
      </c>
    </row>
    <row r="19" spans="1:4" ht="13.8" thickTop="1">
      <c r="A19" s="126">
        <v>12</v>
      </c>
      <c r="B19" s="129"/>
      <c r="C19" s="123"/>
      <c r="D19" s="141"/>
    </row>
    <row r="20" spans="1:4">
      <c r="A20" s="126">
        <v>13</v>
      </c>
      <c r="B20" s="129"/>
      <c r="C20" s="143" t="s">
        <v>190</v>
      </c>
      <c r="D20" s="141"/>
    </row>
    <row r="21" spans="1:4">
      <c r="A21" s="126">
        <v>14</v>
      </c>
      <c r="B21" s="129"/>
      <c r="C21" s="123" t="s">
        <v>377</v>
      </c>
      <c r="D21" s="141"/>
    </row>
    <row r="22" spans="1:4">
      <c r="A22" s="126">
        <v>15</v>
      </c>
      <c r="B22" s="129"/>
      <c r="C22" s="122" t="s">
        <v>191</v>
      </c>
      <c r="D22" s="141"/>
    </row>
    <row r="23" spans="1:4">
      <c r="A23" s="126">
        <v>16</v>
      </c>
      <c r="B23" s="129"/>
      <c r="C23" s="133" t="s">
        <v>378</v>
      </c>
      <c r="D23" s="144">
        <v>97.419999999999987</v>
      </c>
    </row>
    <row r="24" spans="1:4">
      <c r="A24" s="126">
        <v>17</v>
      </c>
      <c r="B24" s="129"/>
      <c r="C24" s="133" t="s">
        <v>379</v>
      </c>
      <c r="D24" s="144">
        <v>96.859999999999985</v>
      </c>
    </row>
    <row r="25" spans="1:4">
      <c r="A25" s="126">
        <v>18</v>
      </c>
      <c r="B25" s="122" t="s">
        <v>192</v>
      </c>
      <c r="C25" s="133" t="s">
        <v>193</v>
      </c>
      <c r="D25" s="145">
        <v>-0.56000000000000227</v>
      </c>
    </row>
    <row r="26" spans="1:4" ht="13.8" thickBot="1">
      <c r="A26" s="126">
        <v>19</v>
      </c>
      <c r="B26" s="122" t="s">
        <v>194</v>
      </c>
      <c r="C26" s="146" t="s">
        <v>195</v>
      </c>
      <c r="D26" s="400">
        <v>-5.7483063026072916E-3</v>
      </c>
    </row>
    <row r="27" spans="1:4" ht="13.8" thickTop="1">
      <c r="A27" s="123"/>
      <c r="B27" s="129"/>
      <c r="C27" s="123"/>
      <c r="D27" s="123"/>
    </row>
    <row r="28" spans="1:4">
      <c r="A28" s="123"/>
      <c r="B28" s="123"/>
      <c r="C28" s="123"/>
      <c r="D28" s="123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" right="0.7" top="0.75" bottom="0.75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840458-BD22-4521-9C9D-CD0928492F93}"/>
</file>

<file path=customXml/itemProps2.xml><?xml version="1.0" encoding="utf-8"?>
<ds:datastoreItem xmlns:ds="http://schemas.openxmlformats.org/officeDocument/2006/customXml" ds:itemID="{21A2C67C-5EC0-44D2-9CE3-BBE93B9211D8}"/>
</file>

<file path=customXml/itemProps3.xml><?xml version="1.0" encoding="utf-8"?>
<ds:datastoreItem xmlns:ds="http://schemas.openxmlformats.org/officeDocument/2006/customXml" ds:itemID="{C1D2D331-18D1-44FE-9070-2B45A5AFBD30}"/>
</file>

<file path=customXml/itemProps4.xml><?xml version="1.0" encoding="utf-8"?>
<ds:datastoreItem xmlns:ds="http://schemas.openxmlformats.org/officeDocument/2006/customXml" ds:itemID="{4C12071F-C106-4611-9B46-A52631E09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12</vt:i4>
      </vt:variant>
    </vt:vector>
  </HeadingPairs>
  <TitlesOfParts>
    <vt:vector size="44" baseType="lpstr">
      <vt:lpstr>JAP-4 (ERF Impacts)</vt:lpstr>
      <vt:lpstr>TARIFF IMPACTS===&gt;</vt:lpstr>
      <vt:lpstr>JAP-4 Sch 7 Res Impact</vt:lpstr>
      <vt:lpstr>JAP-4 Sch 24 Sec Volt Impact</vt:lpstr>
      <vt:lpstr>JAP-4 Sch 25 Sec Volt Impact</vt:lpstr>
      <vt:lpstr>JAP-4 Sch 26 Sec Volt Impact</vt:lpstr>
      <vt:lpstr>JAP-4 Sch 29 Sec Volt Impact</vt:lpstr>
      <vt:lpstr>JAP-4 Sch 31 Pri Volt Impact</vt:lpstr>
      <vt:lpstr>JAP-4 Sch 46 High Volt Impact</vt:lpstr>
      <vt:lpstr>JAP-4 Sch 49 High Volt Impact</vt:lpstr>
      <vt:lpstr>Proposed Filing 10-2018</vt:lpstr>
      <vt:lpstr>JAP-4 Proposed ERF Rev</vt:lpstr>
      <vt:lpstr>Annualized Rider Revenue</vt:lpstr>
      <vt:lpstr>Sch 95</vt:lpstr>
      <vt:lpstr>Sch 95a</vt:lpstr>
      <vt:lpstr>Sch 120</vt:lpstr>
      <vt:lpstr>Sch 129</vt:lpstr>
      <vt:lpstr>Sch 132</vt:lpstr>
      <vt:lpstr>Sch 137</vt:lpstr>
      <vt:lpstr>Sch 140</vt:lpstr>
      <vt:lpstr>Sch 141</vt:lpstr>
      <vt:lpstr>Sch 142</vt:lpstr>
      <vt:lpstr>Sch 194</vt:lpstr>
      <vt:lpstr>Compliance Filings</vt:lpstr>
      <vt:lpstr>UE-180284 Sch 95A</vt:lpstr>
      <vt:lpstr>UE-180285 Sch 120 </vt:lpstr>
      <vt:lpstr>UE-180739 Sch 129</vt:lpstr>
      <vt:lpstr>UE-171167 Sch 132</vt:lpstr>
      <vt:lpstr>UE-171169 Sch 137</vt:lpstr>
      <vt:lpstr>UE-180257 Sch 140</vt:lpstr>
      <vt:lpstr>UE-180282 Sch 142</vt:lpstr>
      <vt:lpstr>UE-170946 Sch 194</vt:lpstr>
      <vt:lpstr>'JAP-4 (ERF Impacts)'!Print_Area</vt:lpstr>
      <vt:lpstr>'JAP-4 Proposed ERF Rev'!Print_Area</vt:lpstr>
      <vt:lpstr>'JAP-4 Sch 24 Sec Volt Impact'!Print_Area</vt:lpstr>
      <vt:lpstr>'JAP-4 Sch 25 Sec Volt Impact'!Print_Area</vt:lpstr>
      <vt:lpstr>'JAP-4 Sch 26 Sec Volt Impact'!Print_Area</vt:lpstr>
      <vt:lpstr>'JAP-4 Sch 29 Sec Volt Impact'!Print_Area</vt:lpstr>
      <vt:lpstr>'JAP-4 Sch 31 Pri Volt Impact'!Print_Area</vt:lpstr>
      <vt:lpstr>'JAP-4 Sch 46 High Volt Impact'!Print_Area</vt:lpstr>
      <vt:lpstr>'JAP-4 Sch 49 High Volt Impact'!Print_Area</vt:lpstr>
      <vt:lpstr>'JAP-4 Sch 7 Res Impact'!Print_Area</vt:lpstr>
      <vt:lpstr>'JAP-4 (ERF Impacts)'!Print_Titles</vt:lpstr>
      <vt:lpstr>'JAP-4 Proposed ERF Rev'!TABLEA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Pam Rasanen</cp:lastModifiedBy>
  <cp:lastPrinted>2018-10-19T21:57:20Z</cp:lastPrinted>
  <dcterms:created xsi:type="dcterms:W3CDTF">2016-12-27T22:31:24Z</dcterms:created>
  <dcterms:modified xsi:type="dcterms:W3CDTF">2018-11-05T23:56:07Z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