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"/>
    </mc:Choice>
  </mc:AlternateContent>
  <xr:revisionPtr revIDLastSave="0" documentId="8_{BD25AB0D-C315-4DF6-80A2-8D3C66B56C80}" xr6:coauthVersionLast="47" xr6:coauthVersionMax="47" xr10:uidLastSave="{00000000-0000-0000-0000-000000000000}"/>
  <bookViews>
    <workbookView xWindow="28680" yWindow="-120" windowWidth="29040" windowHeight="15840" tabRatio="796" activeTab="12" xr2:uid="{00000000-000D-0000-FFFF-FFFF00000000}"/>
  </bookViews>
  <sheets>
    <sheet name="Pres &amp; Prop Rev" sheetId="1" r:id="rId1"/>
    <sheet name="Rate Design" sheetId="11" r:id="rId2"/>
    <sheet name="RS" sheetId="16" r:id="rId3"/>
    <sheet name="JDM-7 pg 3" sheetId="13" r:id="rId4"/>
    <sheet name="BFG" sheetId="17" state="hidden" r:id="rId5"/>
    <sheet name="JDM-7 pg 2" sheetId="32" r:id="rId6"/>
    <sheet name="ROR" sheetId="31" r:id="rId7"/>
    <sheet name="Rate Spread" sheetId="29" r:id="rId8"/>
    <sheet name="Bill Impact" sheetId="22" r:id="rId9"/>
    <sheet name="Open" sheetId="30" r:id="rId10"/>
    <sheet name="Bill Determ" sheetId="6" r:id="rId11"/>
    <sheet name="Block Usage" sheetId="25" r:id="rId12"/>
    <sheet name="Big Schedules" sheetId="4" r:id="rId13"/>
    <sheet name="12MEJUN23" sheetId="27" r:id="rId14"/>
  </sheets>
  <definedNames>
    <definedName name="Base1_Billing2">'Pres &amp; Prop Rev'!$O$8</definedName>
    <definedName name="_xlnm.Print_Area" localSheetId="13">'12MEJUN23'!$A$3:$P$218</definedName>
    <definedName name="_xlnm.Print_Area" localSheetId="4">BFG!$A$1:$F$19</definedName>
    <definedName name="_xlnm.Print_Area" localSheetId="12">'Big Schedules'!$B$1:$U$112</definedName>
    <definedName name="_xlnm.Print_Area" localSheetId="10">'Bill Determ'!$A$1:$H$55</definedName>
    <definedName name="_xlnm.Print_Area" localSheetId="8">'Bill Impact'!$A$1:$M$49</definedName>
    <definedName name="_xlnm.Print_Area" localSheetId="11">'Block Usage'!$A$1:$O$56</definedName>
    <definedName name="_xlnm.Print_Area" localSheetId="5">'JDM-7 pg 2'!$B$1:$L$20</definedName>
    <definedName name="_xlnm.Print_Area" localSheetId="3">'JDM-7 pg 3'!$A$1:$K$64</definedName>
    <definedName name="_xlnm.Print_Area" localSheetId="0">'Pres &amp; Prop Rev'!$A$1:$J$249</definedName>
    <definedName name="_xlnm.Print_Area" localSheetId="1">'Rate Design'!$A$47:$H$105</definedName>
    <definedName name="_xlnm.Print_Area" localSheetId="7">'Rate Spread'!$A$2:$L$20</definedName>
    <definedName name="_xlnm.Print_Area" localSheetId="2">RS!$A$1:$L$23</definedName>
    <definedName name="PrintHeader" localSheetId="0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0" i="1" l="1"/>
  <c r="I250" i="1"/>
  <c r="I249" i="1"/>
  <c r="E200" i="1"/>
  <c r="E206" i="1" s="1"/>
  <c r="E212" i="1" s="1"/>
  <c r="E218" i="1" s="1"/>
  <c r="E224" i="1" s="1"/>
  <c r="E203" i="1"/>
  <c r="E209" i="1" s="1"/>
  <c r="E215" i="1" s="1"/>
  <c r="E221" i="1" s="1"/>
  <c r="E227" i="1" s="1"/>
  <c r="E204" i="1"/>
  <c r="E210" i="1" s="1"/>
  <c r="E216" i="1" s="1"/>
  <c r="E222" i="1" s="1"/>
  <c r="E228" i="1" s="1"/>
  <c r="I199" i="1"/>
  <c r="F199" i="1"/>
  <c r="E84" i="11"/>
  <c r="E83" i="11"/>
  <c r="E85" i="11"/>
  <c r="E86" i="11"/>
  <c r="D83" i="11"/>
  <c r="H15" i="16" l="1"/>
  <c r="O13" i="13" l="1"/>
  <c r="L19" i="32" l="1"/>
  <c r="L18" i="32"/>
  <c r="L16" i="32"/>
  <c r="I60" i="31" l="1"/>
  <c r="H60" i="31"/>
  <c r="G60" i="31"/>
  <c r="E60" i="31"/>
  <c r="D60" i="31"/>
  <c r="C78" i="31"/>
  <c r="H75" i="31"/>
  <c r="G75" i="31"/>
  <c r="F75" i="31"/>
  <c r="E75" i="31"/>
  <c r="D75" i="31"/>
  <c r="C69" i="31"/>
  <c r="H66" i="31"/>
  <c r="G66" i="31"/>
  <c r="F66" i="31"/>
  <c r="E66" i="31"/>
  <c r="D66" i="31"/>
  <c r="K52" i="31"/>
  <c r="C52" i="31"/>
  <c r="C45" i="31"/>
  <c r="C53" i="31" s="1"/>
  <c r="B43" i="31"/>
  <c r="C35" i="31"/>
  <c r="C27" i="31"/>
  <c r="C31" i="31" s="1"/>
  <c r="C23" i="31"/>
  <c r="Q18" i="31"/>
  <c r="P18" i="31"/>
  <c r="O18" i="31"/>
  <c r="N18" i="31"/>
  <c r="M18" i="31"/>
  <c r="C16" i="31"/>
  <c r="C15" i="31"/>
  <c r="H14" i="31"/>
  <c r="H74" i="31" s="1"/>
  <c r="G14" i="31"/>
  <c r="G74" i="31" s="1"/>
  <c r="F14" i="31"/>
  <c r="F43" i="31" s="1"/>
  <c r="E14" i="31"/>
  <c r="D14" i="31"/>
  <c r="D74" i="31" s="1"/>
  <c r="H12" i="31"/>
  <c r="H19" i="31" s="1"/>
  <c r="H20" i="31" s="1"/>
  <c r="D19" i="32" s="1"/>
  <c r="G12" i="31"/>
  <c r="G19" i="31" s="1"/>
  <c r="G20" i="31" s="1"/>
  <c r="D18" i="32" s="1"/>
  <c r="F12" i="31"/>
  <c r="F19" i="31" s="1"/>
  <c r="F20" i="31" s="1"/>
  <c r="E12" i="31"/>
  <c r="E19" i="31" s="1"/>
  <c r="E20" i="31" s="1"/>
  <c r="D16" i="32" s="1"/>
  <c r="D12" i="31"/>
  <c r="D19" i="31" s="1"/>
  <c r="D20" i="31" s="1"/>
  <c r="D15" i="32" s="1"/>
  <c r="C11" i="31"/>
  <c r="C10" i="31"/>
  <c r="N10" i="31" s="1"/>
  <c r="C8" i="31"/>
  <c r="P8" i="31" s="1"/>
  <c r="C30" i="31" l="1"/>
  <c r="C44" i="31" s="1"/>
  <c r="F74" i="31"/>
  <c r="F65" i="31"/>
  <c r="G43" i="31"/>
  <c r="D26" i="31"/>
  <c r="K37" i="31" s="1"/>
  <c r="O10" i="31"/>
  <c r="C12" i="31"/>
  <c r="C75" i="31"/>
  <c r="C66" i="31"/>
  <c r="M8" i="31"/>
  <c r="Q8" i="31"/>
  <c r="C60" i="31"/>
  <c r="C61" i="31" s="1"/>
  <c r="E74" i="31"/>
  <c r="C74" i="31" s="1"/>
  <c r="E65" i="31"/>
  <c r="E43" i="31"/>
  <c r="C67" i="31"/>
  <c r="C73" i="31"/>
  <c r="N8" i="31"/>
  <c r="P10" i="31"/>
  <c r="D43" i="31"/>
  <c r="H43" i="31"/>
  <c r="G65" i="31"/>
  <c r="O8" i="31"/>
  <c r="M10" i="31"/>
  <c r="Q10" i="31"/>
  <c r="C14" i="31"/>
  <c r="C29" i="31"/>
  <c r="D29" i="31" s="1"/>
  <c r="D65" i="31"/>
  <c r="H65" i="31"/>
  <c r="C64" i="31"/>
  <c r="C76" i="31" l="1"/>
  <c r="G73" i="31"/>
  <c r="F73" i="31"/>
  <c r="D73" i="31"/>
  <c r="E73" i="31"/>
  <c r="H73" i="31"/>
  <c r="C65" i="31"/>
  <c r="G64" i="31"/>
  <c r="H64" i="31"/>
  <c r="F64" i="31"/>
  <c r="D64" i="31"/>
  <c r="E64" i="31"/>
  <c r="C17" i="31"/>
  <c r="C43" i="31"/>
  <c r="I43" i="31" s="1"/>
  <c r="Q17" i="31" l="1"/>
  <c r="M17" i="31"/>
  <c r="P17" i="31"/>
  <c r="O17" i="31"/>
  <c r="N17" i="31"/>
  <c r="C19" i="31"/>
  <c r="C20" i="31" l="1"/>
  <c r="D20" i="32" s="1"/>
  <c r="C32" i="31"/>
  <c r="C63" i="31"/>
  <c r="C68" i="31" l="1"/>
  <c r="E63" i="31"/>
  <c r="H63" i="31"/>
  <c r="D63" i="31"/>
  <c r="G63" i="31"/>
  <c r="F63" i="31"/>
  <c r="G39" i="31"/>
  <c r="C39" i="31"/>
  <c r="D32" i="31"/>
  <c r="F39" i="31"/>
  <c r="C72" i="31"/>
  <c r="E39" i="31"/>
  <c r="H39" i="31"/>
  <c r="C33" i="31"/>
  <c r="C21" i="31"/>
  <c r="F20" i="32" s="1"/>
  <c r="F21" i="31"/>
  <c r="F57" i="31" s="1"/>
  <c r="D21" i="31"/>
  <c r="F15" i="32" s="1"/>
  <c r="E21" i="31"/>
  <c r="H21" i="31"/>
  <c r="G21" i="31"/>
  <c r="G57" i="31" l="1"/>
  <c r="F18" i="32"/>
  <c r="H57" i="31"/>
  <c r="F19" i="32"/>
  <c r="E57" i="31"/>
  <c r="F16" i="32"/>
  <c r="D67" i="31"/>
  <c r="D68" i="31" s="1"/>
  <c r="C77" i="31"/>
  <c r="C79" i="31" s="1"/>
  <c r="E72" i="31"/>
  <c r="H72" i="31"/>
  <c r="D72" i="31"/>
  <c r="G72" i="31"/>
  <c r="F72" i="31"/>
  <c r="G40" i="31"/>
  <c r="G38" i="31"/>
  <c r="J18" i="32" s="1"/>
  <c r="H67" i="31"/>
  <c r="H68" i="31" s="1"/>
  <c r="H83" i="31" s="1"/>
  <c r="E38" i="31"/>
  <c r="J16" i="32" s="1"/>
  <c r="E40" i="31"/>
  <c r="C40" i="31"/>
  <c r="C38" i="31"/>
  <c r="D39" i="31"/>
  <c r="I39" i="31" s="1"/>
  <c r="F40" i="31"/>
  <c r="F41" i="31" s="1"/>
  <c r="F42" i="31" s="1"/>
  <c r="F45" i="31" s="1"/>
  <c r="F38" i="31"/>
  <c r="F67" i="31"/>
  <c r="F68" i="31" s="1"/>
  <c r="E67" i="31"/>
  <c r="E68" i="31" s="1"/>
  <c r="H40" i="31"/>
  <c r="H38" i="31"/>
  <c r="J19" i="32" s="1"/>
  <c r="G67" i="31"/>
  <c r="G68" i="31" s="1"/>
  <c r="C70" i="31"/>
  <c r="C83" i="31"/>
  <c r="C37" i="31" l="1"/>
  <c r="L20" i="32" s="1"/>
  <c r="J20" i="32"/>
  <c r="H70" i="31"/>
  <c r="H90" i="31" s="1"/>
  <c r="D83" i="31"/>
  <c r="D70" i="31"/>
  <c r="D90" i="31" s="1"/>
  <c r="E83" i="31"/>
  <c r="E70" i="31"/>
  <c r="E90" i="31" s="1"/>
  <c r="G83" i="31"/>
  <c r="G70" i="31"/>
  <c r="G90" i="31" s="1"/>
  <c r="F83" i="31"/>
  <c r="F70" i="31"/>
  <c r="F90" i="31" s="1"/>
  <c r="E76" i="31"/>
  <c r="E77" i="31" s="1"/>
  <c r="F53" i="31"/>
  <c r="F61" i="31"/>
  <c r="F49" i="31"/>
  <c r="F46" i="31"/>
  <c r="C41" i="31"/>
  <c r="G76" i="31"/>
  <c r="G77" i="31" s="1"/>
  <c r="F76" i="31"/>
  <c r="F77" i="31" s="1"/>
  <c r="D40" i="31"/>
  <c r="D41" i="31" s="1"/>
  <c r="D42" i="31" s="1"/>
  <c r="D45" i="31" s="1"/>
  <c r="D37" i="31"/>
  <c r="D38" i="31"/>
  <c r="J15" i="32" s="1"/>
  <c r="E41" i="31"/>
  <c r="E42" i="31" s="1"/>
  <c r="E45" i="31" s="1"/>
  <c r="D76" i="31"/>
  <c r="D77" i="31" s="1"/>
  <c r="K70" i="31"/>
  <c r="C90" i="31"/>
  <c r="H41" i="31"/>
  <c r="H42" i="31" s="1"/>
  <c r="H45" i="31" s="1"/>
  <c r="G41" i="31"/>
  <c r="G42" i="31" s="1"/>
  <c r="G45" i="31" s="1"/>
  <c r="H76" i="31"/>
  <c r="H77" i="31" s="1"/>
  <c r="D57" i="31" l="1"/>
  <c r="L15" i="32"/>
  <c r="I40" i="31"/>
  <c r="G79" i="31"/>
  <c r="G81" i="31"/>
  <c r="D79" i="31"/>
  <c r="D81" i="31"/>
  <c r="F81" i="31"/>
  <c r="F79" i="31"/>
  <c r="F91" i="31" s="1"/>
  <c r="E81" i="31"/>
  <c r="E79" i="31"/>
  <c r="H79" i="31"/>
  <c r="H81" i="31"/>
  <c r="H61" i="31"/>
  <c r="H49" i="31"/>
  <c r="H46" i="31"/>
  <c r="H53" i="31"/>
  <c r="D61" i="31"/>
  <c r="D49" i="31"/>
  <c r="D46" i="31"/>
  <c r="D53" i="31"/>
  <c r="I45" i="31"/>
  <c r="I61" i="31" s="1"/>
  <c r="G61" i="31"/>
  <c r="G49" i="31"/>
  <c r="G46" i="31"/>
  <c r="G53" i="31"/>
  <c r="E46" i="31"/>
  <c r="E53" i="31"/>
  <c r="E61" i="31"/>
  <c r="E49" i="31"/>
  <c r="F84" i="31"/>
  <c r="F50" i="31"/>
  <c r="F47" i="31"/>
  <c r="I41" i="31"/>
  <c r="C42" i="31"/>
  <c r="F92" i="31" l="1"/>
  <c r="F94" i="31"/>
  <c r="I42" i="31"/>
  <c r="C46" i="31"/>
  <c r="G91" i="31"/>
  <c r="G84" i="31"/>
  <c r="G47" i="31"/>
  <c r="H18" i="32" s="1"/>
  <c r="G50" i="31"/>
  <c r="D91" i="31"/>
  <c r="D84" i="31"/>
  <c r="D50" i="31"/>
  <c r="D47" i="31"/>
  <c r="H15" i="32" s="1"/>
  <c r="H84" i="31"/>
  <c r="H50" i="31"/>
  <c r="H47" i="31"/>
  <c r="H19" i="32" s="1"/>
  <c r="H91" i="31"/>
  <c r="F87" i="31"/>
  <c r="F85" i="31"/>
  <c r="E84" i="31"/>
  <c r="E50" i="31"/>
  <c r="E47" i="31"/>
  <c r="H16" i="32" s="1"/>
  <c r="E91" i="31"/>
  <c r="C49" i="31"/>
  <c r="C81" i="31"/>
  <c r="C50" i="31" l="1"/>
  <c r="C91" i="31"/>
  <c r="C92" i="31" s="1"/>
  <c r="I46" i="31"/>
  <c r="C84" i="31"/>
  <c r="C85" i="31" s="1"/>
  <c r="C47" i="31"/>
  <c r="H20" i="32" s="1"/>
  <c r="F44" i="31"/>
  <c r="H44" i="31"/>
  <c r="H85" i="31"/>
  <c r="H87" i="31"/>
  <c r="D85" i="31"/>
  <c r="D87" i="31"/>
  <c r="E44" i="31"/>
  <c r="E85" i="31"/>
  <c r="E87" i="31"/>
  <c r="H94" i="31"/>
  <c r="H92" i="31"/>
  <c r="D44" i="31"/>
  <c r="D94" i="31"/>
  <c r="D92" i="31"/>
  <c r="G87" i="31"/>
  <c r="G85" i="31"/>
  <c r="E92" i="31"/>
  <c r="E94" i="31"/>
  <c r="G44" i="31"/>
  <c r="G94" i="31"/>
  <c r="G92" i="31"/>
  <c r="I44" i="31" l="1"/>
  <c r="E27" i="16"/>
  <c r="P15" i="16"/>
  <c r="Q15" i="16" s="1"/>
  <c r="H14" i="16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H56" i="4" l="1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G17" i="11"/>
  <c r="G18" i="11"/>
  <c r="G19" i="11"/>
  <c r="G16" i="11"/>
  <c r="M40" i="16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7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E16" i="11" l="1"/>
  <c r="H17" i="11"/>
  <c r="H18" i="11"/>
  <c r="H19" i="11"/>
  <c r="H20" i="11"/>
  <c r="H16" i="11"/>
  <c r="E17" i="11"/>
  <c r="E18" i="11"/>
  <c r="E19" i="11"/>
  <c r="E20" i="11"/>
  <c r="E15" i="11"/>
  <c r="D17" i="11"/>
  <c r="D16" i="11"/>
  <c r="D26" i="11"/>
  <c r="D14" i="11" l="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5" i="13"/>
  <c r="H54" i="13"/>
  <c r="H53" i="13"/>
  <c r="H52" i="13"/>
  <c r="H51" i="13"/>
  <c r="H42" i="13"/>
  <c r="H45" i="13" s="1"/>
  <c r="H21" i="13"/>
  <c r="H19" i="13"/>
  <c r="H20" i="13" s="1"/>
  <c r="H15" i="13"/>
  <c r="H16" i="13" s="1"/>
  <c r="H43" i="13" l="1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R17" i="30" l="1"/>
  <c r="R16" i="30"/>
  <c r="R15" i="30"/>
  <c r="D22" i="13" l="1"/>
  <c r="D23" i="13"/>
  <c r="R14" i="30" l="1"/>
  <c r="R13" i="30"/>
  <c r="F22" i="13"/>
  <c r="F23" i="13"/>
  <c r="R18" i="30" l="1"/>
  <c r="E22" i="13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F27" i="11"/>
  <c r="E31" i="11" l="1"/>
  <c r="E41" i="11" s="1"/>
  <c r="I14" i="29" l="1"/>
  <c r="I15" i="29"/>
  <c r="I16" i="29"/>
  <c r="I17" i="29"/>
  <c r="I18" i="29"/>
  <c r="P17" i="16" l="1"/>
  <c r="Q17" i="16" s="1"/>
  <c r="I13" i="29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I19" i="29" l="1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8" i="22"/>
  <c r="C8" i="22"/>
  <c r="D68" i="11"/>
  <c r="D78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C42" i="22"/>
  <c r="C43" i="22"/>
  <c r="C44" i="22"/>
  <c r="C45" i="22"/>
  <c r="C46" i="22"/>
  <c r="C47" i="22"/>
  <c r="C48" i="22"/>
  <c r="C49" i="22"/>
  <c r="C40" i="22"/>
  <c r="C41" i="22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B8" i="22" l="1"/>
  <c r="A10" i="22"/>
  <c r="A59" i="22"/>
  <c r="A60" i="22" s="1"/>
  <c r="A61" i="22" s="1"/>
  <c r="A62" i="22" s="1"/>
  <c r="A63" i="22" s="1"/>
  <c r="A64" i="22" s="1"/>
  <c r="A65" i="22" l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B41" i="22"/>
  <c r="B40" i="22"/>
  <c r="B42" i="22"/>
  <c r="B43" i="22"/>
  <c r="B44" i="22"/>
  <c r="B45" i="22"/>
  <c r="B46" i="22"/>
  <c r="B47" i="22"/>
  <c r="B48" i="22"/>
  <c r="B49" i="22"/>
  <c r="B11" i="22"/>
  <c r="B15" i="22"/>
  <c r="C9" i="22"/>
  <c r="C34" i="22"/>
  <c r="C21" i="22"/>
  <c r="C20" i="22"/>
  <c r="C24" i="22"/>
  <c r="C28" i="22"/>
  <c r="C32" i="22"/>
  <c r="C36" i="22"/>
  <c r="C17" i="22"/>
  <c r="C18" i="22"/>
  <c r="C26" i="22"/>
  <c r="C38" i="22"/>
  <c r="C25" i="22"/>
  <c r="C33" i="22"/>
  <c r="C19" i="22"/>
  <c r="C23" i="22"/>
  <c r="C27" i="22"/>
  <c r="C31" i="22"/>
  <c r="C35" i="22"/>
  <c r="C39" i="22"/>
  <c r="C22" i="22"/>
  <c r="C30" i="22"/>
  <c r="C29" i="22"/>
  <c r="C37" i="22"/>
  <c r="C10" i="22"/>
  <c r="B37" i="22"/>
  <c r="B33" i="22"/>
  <c r="B29" i="22"/>
  <c r="B25" i="22"/>
  <c r="B21" i="22"/>
  <c r="B17" i="22"/>
  <c r="B12" i="22"/>
  <c r="B39" i="22"/>
  <c r="B35" i="22"/>
  <c r="B31" i="22"/>
  <c r="B27" i="22"/>
  <c r="B23" i="22"/>
  <c r="B19" i="22"/>
  <c r="B14" i="22"/>
  <c r="B10" i="22"/>
  <c r="B9" i="22"/>
  <c r="B38" i="22"/>
  <c r="B36" i="22"/>
  <c r="B34" i="22"/>
  <c r="B32" i="22"/>
  <c r="B30" i="22"/>
  <c r="B28" i="22"/>
  <c r="B26" i="22"/>
  <c r="B24" i="22"/>
  <c r="B22" i="22"/>
  <c r="B20" i="22"/>
  <c r="B18" i="22"/>
  <c r="B16" i="22"/>
  <c r="B13" i="22"/>
  <c r="A11" i="22"/>
  <c r="C11" i="22" s="1"/>
  <c r="E9" i="22" l="1"/>
  <c r="E10" i="22"/>
  <c r="A12" i="22"/>
  <c r="C12" i="22" s="1"/>
  <c r="E11" i="22"/>
  <c r="E12" i="22" l="1"/>
  <c r="C13" i="22"/>
  <c r="A14" i="22" l="1"/>
  <c r="C14" i="22" s="1"/>
  <c r="E13" i="22"/>
  <c r="E14" i="22" l="1"/>
  <c r="A16" i="22"/>
  <c r="C16" i="22" s="1"/>
  <c r="A17" i="22" l="1"/>
  <c r="D17" i="22" s="1"/>
  <c r="E17" i="22" s="1"/>
  <c r="E16" i="22"/>
  <c r="A18" i="22" l="1"/>
  <c r="D18" i="22" s="1"/>
  <c r="N89" i="11"/>
  <c r="L89" i="11"/>
  <c r="A19" i="22" l="1"/>
  <c r="D19" i="22" s="1"/>
  <c r="E18" i="22"/>
  <c r="A20" i="22" l="1"/>
  <c r="D20" i="22" s="1"/>
  <c r="E19" i="22"/>
  <c r="A21" i="22" l="1"/>
  <c r="D21" i="22" s="1"/>
  <c r="E20" i="22"/>
  <c r="I44" i="4"/>
  <c r="I56" i="4" s="1"/>
  <c r="A22" i="22" l="1"/>
  <c r="D22" i="22" s="1"/>
  <c r="E21" i="22"/>
  <c r="O67" i="4"/>
  <c r="A23" i="22" l="1"/>
  <c r="D23" i="22" s="1"/>
  <c r="E22" i="22"/>
  <c r="A24" i="22" l="1"/>
  <c r="D24" i="22" s="1"/>
  <c r="E23" i="22"/>
  <c r="O62" i="4"/>
  <c r="Q62" i="4"/>
  <c r="A25" i="22" l="1"/>
  <c r="D25" i="22" s="1"/>
  <c r="E24" i="22"/>
  <c r="O65" i="4"/>
  <c r="R62" i="4"/>
  <c r="S62" i="4" s="1"/>
  <c r="A26" i="22" l="1"/>
  <c r="D26" i="22" s="1"/>
  <c r="E25" i="22"/>
  <c r="T62" i="4"/>
  <c r="U62" i="4" s="1"/>
  <c r="A27" i="22" l="1"/>
  <c r="D27" i="22" s="1"/>
  <c r="E26" i="22"/>
  <c r="A28" i="22" l="1"/>
  <c r="D28" i="22" s="1"/>
  <c r="E27" i="22"/>
  <c r="A29" i="22" l="1"/>
  <c r="D29" i="22" s="1"/>
  <c r="E28" i="22"/>
  <c r="A30" i="22" l="1"/>
  <c r="D30" i="22" s="1"/>
  <c r="E29" i="22"/>
  <c r="O66" i="4"/>
  <c r="H35" i="16" a="1"/>
  <c r="A31" i="22" l="1"/>
  <c r="D31" i="22" s="1"/>
  <c r="E30" i="22"/>
  <c r="A32" i="22" l="1"/>
  <c r="D32" i="22" s="1"/>
  <c r="E31" i="22"/>
  <c r="E110" i="4"/>
  <c r="A33" i="22" l="1"/>
  <c r="D33" i="22" s="1"/>
  <c r="E32" i="22"/>
  <c r="D44" i="4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A34" i="22"/>
  <c r="D34" i="22" s="1"/>
  <c r="E33" i="22"/>
  <c r="H25" i="6" l="1"/>
  <c r="A35" i="22"/>
  <c r="D35" i="22" s="1"/>
  <c r="E34" i="22"/>
  <c r="N11" i="11"/>
  <c r="A36" i="22" l="1"/>
  <c r="D36" i="22" s="1"/>
  <c r="E35" i="22"/>
  <c r="A37" i="22" l="1"/>
  <c r="D37" i="22" s="1"/>
  <c r="E36" i="22"/>
  <c r="A38" i="22" l="1"/>
  <c r="E37" i="22"/>
  <c r="F70" i="11"/>
  <c r="F85" i="11" s="1"/>
  <c r="D38" i="22" l="1"/>
  <c r="E38" i="22" s="1"/>
  <c r="A39" i="22"/>
  <c r="O115" i="4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D39" i="22"/>
  <c r="E39" i="22" s="1"/>
  <c r="A40" i="22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A41" i="22" l="1"/>
  <c r="D40" i="22"/>
  <c r="E40" i="22" s="1"/>
  <c r="O70" i="4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A42" i="22"/>
  <c r="D41" i="22"/>
  <c r="E41" i="22" s="1"/>
  <c r="S63" i="4"/>
  <c r="E9" i="1" l="1"/>
  <c r="E32" i="1"/>
  <c r="A43" i="22"/>
  <c r="D42" i="22"/>
  <c r="E42" i="22" s="1"/>
  <c r="U2" i="4"/>
  <c r="T2" i="4"/>
  <c r="S2" i="4"/>
  <c r="R2" i="4"/>
  <c r="A44" i="22" l="1"/>
  <c r="D43" i="22"/>
  <c r="E43" i="22" s="1"/>
  <c r="B54" i="6"/>
  <c r="L51" i="6" s="1"/>
  <c r="C52" i="6"/>
  <c r="I10" i="1"/>
  <c r="I25" i="1" l="1"/>
  <c r="I106" i="1" s="1"/>
  <c r="A45" i="22"/>
  <c r="D44" i="22"/>
  <c r="E44" i="22" s="1"/>
  <c r="A46" i="22" l="1"/>
  <c r="D45" i="22"/>
  <c r="E45" i="22" s="1"/>
  <c r="A47" i="22" l="1"/>
  <c r="D46" i="22"/>
  <c r="E46" i="22" s="1"/>
  <c r="D55" i="13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A48" i="22"/>
  <c r="D47" i="22"/>
  <c r="E47" i="22" s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A49" i="22"/>
  <c r="D49" i="22" s="1"/>
  <c r="E49" i="22" s="1"/>
  <c r="D48" i="22"/>
  <c r="E48" i="22" s="1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D69" i="11"/>
  <c r="D79" i="11" s="1"/>
  <c r="H68" i="11"/>
  <c r="G68" i="11"/>
  <c r="F68" i="11"/>
  <c r="E68" i="11"/>
  <c r="E78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D77" i="11" l="1"/>
  <c r="D82" i="11" s="1"/>
  <c r="D28" i="11" s="1"/>
  <c r="D38" i="11" s="1"/>
  <c r="F83" i="11"/>
  <c r="J83" i="11" s="1"/>
  <c r="E29" i="11"/>
  <c r="E39" i="11" s="1"/>
  <c r="G8" i="22"/>
  <c r="G47" i="22" s="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E40" i="11" s="1"/>
  <c r="G34" i="22"/>
  <c r="G46" i="22"/>
  <c r="J82" i="11"/>
  <c r="P94" i="11"/>
  <c r="P95" i="11" s="1"/>
  <c r="P96" i="11" s="1"/>
  <c r="P90" i="11"/>
  <c r="O90" i="11"/>
  <c r="M94" i="11"/>
  <c r="G9" i="22"/>
  <c r="G13" i="22"/>
  <c r="G35" i="22"/>
  <c r="G11" i="22"/>
  <c r="G15" i="22"/>
  <c r="G40" i="22"/>
  <c r="G24" i="22"/>
  <c r="G19" i="22"/>
  <c r="G25" i="22"/>
  <c r="G41" i="22"/>
  <c r="G30" i="22"/>
  <c r="G14" i="22"/>
  <c r="G31" i="22"/>
  <c r="G20" i="22"/>
  <c r="G36" i="22"/>
  <c r="G21" i="22"/>
  <c r="G37" i="22"/>
  <c r="G48" i="22"/>
  <c r="G49" i="22"/>
  <c r="G43" i="22"/>
  <c r="G26" i="22"/>
  <c r="G10" i="22"/>
  <c r="G27" i="22"/>
  <c r="G16" i="22"/>
  <c r="G32" i="22"/>
  <c r="G17" i="22"/>
  <c r="G33" i="22"/>
  <c r="G42" i="22"/>
  <c r="G45" i="22"/>
  <c r="G22" i="22"/>
  <c r="G38" i="22"/>
  <c r="G23" i="22"/>
  <c r="G39" i="22"/>
  <c r="G28" i="22"/>
  <c r="G12" i="22"/>
  <c r="G29" i="22"/>
  <c r="G18" i="22"/>
  <c r="G44" i="22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B57" i="22"/>
  <c r="I57" i="22"/>
  <c r="E36" i="13"/>
  <c r="G84" i="11"/>
  <c r="G30" i="11" s="1"/>
  <c r="G40" i="11" s="1"/>
  <c r="G83" i="11"/>
  <c r="G29" i="11" s="1"/>
  <c r="G3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39" i="11" s="1"/>
  <c r="H28" i="11"/>
  <c r="H38" i="11" s="1"/>
  <c r="K82" i="11"/>
  <c r="H30" i="11"/>
  <c r="H40" i="11" s="1"/>
  <c r="K84" i="11"/>
  <c r="G81" i="11"/>
  <c r="G86" i="11" s="1"/>
  <c r="G28" i="11"/>
  <c r="G38" i="11" s="1"/>
  <c r="E32" i="11"/>
  <c r="E42" i="11" s="1"/>
  <c r="L110" i="11"/>
  <c r="D81" i="11"/>
  <c r="H80" i="11" s="1"/>
  <c r="J13" i="13"/>
  <c r="G13" i="13" s="1"/>
  <c r="L13" i="13"/>
  <c r="K23" i="13" l="1"/>
  <c r="B93" i="22"/>
  <c r="O94" i="11"/>
  <c r="O95" i="11" s="1"/>
  <c r="M95" i="11"/>
  <c r="M96" i="11" s="1"/>
  <c r="E30" i="13"/>
  <c r="B68" i="22"/>
  <c r="B77" i="22"/>
  <c r="B58" i="22"/>
  <c r="B84" i="22"/>
  <c r="B66" i="22"/>
  <c r="B59" i="22"/>
  <c r="B82" i="22"/>
  <c r="B75" i="22"/>
  <c r="B62" i="22"/>
  <c r="B78" i="22"/>
  <c r="B64" i="22"/>
  <c r="B80" i="22"/>
  <c r="B87" i="22"/>
  <c r="B79" i="22"/>
  <c r="B63" i="22"/>
  <c r="B81" i="22"/>
  <c r="B65" i="22"/>
  <c r="B61" i="22"/>
  <c r="B74" i="22"/>
  <c r="B90" i="22"/>
  <c r="B76" i="22"/>
  <c r="B92" i="22"/>
  <c r="B83" i="22"/>
  <c r="B67" i="22"/>
  <c r="B85" i="22"/>
  <c r="B69" i="22"/>
  <c r="B70" i="22"/>
  <c r="B86" i="22"/>
  <c r="B72" i="22"/>
  <c r="B88" i="22"/>
  <c r="B91" i="22"/>
  <c r="B71" i="22"/>
  <c r="B89" i="22"/>
  <c r="B73" i="22"/>
  <c r="B60" i="22"/>
  <c r="AB31" i="13"/>
  <c r="I93" i="22"/>
  <c r="I91" i="22"/>
  <c r="I81" i="22"/>
  <c r="I88" i="22"/>
  <c r="I85" i="22"/>
  <c r="I83" i="22"/>
  <c r="I79" i="22"/>
  <c r="I80" i="22"/>
  <c r="I78" i="22"/>
  <c r="I89" i="22"/>
  <c r="I92" i="22"/>
  <c r="I87" i="22"/>
  <c r="I86" i="22"/>
  <c r="I84" i="22"/>
  <c r="I82" i="22"/>
  <c r="I90" i="22"/>
  <c r="J57" i="22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H42" i="11" s="1"/>
  <c r="K86" i="11"/>
  <c r="H37" i="11"/>
  <c r="G37" i="11" s="1"/>
  <c r="G32" i="11"/>
  <c r="G85" i="11"/>
  <c r="H85" i="11"/>
  <c r="F178" i="1"/>
  <c r="E178" i="1"/>
  <c r="E182" i="1" s="1"/>
  <c r="D178" i="1"/>
  <c r="X5" i="4" l="1"/>
  <c r="X26" i="4"/>
  <c r="X28" i="4"/>
  <c r="X13" i="4"/>
  <c r="X16" i="4"/>
  <c r="X85" i="4"/>
  <c r="J20" i="13"/>
  <c r="N20" i="13" s="1"/>
  <c r="L23" i="13"/>
  <c r="G23" i="13"/>
  <c r="K22" i="13"/>
  <c r="M44" i="13"/>
  <c r="M20" i="13"/>
  <c r="L51" i="13"/>
  <c r="K26" i="13"/>
  <c r="J109" i="11"/>
  <c r="K15" i="13"/>
  <c r="C57" i="22"/>
  <c r="G52" i="13"/>
  <c r="L53" i="13"/>
  <c r="G53" i="13"/>
  <c r="G51" i="13"/>
  <c r="H57" i="22"/>
  <c r="L109" i="11"/>
  <c r="L113" i="11"/>
  <c r="L42" i="13"/>
  <c r="G42" i="13"/>
  <c r="L43" i="13"/>
  <c r="G43" i="13"/>
  <c r="K46" i="13" s="1"/>
  <c r="L44" i="13"/>
  <c r="L21" i="13"/>
  <c r="G21" i="13"/>
  <c r="D29" i="11"/>
  <c r="D39" i="11" s="1"/>
  <c r="L31" i="13"/>
  <c r="L32" i="13"/>
  <c r="L91" i="11"/>
  <c r="J67" i="11"/>
  <c r="L52" i="13"/>
  <c r="G31" i="11"/>
  <c r="G41" i="11" s="1"/>
  <c r="K55" i="13"/>
  <c r="AB34" i="13"/>
  <c r="C178" i="1"/>
  <c r="H31" i="11"/>
  <c r="H41" i="11" s="1"/>
  <c r="K85" i="11"/>
  <c r="J85" i="11"/>
  <c r="F182" i="1"/>
  <c r="D174" i="1"/>
  <c r="D182" i="1" s="1"/>
  <c r="J44" i="13" l="1"/>
  <c r="N44" i="13" s="1"/>
  <c r="J52" i="13"/>
  <c r="N52" i="13" s="1"/>
  <c r="J42" i="13"/>
  <c r="J23" i="13"/>
  <c r="N23" i="13" s="1"/>
  <c r="J21" i="13"/>
  <c r="N21" i="13" s="1"/>
  <c r="J51" i="13"/>
  <c r="N51" i="13" s="1"/>
  <c r="L46" i="13"/>
  <c r="J43" i="13"/>
  <c r="J53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C64" i="22"/>
  <c r="E64" i="22" s="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C58" i="22"/>
  <c r="E58" i="22" s="1"/>
  <c r="C74" i="22"/>
  <c r="C63" i="22"/>
  <c r="E63" i="22" s="1"/>
  <c r="C85" i="22"/>
  <c r="C86" i="22"/>
  <c r="I32" i="11"/>
  <c r="C79" i="22"/>
  <c r="C88" i="22"/>
  <c r="C65" i="22"/>
  <c r="C72" i="22"/>
  <c r="C75" i="22"/>
  <c r="C59" i="22"/>
  <c r="E59" i="22" s="1"/>
  <c r="C78" i="22"/>
  <c r="C91" i="22"/>
  <c r="C71" i="22"/>
  <c r="C61" i="22"/>
  <c r="E61" i="22" s="1"/>
  <c r="C82" i="22"/>
  <c r="C66" i="22"/>
  <c r="C83" i="22"/>
  <c r="C69" i="22"/>
  <c r="C60" i="22"/>
  <c r="E60" i="22" s="1"/>
  <c r="C90" i="22"/>
  <c r="C80" i="22"/>
  <c r="C70" i="22"/>
  <c r="C87" i="22"/>
  <c r="C77" i="22"/>
  <c r="C67" i="22"/>
  <c r="C93" i="22"/>
  <c r="C62" i="22"/>
  <c r="E62" i="22" s="1"/>
  <c r="C92" i="22"/>
  <c r="C84" i="22"/>
  <c r="C76" i="22"/>
  <c r="C68" i="22"/>
  <c r="C89" i="22"/>
  <c r="C81" i="22"/>
  <c r="C73" i="22"/>
  <c r="AB33" i="13"/>
  <c r="H58" i="22"/>
  <c r="H93" i="22"/>
  <c r="L55" i="13"/>
  <c r="G55" i="13"/>
  <c r="I31" i="11"/>
  <c r="H76" i="22"/>
  <c r="H79" i="22"/>
  <c r="H71" i="22"/>
  <c r="H92" i="22"/>
  <c r="H66" i="22"/>
  <c r="H85" i="22"/>
  <c r="H77" i="22"/>
  <c r="H61" i="22"/>
  <c r="H83" i="22"/>
  <c r="H75" i="22"/>
  <c r="H59" i="22"/>
  <c r="H72" i="22"/>
  <c r="H89" i="22"/>
  <c r="H70" i="22"/>
  <c r="H65" i="22"/>
  <c r="H82" i="22"/>
  <c r="H62" i="22"/>
  <c r="H64" i="22"/>
  <c r="H63" i="22"/>
  <c r="H84" i="22"/>
  <c r="H78" i="22"/>
  <c r="H69" i="22"/>
  <c r="H86" i="22"/>
  <c r="H68" i="22"/>
  <c r="H74" i="22"/>
  <c r="H67" i="22"/>
  <c r="H88" i="22"/>
  <c r="H60" i="22"/>
  <c r="H81" i="22"/>
  <c r="H73" i="22"/>
  <c r="H90" i="22"/>
  <c r="H91" i="22"/>
  <c r="H87" i="22"/>
  <c r="H80" i="22"/>
  <c r="L112" i="11"/>
  <c r="L34" i="13"/>
  <c r="J110" i="11"/>
  <c r="D121" i="11" s="1"/>
  <c r="E121" i="11" s="1"/>
  <c r="F121" i="11" s="1"/>
  <c r="D57" i="22"/>
  <c r="K45" i="13"/>
  <c r="K54" i="13"/>
  <c r="C174" i="1"/>
  <c r="C182" i="1" s="1"/>
  <c r="Z10" i="4" l="1"/>
  <c r="AA10" i="4" s="1"/>
  <c r="Z31" i="4"/>
  <c r="AA31" i="4" s="1"/>
  <c r="Z11" i="4"/>
  <c r="AA11" i="4" s="1"/>
  <c r="Z34" i="4"/>
  <c r="AA34" i="4" s="1"/>
  <c r="Z32" i="4"/>
  <c r="AA32" i="4" s="1"/>
  <c r="Z23" i="4"/>
  <c r="AA23" i="4" s="1"/>
  <c r="Z6" i="4"/>
  <c r="AA6" i="4" s="1"/>
  <c r="Z18" i="4"/>
  <c r="AA18" i="4" s="1"/>
  <c r="Z52" i="4"/>
  <c r="AA52" i="4" s="1"/>
  <c r="Z21" i="4"/>
  <c r="AA21" i="4" s="1"/>
  <c r="Z9" i="4"/>
  <c r="AA9" i="4" s="1"/>
  <c r="Z8" i="4"/>
  <c r="AA8" i="4" s="1"/>
  <c r="Z5" i="4"/>
  <c r="Z29" i="4"/>
  <c r="AA29" i="4" s="1"/>
  <c r="Z27" i="4"/>
  <c r="AA27" i="4" s="1"/>
  <c r="Z35" i="4"/>
  <c r="AA35" i="4" s="1"/>
  <c r="Z30" i="4"/>
  <c r="AA30" i="4" s="1"/>
  <c r="Z20" i="4"/>
  <c r="AA20" i="4" s="1"/>
  <c r="Z13" i="4"/>
  <c r="AA13" i="4" s="1"/>
  <c r="Z38" i="4"/>
  <c r="AA38" i="4" s="1"/>
  <c r="Z33" i="4"/>
  <c r="AA33" i="4" s="1"/>
  <c r="Z17" i="4"/>
  <c r="AA17" i="4" s="1"/>
  <c r="Z12" i="4"/>
  <c r="AA12" i="4" s="1"/>
  <c r="Z28" i="4"/>
  <c r="AA28" i="4" s="1"/>
  <c r="Z19" i="4"/>
  <c r="AA19" i="4" s="1"/>
  <c r="Z36" i="4"/>
  <c r="AA36" i="4" s="1"/>
  <c r="Z39" i="4"/>
  <c r="AA39" i="4" s="1"/>
  <c r="Z25" i="4"/>
  <c r="AA25" i="4" s="1"/>
  <c r="Z37" i="4"/>
  <c r="AA37" i="4" s="1"/>
  <c r="Z14" i="4"/>
  <c r="AA14" i="4" s="1"/>
  <c r="Z7" i="4"/>
  <c r="AA7" i="4" s="1"/>
  <c r="Z24" i="4"/>
  <c r="AA24" i="4" s="1"/>
  <c r="Z15" i="4"/>
  <c r="AA15" i="4" s="1"/>
  <c r="Z22" i="4"/>
  <c r="AA22" i="4" s="1"/>
  <c r="Z26" i="4"/>
  <c r="AA26" i="4" s="1"/>
  <c r="Z16" i="4"/>
  <c r="AA16" i="4" s="1"/>
  <c r="AB44" i="13"/>
  <c r="N43" i="13"/>
  <c r="Z85" i="4"/>
  <c r="AA85" i="4" s="1"/>
  <c r="N42" i="13"/>
  <c r="AB42" i="13"/>
  <c r="J22" i="13"/>
  <c r="N22" i="13" s="1"/>
  <c r="N53" i="13"/>
  <c r="J55" i="13"/>
  <c r="S55" i="13"/>
  <c r="M22" i="13"/>
  <c r="AB43" i="13"/>
  <c r="AB21" i="13"/>
  <c r="D93" i="22"/>
  <c r="E93" i="22" s="1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D67" i="22"/>
  <c r="E67" i="22" s="1"/>
  <c r="D71" i="22"/>
  <c r="E71" i="22" s="1"/>
  <c r="D75" i="22"/>
  <c r="E75" i="22" s="1"/>
  <c r="D79" i="22"/>
  <c r="E79" i="22" s="1"/>
  <c r="D83" i="22"/>
  <c r="E83" i="22" s="1"/>
  <c r="D87" i="22"/>
  <c r="E87" i="22" s="1"/>
  <c r="D91" i="22"/>
  <c r="E91" i="22" s="1"/>
  <c r="D66" i="22"/>
  <c r="E66" i="22" s="1"/>
  <c r="D70" i="22"/>
  <c r="E70" i="22" s="1"/>
  <c r="D74" i="22"/>
  <c r="E74" i="22" s="1"/>
  <c r="D78" i="22"/>
  <c r="E78" i="22" s="1"/>
  <c r="D82" i="22"/>
  <c r="E82" i="22" s="1"/>
  <c r="D86" i="22"/>
  <c r="E86" i="22" s="1"/>
  <c r="D90" i="22"/>
  <c r="E90" i="22" s="1"/>
  <c r="D69" i="22"/>
  <c r="E69" i="22" s="1"/>
  <c r="D73" i="22"/>
  <c r="E73" i="22" s="1"/>
  <c r="D77" i="22"/>
  <c r="E77" i="22" s="1"/>
  <c r="D81" i="22"/>
  <c r="E81" i="22" s="1"/>
  <c r="D85" i="22"/>
  <c r="E85" i="22" s="1"/>
  <c r="D89" i="22"/>
  <c r="E89" i="22" s="1"/>
  <c r="D65" i="22"/>
  <c r="E65" i="22" s="1"/>
  <c r="D68" i="22"/>
  <c r="E68" i="22" s="1"/>
  <c r="D72" i="22"/>
  <c r="E72" i="22" s="1"/>
  <c r="D76" i="22"/>
  <c r="E76" i="22" s="1"/>
  <c r="D80" i="22"/>
  <c r="E80" i="22" s="1"/>
  <c r="D84" i="22"/>
  <c r="E84" i="22" s="1"/>
  <c r="D88" i="22"/>
  <c r="E88" i="22" s="1"/>
  <c r="D92" i="22"/>
  <c r="E92" i="22" s="1"/>
  <c r="L33" i="13"/>
  <c r="J156" i="1"/>
  <c r="I156" i="1"/>
  <c r="N55" i="13" l="1"/>
  <c r="J54" i="13"/>
  <c r="N54" i="13" s="1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 l="1"/>
  <c r="I8" i="22"/>
  <c r="I39" i="22" s="1"/>
  <c r="F134" i="1"/>
  <c r="E134" i="1"/>
  <c r="E21" i="1" s="1"/>
  <c r="D134" i="1"/>
  <c r="D21" i="1" s="1"/>
  <c r="C130" i="1"/>
  <c r="I31" i="22" l="1"/>
  <c r="I32" i="22"/>
  <c r="I38" i="22"/>
  <c r="I47" i="22"/>
  <c r="I20" i="22"/>
  <c r="I24" i="22"/>
  <c r="I28" i="22"/>
  <c r="I42" i="22"/>
  <c r="I33" i="22"/>
  <c r="I41" i="22"/>
  <c r="I29" i="22"/>
  <c r="I26" i="22"/>
  <c r="I22" i="22"/>
  <c r="I35" i="22"/>
  <c r="I30" i="22"/>
  <c r="I25" i="22"/>
  <c r="I43" i="22"/>
  <c r="I27" i="22"/>
  <c r="I40" i="22"/>
  <c r="I18" i="22"/>
  <c r="I48" i="22"/>
  <c r="I49" i="22"/>
  <c r="I37" i="22"/>
  <c r="I36" i="22"/>
  <c r="I34" i="22"/>
  <c r="I17" i="22"/>
  <c r="I23" i="22"/>
  <c r="I19" i="22"/>
  <c r="I46" i="22"/>
  <c r="I21" i="22"/>
  <c r="I45" i="22"/>
  <c r="I44" i="22"/>
  <c r="C126" i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G81" i="1"/>
  <c r="F56" i="1"/>
  <c r="G63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E62" i="1"/>
  <c r="H80" i="1"/>
  <c r="G62" i="1"/>
  <c r="H60" i="1"/>
  <c r="E59" i="1"/>
  <c r="H61" i="1"/>
  <c r="E74" i="1"/>
  <c r="F77" i="1"/>
  <c r="H62" i="1"/>
  <c r="E79" i="1"/>
  <c r="H75" i="1"/>
  <c r="G75" i="1"/>
  <c r="E81" i="1"/>
  <c r="F79" i="1"/>
  <c r="H77" i="1"/>
  <c r="G79" i="1"/>
  <c r="G61" i="1"/>
  <c r="E63" i="1"/>
  <c r="F62" i="1"/>
  <c r="D59" i="1"/>
  <c r="D74" i="1"/>
  <c r="H81" i="1"/>
  <c r="E80" i="1"/>
  <c r="H79" i="1"/>
  <c r="G60" i="1"/>
  <c r="E77" i="1"/>
  <c r="F57" i="1"/>
  <c r="F81" i="1"/>
  <c r="G57" i="1"/>
  <c r="D60" i="1"/>
  <c r="D57" i="1"/>
  <c r="E56" i="1"/>
  <c r="F63" i="1"/>
  <c r="H74" i="1"/>
  <c r="G56" i="1"/>
  <c r="H59" i="1"/>
  <c r="H63" i="1"/>
  <c r="D56" i="1"/>
  <c r="F59" i="1"/>
  <c r="F61" i="1"/>
  <c r="D63" i="1"/>
  <c r="H56" i="1"/>
  <c r="G80" i="1"/>
  <c r="H78" i="1"/>
  <c r="E57" i="1"/>
  <c r="D78" i="1"/>
  <c r="D75" i="1"/>
  <c r="D77" i="1"/>
  <c r="D79" i="1"/>
  <c r="G59" i="1"/>
  <c r="G77" i="1"/>
  <c r="F80" i="1"/>
  <c r="E78" i="1"/>
  <c r="D61" i="1"/>
  <c r="E60" i="1"/>
  <c r="D81" i="1"/>
  <c r="F78" i="1"/>
  <c r="G74" i="1"/>
  <c r="F74" i="1"/>
  <c r="G78" i="1"/>
  <c r="D80" i="1"/>
  <c r="E61" i="1"/>
  <c r="D62" i="1"/>
  <c r="E233" i="1" l="1"/>
  <c r="E239" i="1" s="1"/>
  <c r="E245" i="1" s="1"/>
  <c r="E234" i="1"/>
  <c r="E240" i="1" s="1"/>
  <c r="E246" i="1" s="1"/>
  <c r="E230" i="1"/>
  <c r="E236" i="1" s="1"/>
  <c r="E242" i="1" s="1"/>
  <c r="D186" i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158" i="1"/>
  <c r="D156" i="1"/>
  <c r="D110" i="1"/>
  <c r="E106" i="1"/>
  <c r="G106" i="1"/>
  <c r="H155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D17" i="30" l="1"/>
  <c r="F17" i="30" s="1"/>
  <c r="I193" i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D18" i="29" l="1"/>
  <c r="W19" i="16"/>
  <c r="F19" i="16"/>
  <c r="J193" i="1"/>
  <c r="J195" i="1" s="1"/>
  <c r="E19" i="16" l="1"/>
  <c r="I19" i="16" s="1"/>
  <c r="J196" i="1"/>
  <c r="L19" i="16" l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O23" i="13"/>
  <c r="E54" i="11"/>
  <c r="E161" i="1"/>
  <c r="O22" i="13"/>
  <c r="F55" i="11"/>
  <c r="G8" i="1"/>
  <c r="R76" i="4"/>
  <c r="R79" i="4" l="1"/>
  <c r="E53" i="11"/>
  <c r="E160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D15" i="30" s="1"/>
  <c r="F15" i="30" s="1"/>
  <c r="J16" i="29" l="1"/>
  <c r="J17" i="16"/>
  <c r="G143" i="1"/>
  <c r="G170" i="1"/>
  <c r="G88" i="11"/>
  <c r="G100" i="11"/>
  <c r="D15" i="29" l="1"/>
  <c r="W16" i="16"/>
  <c r="G145" i="1"/>
  <c r="D17" i="16" s="1"/>
  <c r="G191" i="1"/>
  <c r="G193" i="1" l="1"/>
  <c r="G199" i="1" s="1"/>
  <c r="G192" i="1"/>
  <c r="G249" i="1" s="1"/>
  <c r="G250" i="1" l="1"/>
  <c r="D16" i="29"/>
  <c r="W17" i="16"/>
  <c r="F17" i="16"/>
  <c r="G195" i="1"/>
  <c r="E17" i="16" s="1"/>
  <c r="G96" i="11"/>
  <c r="G103" i="11"/>
  <c r="P46" i="13" l="1"/>
  <c r="I17" i="16"/>
  <c r="G196" i="1"/>
  <c r="M17" i="16" l="1"/>
  <c r="L17" i="16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D87" i="11"/>
  <c r="D102" i="11"/>
  <c r="D216" i="1"/>
  <c r="D41" i="1"/>
  <c r="D40" i="1"/>
  <c r="D17" i="1"/>
  <c r="G12" i="6" l="1"/>
  <c r="G13" i="6" s="1"/>
  <c r="G17" i="6" s="1"/>
  <c r="B17" i="6"/>
  <c r="E33" i="1"/>
  <c r="E10" i="1"/>
  <c r="D25" i="6"/>
  <c r="D43" i="1"/>
  <c r="D55" i="11"/>
  <c r="D20" i="1"/>
  <c r="L15" i="13"/>
  <c r="G15" i="13"/>
  <c r="O15" i="13" s="1"/>
  <c r="E18" i="1" l="1"/>
  <c r="L12" i="6"/>
  <c r="E31" i="1"/>
  <c r="E8" i="1"/>
  <c r="E108" i="1" s="1"/>
  <c r="J15" i="13"/>
  <c r="N15" i="13" s="1"/>
  <c r="E63" i="11"/>
  <c r="M89" i="11" s="1"/>
  <c r="M15" i="13"/>
  <c r="D57" i="11"/>
  <c r="D46" i="1"/>
  <c r="D13" i="30" s="1"/>
  <c r="F13" i="30" s="1"/>
  <c r="J14" i="16" s="1"/>
  <c r="D23" i="1"/>
  <c r="S14" i="16" s="1"/>
  <c r="E41" i="1" l="1"/>
  <c r="C18" i="1"/>
  <c r="J13" i="29"/>
  <c r="H8" i="22"/>
  <c r="H18" i="22" s="1"/>
  <c r="J18" i="22" s="1"/>
  <c r="L18" i="22" s="1"/>
  <c r="M18" i="22" s="1"/>
  <c r="E27" i="11"/>
  <c r="G57" i="22" s="1"/>
  <c r="E159" i="1"/>
  <c r="O21" i="13"/>
  <c r="E110" i="1"/>
  <c r="E52" i="11"/>
  <c r="G21" i="6"/>
  <c r="G25" i="6" s="1"/>
  <c r="E14" i="1"/>
  <c r="E17" i="1" s="1"/>
  <c r="U14" i="16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48" i="1" l="1"/>
  <c r="H46" i="22"/>
  <c r="J46" i="22" s="1"/>
  <c r="L46" i="22" s="1"/>
  <c r="M46" i="22" s="1"/>
  <c r="H30" i="22"/>
  <c r="J30" i="22" s="1"/>
  <c r="L30" i="22" s="1"/>
  <c r="M30" i="22" s="1"/>
  <c r="H31" i="22"/>
  <c r="J31" i="22" s="1"/>
  <c r="L31" i="22" s="1"/>
  <c r="M31" i="22" s="1"/>
  <c r="H34" i="22"/>
  <c r="J34" i="22" s="1"/>
  <c r="L34" i="22" s="1"/>
  <c r="M34" i="22" s="1"/>
  <c r="H9" i="22"/>
  <c r="J9" i="22" s="1"/>
  <c r="L9" i="22" s="1"/>
  <c r="M9" i="22" s="1"/>
  <c r="H21" i="22"/>
  <c r="J21" i="22" s="1"/>
  <c r="L21" i="22" s="1"/>
  <c r="M21" i="22" s="1"/>
  <c r="H11" i="22"/>
  <c r="J11" i="22" s="1"/>
  <c r="L11" i="22" s="1"/>
  <c r="M11" i="22" s="1"/>
  <c r="H33" i="22"/>
  <c r="J33" i="22" s="1"/>
  <c r="L33" i="22" s="1"/>
  <c r="M33" i="22" s="1"/>
  <c r="H36" i="22"/>
  <c r="J36" i="22" s="1"/>
  <c r="L36" i="22" s="1"/>
  <c r="M36" i="22" s="1"/>
  <c r="H28" i="22"/>
  <c r="J28" i="22" s="1"/>
  <c r="L28" i="22" s="1"/>
  <c r="M28" i="22" s="1"/>
  <c r="H25" i="22"/>
  <c r="J25" i="22" s="1"/>
  <c r="L25" i="22" s="1"/>
  <c r="M25" i="22" s="1"/>
  <c r="H12" i="22"/>
  <c r="J12" i="22" s="1"/>
  <c r="L12" i="22" s="1"/>
  <c r="M12" i="22" s="1"/>
  <c r="H26" i="22"/>
  <c r="J26" i="22" s="1"/>
  <c r="L26" i="22" s="1"/>
  <c r="M26" i="22" s="1"/>
  <c r="H10" i="22"/>
  <c r="J10" i="22" s="1"/>
  <c r="L10" i="22" s="1"/>
  <c r="M10" i="22" s="1"/>
  <c r="H13" i="22"/>
  <c r="J13" i="22" s="1"/>
  <c r="L13" i="22" s="1"/>
  <c r="M13" i="22" s="1"/>
  <c r="H29" i="22"/>
  <c r="J29" i="22" s="1"/>
  <c r="L29" i="22" s="1"/>
  <c r="M29" i="22" s="1"/>
  <c r="H43" i="22"/>
  <c r="J43" i="22" s="1"/>
  <c r="L43" i="22" s="1"/>
  <c r="M43" i="22" s="1"/>
  <c r="H38" i="22"/>
  <c r="J38" i="22" s="1"/>
  <c r="L38" i="22" s="1"/>
  <c r="M38" i="22" s="1"/>
  <c r="H35" i="22"/>
  <c r="J35" i="22" s="1"/>
  <c r="L35" i="22" s="1"/>
  <c r="M35" i="22" s="1"/>
  <c r="H17" i="22"/>
  <c r="J17" i="22" s="1"/>
  <c r="L17" i="22" s="1"/>
  <c r="M17" i="22" s="1"/>
  <c r="H45" i="22"/>
  <c r="J45" i="22" s="1"/>
  <c r="L45" i="22" s="1"/>
  <c r="M45" i="22" s="1"/>
  <c r="H47" i="22"/>
  <c r="J47" i="22" s="1"/>
  <c r="L47" i="22" s="1"/>
  <c r="M47" i="22" s="1"/>
  <c r="H44" i="22"/>
  <c r="J44" i="22" s="1"/>
  <c r="L44" i="22" s="1"/>
  <c r="M44" i="22" s="1"/>
  <c r="H16" i="22"/>
  <c r="J16" i="22" s="1"/>
  <c r="L16" i="22" s="1"/>
  <c r="M16" i="22" s="1"/>
  <c r="H22" i="22"/>
  <c r="J22" i="22" s="1"/>
  <c r="L22" i="22" s="1"/>
  <c r="M22" i="22" s="1"/>
  <c r="H32" i="22"/>
  <c r="J32" i="22" s="1"/>
  <c r="L32" i="22" s="1"/>
  <c r="M32" i="22" s="1"/>
  <c r="H40" i="22"/>
  <c r="J40" i="22" s="1"/>
  <c r="L40" i="22" s="1"/>
  <c r="M40" i="22" s="1"/>
  <c r="H39" i="22"/>
  <c r="J39" i="22" s="1"/>
  <c r="L39" i="22" s="1"/>
  <c r="M39" i="22" s="1"/>
  <c r="H41" i="22"/>
  <c r="J41" i="22" s="1"/>
  <c r="L41" i="22" s="1"/>
  <c r="M41" i="22" s="1"/>
  <c r="H19" i="22"/>
  <c r="J19" i="22" s="1"/>
  <c r="L19" i="22" s="1"/>
  <c r="M19" i="22" s="1"/>
  <c r="H42" i="22"/>
  <c r="J42" i="22" s="1"/>
  <c r="L42" i="22" s="1"/>
  <c r="M42" i="22" s="1"/>
  <c r="H37" i="22"/>
  <c r="J37" i="22" s="1"/>
  <c r="L37" i="22" s="1"/>
  <c r="M37" i="22" s="1"/>
  <c r="H23" i="22"/>
  <c r="J23" i="22" s="1"/>
  <c r="L23" i="22" s="1"/>
  <c r="M23" i="22" s="1"/>
  <c r="H14" i="22"/>
  <c r="J14" i="22" s="1"/>
  <c r="L14" i="22" s="1"/>
  <c r="M14" i="22" s="1"/>
  <c r="H27" i="22"/>
  <c r="J27" i="22" s="1"/>
  <c r="L27" i="22" s="1"/>
  <c r="M27" i="22" s="1"/>
  <c r="H49" i="22"/>
  <c r="J49" i="22" s="1"/>
  <c r="L49" i="22" s="1"/>
  <c r="M49" i="22" s="1"/>
  <c r="H48" i="22"/>
  <c r="J48" i="22" s="1"/>
  <c r="L48" i="22" s="1"/>
  <c r="M48" i="22" s="1"/>
  <c r="H20" i="22"/>
  <c r="J20" i="22" s="1"/>
  <c r="L20" i="22" s="1"/>
  <c r="M20" i="22" s="1"/>
  <c r="H24" i="22"/>
  <c r="J24" i="22" s="1"/>
  <c r="L24" i="22" s="1"/>
  <c r="M24" i="22" s="1"/>
  <c r="D231" i="1"/>
  <c r="D243" i="1"/>
  <c r="E50" i="11"/>
  <c r="E157" i="1"/>
  <c r="O26" i="13"/>
  <c r="E37" i="1"/>
  <c r="E20" i="1"/>
  <c r="L108" i="11"/>
  <c r="G113" i="11" s="1"/>
  <c r="H113" i="11" s="1"/>
  <c r="M33" i="11"/>
  <c r="K19" i="13" s="1"/>
  <c r="K25" i="13"/>
  <c r="E37" i="11"/>
  <c r="F156" i="1"/>
  <c r="N33" i="11"/>
  <c r="F37" i="11"/>
  <c r="G79" i="22"/>
  <c r="K79" i="22" s="1"/>
  <c r="M79" i="22" s="1"/>
  <c r="G83" i="22"/>
  <c r="K83" i="22" s="1"/>
  <c r="M83" i="22" s="1"/>
  <c r="G80" i="22"/>
  <c r="K80" i="22" s="1"/>
  <c r="M80" i="22" s="1"/>
  <c r="G77" i="22"/>
  <c r="K77" i="22" s="1"/>
  <c r="M77" i="22" s="1"/>
  <c r="G75" i="22"/>
  <c r="K75" i="22" s="1"/>
  <c r="M75" i="22" s="1"/>
  <c r="G78" i="22"/>
  <c r="K78" i="22" s="1"/>
  <c r="M78" i="22" s="1"/>
  <c r="G73" i="22"/>
  <c r="K73" i="22" s="1"/>
  <c r="M73" i="22" s="1"/>
  <c r="G64" i="22"/>
  <c r="K64" i="22" s="1"/>
  <c r="M64" i="22" s="1"/>
  <c r="G76" i="22"/>
  <c r="K76" i="22" s="1"/>
  <c r="M76" i="22" s="1"/>
  <c r="G61" i="22"/>
  <c r="K61" i="22" s="1"/>
  <c r="M61" i="22" s="1"/>
  <c r="G63" i="22"/>
  <c r="K63" i="22" s="1"/>
  <c r="M63" i="22" s="1"/>
  <c r="G93" i="22"/>
  <c r="K93" i="22" s="1"/>
  <c r="M93" i="22" s="1"/>
  <c r="G92" i="22"/>
  <c r="K92" i="22" s="1"/>
  <c r="M92" i="22" s="1"/>
  <c r="G72" i="22"/>
  <c r="K72" i="22" s="1"/>
  <c r="M72" i="22" s="1"/>
  <c r="G71" i="22"/>
  <c r="K71" i="22" s="1"/>
  <c r="M71" i="22" s="1"/>
  <c r="G74" i="22"/>
  <c r="K74" i="22" s="1"/>
  <c r="M74" i="22" s="1"/>
  <c r="G68" i="22"/>
  <c r="K68" i="22" s="1"/>
  <c r="M68" i="22" s="1"/>
  <c r="G65" i="22"/>
  <c r="K65" i="22" s="1"/>
  <c r="M65" i="22" s="1"/>
  <c r="G60" i="22"/>
  <c r="K60" i="22" s="1"/>
  <c r="M60" i="22" s="1"/>
  <c r="G58" i="22"/>
  <c r="K58" i="22" s="1"/>
  <c r="M58" i="22" s="1"/>
  <c r="G84" i="22"/>
  <c r="K84" i="22" s="1"/>
  <c r="M84" i="22" s="1"/>
  <c r="G67" i="22"/>
  <c r="K67" i="22" s="1"/>
  <c r="M67" i="22" s="1"/>
  <c r="G86" i="22"/>
  <c r="K86" i="22" s="1"/>
  <c r="M86" i="22" s="1"/>
  <c r="G91" i="22"/>
  <c r="K91" i="22" s="1"/>
  <c r="M91" i="22" s="1"/>
  <c r="G89" i="22"/>
  <c r="K89" i="22" s="1"/>
  <c r="M89" i="22" s="1"/>
  <c r="G88" i="22"/>
  <c r="K88" i="22" s="1"/>
  <c r="M88" i="22" s="1"/>
  <c r="G82" i="22"/>
  <c r="K82" i="22" s="1"/>
  <c r="M82" i="22" s="1"/>
  <c r="G87" i="22"/>
  <c r="K87" i="22" s="1"/>
  <c r="M87" i="22" s="1"/>
  <c r="G66" i="22"/>
  <c r="K66" i="22" s="1"/>
  <c r="M66" i="22" s="1"/>
  <c r="G85" i="22"/>
  <c r="K85" i="22" s="1"/>
  <c r="M85" i="22" s="1"/>
  <c r="G70" i="22"/>
  <c r="K70" i="22" s="1"/>
  <c r="M70" i="22" s="1"/>
  <c r="G59" i="22"/>
  <c r="K59" i="22" s="1"/>
  <c r="M59" i="22" s="1"/>
  <c r="G62" i="22"/>
  <c r="K62" i="22" s="1"/>
  <c r="M62" i="22" s="1"/>
  <c r="G90" i="22"/>
  <c r="K90" i="22" s="1"/>
  <c r="M90" i="22" s="1"/>
  <c r="G81" i="22"/>
  <c r="K81" i="22" s="1"/>
  <c r="M81" i="22" s="1"/>
  <c r="G69" i="22"/>
  <c r="K69" i="22" s="1"/>
  <c r="M69" i="22" s="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J26" i="13" l="1"/>
  <c r="N26" i="13" s="1"/>
  <c r="N25" i="13"/>
  <c r="U15" i="16"/>
  <c r="M25" i="13"/>
  <c r="M19" i="13"/>
  <c r="L29" i="13"/>
  <c r="S30" i="13"/>
  <c r="E46" i="1"/>
  <c r="D14" i="30" s="1"/>
  <c r="AB30" i="13"/>
  <c r="N44" i="11"/>
  <c r="L30" i="13"/>
  <c r="J19" i="13" l="1"/>
  <c r="AB19" i="13" s="1"/>
  <c r="F14" i="30"/>
  <c r="M30" i="13"/>
  <c r="O36" i="13"/>
  <c r="O38" i="13" s="1"/>
  <c r="P38" i="13" s="1"/>
  <c r="F176" i="1"/>
  <c r="F179" i="1"/>
  <c r="F180" i="1" s="1"/>
  <c r="N19" i="13" l="1"/>
  <c r="J14" i="29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S17" i="30" l="1"/>
  <c r="H17" i="30"/>
  <c r="S15" i="30" l="1"/>
  <c r="H15" i="30"/>
  <c r="I15" i="30" s="1"/>
  <c r="K15" i="30" s="1"/>
  <c r="S16" i="30"/>
  <c r="H14" i="30"/>
  <c r="I14" i="30" s="1"/>
  <c r="K14" i="30" s="1"/>
  <c r="S14" i="30"/>
  <c r="S13" i="30"/>
  <c r="H13" i="30"/>
  <c r="I13" i="30" s="1"/>
  <c r="G18" i="30"/>
  <c r="G20" i="30" s="1"/>
  <c r="H35" i="16"/>
  <c r="M43" i="11" l="1"/>
  <c r="M44" i="11" s="1"/>
  <c r="S18" i="30"/>
  <c r="K13" i="30"/>
  <c r="H36" i="16"/>
  <c r="G18" i="29" l="1"/>
  <c r="K18" i="29" s="1"/>
  <c r="L18" i="29" l="1"/>
  <c r="H18" i="29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7" i="13"/>
  <c r="D115" i="1" l="1"/>
  <c r="D155" i="1"/>
  <c r="D58" i="11"/>
  <c r="A15" i="22"/>
  <c r="F204" i="1"/>
  <c r="F205" i="1" s="1"/>
  <c r="F216" i="1"/>
  <c r="D118" i="1" l="1"/>
  <c r="D65" i="1" s="1"/>
  <c r="H205" i="1"/>
  <c r="G205" i="1"/>
  <c r="C15" i="22"/>
  <c r="E15" i="22" s="1"/>
  <c r="Q14" i="16" s="1"/>
  <c r="H15" i="22"/>
  <c r="J15" i="22" s="1"/>
  <c r="D164" i="1"/>
  <c r="D99" i="11"/>
  <c r="C155" i="1"/>
  <c r="F213" i="1"/>
  <c r="F214" i="1" s="1"/>
  <c r="G204" i="1"/>
  <c r="H204" i="1"/>
  <c r="D105" i="11"/>
  <c r="D65" i="11"/>
  <c r="G207" i="1" l="1"/>
  <c r="L15" i="22"/>
  <c r="M15" i="22" s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D13" i="29" l="1"/>
  <c r="N14" i="16"/>
  <c r="W14" i="16"/>
  <c r="E28" i="16"/>
  <c r="D192" i="1"/>
  <c r="D195" i="1" l="1"/>
  <c r="P17" i="13" s="1"/>
  <c r="D103" i="11"/>
  <c r="D96" i="11"/>
  <c r="F14" i="16"/>
  <c r="D196" i="1" l="1"/>
  <c r="E14" i="16"/>
  <c r="I14" i="16" l="1"/>
  <c r="G14" i="16"/>
  <c r="Y14" i="16" l="1"/>
  <c r="M14" i="16"/>
  <c r="L14" i="16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P27" i="13"/>
  <c r="C101" i="11"/>
  <c r="P62" i="13"/>
  <c r="D15" i="16"/>
  <c r="E193" i="1"/>
  <c r="E199" i="1" s="1"/>
  <c r="E205" i="1" s="1"/>
  <c r="E211" i="1" s="1"/>
  <c r="E217" i="1" s="1"/>
  <c r="E223" i="1" s="1"/>
  <c r="E229" i="1" s="1"/>
  <c r="E235" i="1" s="1"/>
  <c r="E241" i="1" s="1"/>
  <c r="E247" i="1" s="1"/>
  <c r="F15" i="16" l="1"/>
  <c r="E249" i="1"/>
  <c r="E250" i="1" s="1"/>
  <c r="E96" i="11"/>
  <c r="E195" i="1"/>
  <c r="E201" i="1" s="1"/>
  <c r="E207" i="1" s="1"/>
  <c r="E213" i="1" s="1"/>
  <c r="E219" i="1" s="1"/>
  <c r="E225" i="1" s="1"/>
  <c r="E231" i="1" s="1"/>
  <c r="E237" i="1" s="1"/>
  <c r="E243" i="1" s="1"/>
  <c r="E103" i="11"/>
  <c r="W15" i="16"/>
  <c r="N15" i="16"/>
  <c r="D14" i="29"/>
  <c r="E196" i="1" l="1"/>
  <c r="E202" i="1" s="1"/>
  <c r="E208" i="1" s="1"/>
  <c r="E214" i="1" s="1"/>
  <c r="E220" i="1" s="1"/>
  <c r="E226" i="1" s="1"/>
  <c r="E232" i="1" s="1"/>
  <c r="E238" i="1" s="1"/>
  <c r="E244" i="1" s="1"/>
  <c r="E15" i="16"/>
  <c r="G15" i="16" l="1"/>
  <c r="I15" i="16"/>
  <c r="M15" i="16" l="1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D16" i="30" s="1"/>
  <c r="C23" i="1"/>
  <c r="C46" i="1" l="1"/>
  <c r="H168" i="1"/>
  <c r="H175" i="1"/>
  <c r="D18" i="30"/>
  <c r="F16" i="30"/>
  <c r="C119" i="1"/>
  <c r="H121" i="1"/>
  <c r="H143" i="1" s="1"/>
  <c r="C121" i="1" l="1"/>
  <c r="F18" i="30"/>
  <c r="H16" i="30"/>
  <c r="J18" i="16"/>
  <c r="J20" i="16" s="1"/>
  <c r="J17" i="29"/>
  <c r="J19" i="29" s="1"/>
  <c r="C143" i="1"/>
  <c r="H145" i="1"/>
  <c r="H100" i="11"/>
  <c r="H88" i="11"/>
  <c r="C88" i="11" s="1"/>
  <c r="C168" i="1"/>
  <c r="C100" i="11" s="1"/>
  <c r="H170" i="1"/>
  <c r="C170" i="1" l="1"/>
  <c r="H191" i="1"/>
  <c r="H193" i="1"/>
  <c r="D18" i="16"/>
  <c r="C145" i="1"/>
  <c r="H18" i="30"/>
  <c r="H20" i="30" s="1"/>
  <c r="I16" i="30"/>
  <c r="K16" i="30" s="1"/>
  <c r="C193" i="1" l="1"/>
  <c r="H199" i="1"/>
  <c r="W18" i="16"/>
  <c r="D17" i="29"/>
  <c r="D35" i="16" a="1"/>
  <c r="D35" i="16" s="1"/>
  <c r="Y45" i="4"/>
  <c r="D20" i="16"/>
  <c r="D19" i="29"/>
  <c r="E23" i="29" s="1"/>
  <c r="H192" i="1"/>
  <c r="H249" i="1" s="1"/>
  <c r="C191" i="1"/>
  <c r="H250" i="1" l="1"/>
  <c r="F18" i="16"/>
  <c r="H103" i="11"/>
  <c r="H195" i="1"/>
  <c r="C192" i="1"/>
  <c r="H96" i="11"/>
  <c r="F19" i="29"/>
  <c r="F13" i="29"/>
  <c r="D21" i="16"/>
  <c r="W20" i="16"/>
  <c r="D36" i="16"/>
  <c r="P56" i="13" l="1"/>
  <c r="E18" i="16"/>
  <c r="C195" i="1"/>
  <c r="H196" i="1"/>
  <c r="G13" i="29"/>
  <c r="F15" i="29"/>
  <c r="G15" i="29" s="1"/>
  <c r="F16" i="29"/>
  <c r="G16" i="29" s="1"/>
  <c r="F17" i="29"/>
  <c r="G17" i="29" s="1"/>
  <c r="F14" i="29"/>
  <c r="G14" i="29" s="1"/>
  <c r="F20" i="16"/>
  <c r="C103" i="11"/>
  <c r="C96" i="11"/>
  <c r="F35" i="16" a="1"/>
  <c r="F35" i="16" s="1"/>
  <c r="Z45" i="4"/>
  <c r="P61" i="13" l="1"/>
  <c r="P64" i="13" s="1"/>
  <c r="H15" i="29"/>
  <c r="L15" i="29"/>
  <c r="K15" i="29"/>
  <c r="L17" i="29"/>
  <c r="H17" i="29"/>
  <c r="H60" i="11" s="1"/>
  <c r="L16" i="29"/>
  <c r="H16" i="29"/>
  <c r="G60" i="11" s="1"/>
  <c r="E20" i="16"/>
  <c r="C196" i="1"/>
  <c r="E35" i="16" a="1"/>
  <c r="E35" i="16" s="1"/>
  <c r="G18" i="16"/>
  <c r="I18" i="16"/>
  <c r="F36" i="16"/>
  <c r="F21" i="16"/>
  <c r="G19" i="29"/>
  <c r="H13" i="29"/>
  <c r="H14" i="29"/>
  <c r="L14" i="29"/>
  <c r="K19" i="29" l="1"/>
  <c r="L19" i="29" s="1"/>
  <c r="E60" i="11"/>
  <c r="E91" i="11" s="1"/>
  <c r="E92" i="11" s="1"/>
  <c r="K20" i="16"/>
  <c r="K21" i="16" s="1"/>
  <c r="M18" i="16"/>
  <c r="I20" i="16"/>
  <c r="L20" i="16" s="1"/>
  <c r="G91" i="11"/>
  <c r="G92" i="11" s="1"/>
  <c r="G95" i="11"/>
  <c r="G97" i="11" s="1"/>
  <c r="H91" i="11"/>
  <c r="H92" i="11" s="1"/>
  <c r="H95" i="11"/>
  <c r="H97" i="11" s="1"/>
  <c r="E36" i="16"/>
  <c r="G20" i="16"/>
  <c r="L13" i="29"/>
  <c r="D60" i="11"/>
  <c r="H19" i="29"/>
  <c r="E95" i="11" l="1"/>
  <c r="E97" i="11" s="1"/>
  <c r="L18" i="16"/>
  <c r="G93" i="11"/>
  <c r="H93" i="11"/>
  <c r="E93" i="11"/>
  <c r="M20" i="16"/>
  <c r="L36" i="16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26" authorId="0" shapeId="0" xr:uid="{658CD4F1-55B8-4E75-A700-8CC3F9AF7BA5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excludes special contract revenue</t>
        </r>
      </text>
    </comment>
    <comment ref="I35" authorId="0" shapeId="0" xr:uid="{405A3DAF-E228-478E-822E-B4D3529A51D4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based on Dist. Plant.  Line 499 from COS "Summary"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</authors>
  <commentList>
    <comment ref="I12" authorId="0" shapeId="0" xr:uid="{00000000-0006-0000-09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D10" authorId="0" shapeId="0" xr:uid="{0CAF6179-95F6-4179-A597-0AC8E90B3135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G18" authorId="0" shapeId="0" xr:uid="{82F9AF91-1C36-4EA9-87A3-3AC8C4735AF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Now reflected in Sch 146</t>
        </r>
      </text>
    </commen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Forsyth, Grant</author>
    <author>Joe Miller</author>
  </authors>
  <commentList>
    <comment ref="B6" authorId="0" shapeId="0" xr:uid="{2CA97AD3-7867-42B2-B4B8-9FFAFCB1AEA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(HILLYARD)), SPOKANE</t>
        </r>
      </text>
    </comment>
    <comment ref="B13" authorId="0" shapeId="0" xr:uid="{60D3BA27-501F-4DD6-990A-80C4BFD991F0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ERGON ASPHALT &amp; EMULSIONS (formerly WESTERN STATES ASPHALT INC (VELOX)), SPOKANE VALLEY</t>
        </r>
      </text>
    </comment>
    <comment ref="B28" authorId="0" shapeId="0" xr:uid="{A3B21FC2-95A4-4FCD-B9A2-A514A8290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Shamrock Manuf. Moving to Sch. 146 from 111 on August 1st, 2023</t>
        </r>
      </text>
    </comment>
    <comment ref="H49" authorId="1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1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0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1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0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1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1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<sst xmlns="http://schemas.openxmlformats.org/spreadsheetml/2006/main" count="1423" uniqueCount="641">
  <si>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</si>
  <si>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</si>
  <si>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</si>
  <si>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</si>
  <si>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</si>
  <si>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</si>
  <si>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</si>
  <si>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</si>
  <si>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</si>
  <si>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</si>
  <si>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</si>
  <si>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</si>
  <si>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</si>
  <si>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</si>
  <si>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</si>
  <si>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</si>
  <si>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</si>
  <si>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</si>
  <si>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</si>
  <si>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</si>
  <si>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</si>
  <si>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</si>
  <si>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</si>
  <si>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</si>
  <si>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</si>
  <si>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</si>
  <si>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</si>
  <si>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</si>
  <si>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</si>
  <si>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</si>
  <si>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</si>
  <si>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</si>
  <si>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</si>
  <si>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</si>
  <si>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</si>
  <si>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</si>
  <si>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</si>
  <si>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</si>
  <si>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</si>
  <si>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</si>
  <si>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</si>
  <si>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</si>
  <si>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</si>
  <si>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</si>
  <si>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</si>
  <si>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</si>
  <si>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</si>
  <si>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</si>
  <si>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</si>
  <si>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</si>
  <si>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</si>
  <si>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</si>
  <si>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</si>
  <si>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</si>
  <si>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</si>
  <si>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</si>
  <si>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</si>
  <si>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</si>
  <si>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</si>
  <si>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</si>
  <si>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</si>
  <si>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</si>
  <si>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</si>
  <si>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</si>
  <si>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</si>
  <si>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</si>
  <si>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</si>
  <si>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</si>
  <si>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</si>
  <si>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</si>
  <si>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</si>
  <si>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</si>
  <si>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</si>
  <si>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</si>
  <si>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</si>
  <si>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</si>
  <si>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</si>
  <si>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</si>
  <si>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</si>
  <si>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</si>
  <si>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</si>
  <si>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</si>
  <si>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</si>
  <si>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</si>
  <si>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</si>
  <si>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</si>
  <si>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</si>
  <si>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</si>
  <si>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</si>
  <si>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</si>
  <si>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</si>
  <si>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</si>
  <si>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</si>
  <si>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</si>
  <si>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</si>
  <si>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</si>
  <si>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</si>
  <si>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</si>
  <si>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</si>
  <si>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</si>
  <si>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</si>
  <si>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</si>
  <si>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</si>
  <si>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</si>
  <si>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</si>
  <si>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</si>
  <si>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</si>
  <si>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</si>
  <si>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</si>
  <si>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</si>
  <si>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</si>
  <si>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</si>
  <si>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</si>
  <si>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</si>
  <si>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</si>
  <si>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</si>
  <si>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</si>
  <si>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</si>
  <si>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</si>
  <si>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</si>
  <si>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</si>
  <si>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</si>
  <si>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</si>
  <si>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</si>
  <si>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</si>
  <si>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</si>
  <si>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</si>
  <si>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</si>
  <si>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</si>
  <si>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</si>
  <si>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</si>
  <si>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</si>
  <si>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</si>
  <si>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</si>
  <si>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</si>
  <si>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</si>
  <si>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</si>
  <si>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</si>
  <si>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</si>
  <si>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</si>
  <si>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</si>
  <si>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</si>
  <si>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</si>
  <si>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</si>
  <si>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</si>
  <si>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</si>
  <si>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</si>
  <si>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</si>
  <si>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</si>
  <si>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</si>
  <si>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</si>
  <si>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</si>
  <si>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</si>
  <si>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</si>
  <si>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</si>
  <si>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</si>
  <si>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</si>
  <si>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</si>
  <si>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</si>
  <si>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</si>
  <si>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</si>
  <si>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</si>
  <si>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</si>
  <si>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</si>
  <si>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</si>
  <si>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</si>
  <si>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</si>
  <si>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</si>
  <si>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</si>
  <si>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</si>
  <si>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</si>
  <si>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</si>
  <si>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</si>
  <si>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</si>
  <si>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</si>
  <si>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</si>
  <si>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</si>
  <si>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</si>
  <si>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</si>
  <si>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</si>
  <si>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WORK PAPER</t>
  </si>
  <si>
    <t>REFERENCE</t>
  </si>
  <si>
    <t>Kaiser -Trentwood</t>
  </si>
  <si>
    <t>Mutual Materials</t>
  </si>
  <si>
    <t>Wash. State Univ.</t>
  </si>
  <si>
    <t>Block 5 - Avista Electric generating facilities billed at 2.091 cents/therm (Sch. 148 floor)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</si>
  <si>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</si>
  <si>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</si>
  <si>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</si>
  <si>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</si>
  <si>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</si>
  <si>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</si>
  <si>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</si>
  <si>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</si>
  <si>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</si>
  <si>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</si>
  <si>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</si>
  <si>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</si>
  <si>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</si>
  <si>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</si>
  <si>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</si>
  <si>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</si>
  <si>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</si>
  <si>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</si>
  <si>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</si>
  <si>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</si>
  <si>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</si>
  <si>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</si>
  <si>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</si>
  <si>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</si>
  <si>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</si>
  <si>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</si>
  <si>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</si>
  <si>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</si>
  <si>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</si>
  <si>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</si>
  <si>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</si>
  <si>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</si>
  <si>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</si>
  <si>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</si>
  <si>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</si>
  <si>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</si>
  <si>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</si>
  <si>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</si>
  <si>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</si>
  <si>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Large General Svc.-High Annual Load Factor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</si>
  <si>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</si>
  <si>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</si>
  <si>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</si>
  <si>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</si>
  <si>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</si>
  <si>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</si>
  <si>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</si>
  <si>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</si>
  <si>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</si>
  <si>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</si>
  <si>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</si>
  <si>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</si>
  <si>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</si>
  <si>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</si>
  <si>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</si>
  <si>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</si>
  <si>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</si>
  <si>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</si>
  <si>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</si>
  <si>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</si>
  <si>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</si>
  <si>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</si>
  <si>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</si>
  <si>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</si>
  <si>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</si>
  <si>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</si>
  <si>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</si>
  <si>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</si>
  <si>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</si>
  <si>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</si>
  <si>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</si>
  <si>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</si>
  <si>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</si>
  <si>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</si>
  <si>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</si>
  <si>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</si>
  <si>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</si>
  <si>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</si>
  <si>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</si>
  <si>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</si>
  <si>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(i)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</si>
  <si>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</si>
  <si>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</si>
  <si>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</si>
  <si>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</si>
  <si>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</si>
  <si>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</si>
  <si>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</si>
  <si>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</si>
  <si>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</si>
  <si>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</si>
  <si>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</si>
  <si>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</si>
  <si>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</si>
  <si>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</si>
  <si>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</si>
  <si>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</si>
  <si>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</si>
  <si>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</si>
  <si>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</si>
  <si>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</si>
  <si>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</si>
  <si>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</si>
  <si>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</si>
  <si>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</si>
  <si>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</si>
  <si>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</si>
  <si>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</si>
  <si>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</si>
  <si>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</si>
  <si>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</si>
  <si>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</si>
  <si>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</si>
  <si>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</si>
  <si>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121/122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</si>
  <si>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</si>
  <si>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</si>
  <si>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</si>
  <si>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</si>
  <si>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</si>
  <si>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</si>
  <si>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</si>
  <si>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</si>
  <si>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</si>
  <si>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</si>
  <si>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Total Bill</t>
  </si>
  <si>
    <t>Schedule 111</t>
  </si>
  <si>
    <t>Minimum Charge</t>
  </si>
  <si>
    <t>Block 3</t>
  </si>
  <si>
    <t>Schedule 101 Proposed</t>
  </si>
  <si>
    <t>Schedule 101 Present</t>
  </si>
  <si>
    <t>Bill Impact</t>
  </si>
  <si>
    <t>% Change</t>
  </si>
  <si>
    <t>Schedule 101 Bill Impact</t>
  </si>
  <si>
    <t>Bill Differential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</si>
  <si>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</si>
  <si>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</si>
  <si>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</si>
  <si>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</si>
  <si>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</si>
  <si>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</si>
  <si>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</si>
  <si>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</si>
  <si>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</si>
  <si>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</si>
  <si>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</si>
  <si>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</si>
  <si>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</si>
  <si>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</si>
  <si>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</si>
  <si>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</si>
  <si>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</si>
  <si>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</si>
  <si>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</si>
  <si>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</si>
  <si>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</si>
  <si>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</si>
  <si>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</si>
  <si>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</si>
  <si>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</si>
  <si>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</si>
  <si>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</si>
  <si>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</si>
  <si>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</si>
  <si>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</si>
  <si>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</si>
  <si>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Breakeven Analysis (Base Rates)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</si>
  <si>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</si>
  <si>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</si>
  <si>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</si>
  <si>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</si>
  <si>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</si>
  <si>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</si>
  <si>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</si>
  <si>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</si>
  <si>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</si>
  <si>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</si>
  <si>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</si>
  <si>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</si>
  <si>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</si>
  <si>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</si>
  <si>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</si>
  <si>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</si>
  <si>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</si>
  <si>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</si>
  <si>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</si>
  <si>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</si>
  <si>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</si>
  <si>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</si>
  <si>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</si>
  <si>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</si>
  <si>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</si>
  <si>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</si>
  <si>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</si>
  <si>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</si>
  <si>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</si>
  <si>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</si>
  <si>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</si>
  <si>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</si>
  <si>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</si>
  <si>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</si>
  <si>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</si>
  <si>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</si>
  <si>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</si>
  <si>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</si>
  <si>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</si>
  <si>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</si>
  <si>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</si>
  <si>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</si>
  <si>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</si>
  <si>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</si>
  <si>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</si>
  <si>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</si>
  <si>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</si>
  <si>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</si>
  <si>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</si>
  <si>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</si>
  <si>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</si>
  <si>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</si>
  <si>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</si>
  <si>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</si>
  <si>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</si>
  <si>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</si>
  <si>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</si>
  <si>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</si>
  <si>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</si>
  <si>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</si>
  <si>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</si>
  <si>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</si>
  <si>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</si>
  <si>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</si>
  <si>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</si>
  <si>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</si>
  <si>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</si>
  <si>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</si>
  <si>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</si>
  <si>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</si>
  <si>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</si>
  <si>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</si>
  <si>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</si>
  <si>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</si>
  <si>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</si>
  <si>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</si>
  <si>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</si>
  <si>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</si>
  <si>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</si>
  <si>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</si>
  <si>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</si>
  <si>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</si>
  <si>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</si>
  <si>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</si>
  <si>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</si>
  <si>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</si>
  <si>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</si>
  <si>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</si>
  <si>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 xml:space="preserve">Percentage </t>
  </si>
  <si>
    <t>Avista</t>
  </si>
  <si>
    <t>Natural Gas</t>
  </si>
  <si>
    <t>Rate Spread</t>
  </si>
  <si>
    <t>of Base</t>
  </si>
  <si>
    <t>Sch 175</t>
  </si>
  <si>
    <t>Decoupling</t>
  </si>
  <si>
    <t>Avg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</si>
  <si>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</si>
  <si>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</si>
  <si>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</si>
  <si>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</si>
  <si>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</si>
  <si>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</si>
  <si>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</si>
  <si>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</si>
  <si>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</si>
  <si>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</si>
  <si>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</si>
  <si>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</si>
  <si>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</si>
  <si>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</si>
  <si>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</si>
  <si>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</si>
  <si>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</si>
  <si>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</si>
  <si>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</si>
  <si>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</si>
  <si>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</si>
  <si>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</si>
  <si>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</si>
  <si>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</si>
  <si>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</si>
  <si>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</si>
  <si>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</si>
  <si>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</si>
  <si>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</si>
  <si>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High Annual Load Factor Large General Service - Schedule 121 (Discontinued)</t>
  </si>
  <si>
    <t>(2) Monthly minimum / rate per therm - workpaper JDM-G-27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</si>
  <si>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</si>
  <si>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</si>
  <si>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</si>
  <si>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</si>
  <si>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</si>
  <si>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</si>
  <si>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</si>
  <si>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</si>
  <si>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</si>
  <si>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Credit</t>
  </si>
  <si>
    <t>LIRAP Funding</t>
  </si>
  <si>
    <t xml:space="preserve">LIRAP </t>
  </si>
  <si>
    <t xml:space="preserve">Incremental </t>
  </si>
  <si>
    <t>Billed</t>
  </si>
  <si>
    <t>Determinants</t>
  </si>
  <si>
    <t>Increased</t>
  </si>
  <si>
    <t>Change</t>
  </si>
  <si>
    <t>(m)</t>
  </si>
  <si>
    <t>Tax</t>
  </si>
  <si>
    <t>Sch. 176</t>
  </si>
  <si>
    <t>Tax Credit</t>
  </si>
  <si>
    <t>Decrease</t>
  </si>
  <si>
    <t>(I)</t>
  </si>
  <si>
    <t>(j)</t>
  </si>
  <si>
    <t>Filed</t>
  </si>
  <si>
    <t>LIRAP</t>
  </si>
  <si>
    <t>Funding</t>
  </si>
  <si>
    <t>Incremental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</si>
  <si>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</si>
  <si>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</si>
  <si>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</si>
  <si>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</si>
  <si>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</si>
  <si>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</si>
  <si>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</si>
  <si>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</si>
  <si>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</si>
  <si>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</si>
  <si>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</si>
  <si>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</si>
  <si>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</si>
  <si>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</si>
  <si>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</si>
  <si>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92 Ces/Cer-M (to Sch 112)</t>
  </si>
  <si>
    <t>pull from compliance filing from prior case</t>
  </si>
  <si>
    <t>SCH. 131 &amp; 132</t>
  </si>
  <si>
    <t>Valley Hosp &amp; Medical Ctr (to Sch 132)</t>
  </si>
  <si>
    <t>Whitworth University (to Sch 112)</t>
  </si>
  <si>
    <t>Add: Shifted from Sch 146</t>
  </si>
  <si>
    <t>(1) Block 1 - Kaiser-Trentwood</t>
  </si>
  <si>
    <t>Block 2 - Lamb-Weston</t>
  </si>
  <si>
    <t>Block 4 - Washington Potato</t>
  </si>
  <si>
    <t>mutual materials</t>
  </si>
  <si>
    <t>deaconess</t>
  </si>
  <si>
    <t>shifted to 146 from 148</t>
  </si>
  <si>
    <t>shifted to 132 from 146</t>
  </si>
  <si>
    <t>shifted to 112 from 146</t>
  </si>
  <si>
    <t>Sch 147</t>
  </si>
  <si>
    <t>Revenue Requirement RY 1</t>
  </si>
  <si>
    <t>Revenue Requirement RY 2</t>
  </si>
  <si>
    <t>PRESENT &amp; PROPOSED RATE OF RETURN BY RATE SCHEDULE</t>
  </si>
  <si>
    <t>Sch 101</t>
  </si>
  <si>
    <t>OPEN</t>
  </si>
  <si>
    <t>Sch 146</t>
  </si>
  <si>
    <t>Total Rate Base</t>
  </si>
  <si>
    <t>from COS</t>
  </si>
  <si>
    <t>"Summary" Line 467</t>
  </si>
  <si>
    <t>Revenue From Retail Rates</t>
  </si>
  <si>
    <t>"Summary" Line 469</t>
  </si>
  <si>
    <t>Other Operating Revenues</t>
  </si>
  <si>
    <t>"Summary" Line 470</t>
  </si>
  <si>
    <t>Total Revenues</t>
  </si>
  <si>
    <t>Total Operating Exp b4 conv items &amp; taxes</t>
  </si>
  <si>
    <t>Revenue Related conversion items</t>
  </si>
  <si>
    <t>"Summary" Line 536</t>
  </si>
  <si>
    <t>Income Taxes</t>
  </si>
  <si>
    <t>"Summary" Line 490</t>
  </si>
  <si>
    <t>Total Expenses</t>
  </si>
  <si>
    <t>"Summary" Line 491</t>
  </si>
  <si>
    <t>Net Operating Income</t>
  </si>
  <si>
    <t>Present Rate of Return</t>
  </si>
  <si>
    <t>Present Return Ratio</t>
  </si>
  <si>
    <t>Interest Expense</t>
  </si>
  <si>
    <t>"Summary" Line 497</t>
  </si>
  <si>
    <t>Proposed Misc Revenue Increase</t>
  </si>
  <si>
    <t>Proposed Rate Revenue Increase</t>
  </si>
  <si>
    <t>% excludes special contract revenue</t>
  </si>
  <si>
    <t>Proposed Rev Increase</t>
  </si>
  <si>
    <t>change</t>
  </si>
  <si>
    <t>Proposed Rate Revenues</t>
  </si>
  <si>
    <t>Uncollectibles</t>
  </si>
  <si>
    <t>incremental conversion expenses</t>
  </si>
  <si>
    <t>Commiss Fees</t>
  </si>
  <si>
    <t>incremental Income Taxes</t>
  </si>
  <si>
    <t>Excise Tax</t>
  </si>
  <si>
    <t>Proposed Return</t>
  </si>
  <si>
    <t>Federal Inc Tax</t>
  </si>
  <si>
    <t>Proposed Return %</t>
  </si>
  <si>
    <t>Allocation of incremental Misc Rev</t>
  </si>
  <si>
    <t xml:space="preserve">from COS </t>
  </si>
  <si>
    <t>Target Relative Return</t>
  </si>
  <si>
    <t>Target Return %</t>
  </si>
  <si>
    <t>Target Return (NOI b4 Interest)</t>
  </si>
  <si>
    <t>Target Return after Interest Expense</t>
  </si>
  <si>
    <t>Target Return b4 Income Taxes &amp; Interest</t>
  </si>
  <si>
    <t>Target Return b4 Misc Rev</t>
  </si>
  <si>
    <t>Conversion Items</t>
  </si>
  <si>
    <t>Incremental Rate Revenue</t>
  </si>
  <si>
    <t>Target Rate Revenue</t>
  </si>
  <si>
    <t>Change in Rate Revenue</t>
  </si>
  <si>
    <t>Incremental Rate Revenue - rounded</t>
  </si>
  <si>
    <t>Target Rate Revenue - rounded</t>
  </si>
  <si>
    <t>Billed Revenue</t>
  </si>
  <si>
    <t>Billed Increase</t>
  </si>
  <si>
    <t>% movement towards unity</t>
  </si>
  <si>
    <t>Uniform Present Return</t>
  </si>
  <si>
    <t>Present Income Taxes at Unity</t>
  </si>
  <si>
    <t>Operating Expenses (Excl. Rev Rel exp &amp; inc tax)</t>
  </si>
  <si>
    <t>Deduct Other Operating Revenues</t>
  </si>
  <si>
    <t>Revenue Related Expenses at Unity</t>
  </si>
  <si>
    <t>Total Uniform Cost at Present Return</t>
  </si>
  <si>
    <t>Ties to COS line 574</t>
  </si>
  <si>
    <t>Exclude Cost of Gas w / Revenue Exp.</t>
  </si>
  <si>
    <t>from COS line 575</t>
  </si>
  <si>
    <t>Total Uniform Current Margin</t>
  </si>
  <si>
    <t>Ties to COS line 560</t>
  </si>
  <si>
    <t>Uniform Proposed Return</t>
  </si>
  <si>
    <t>Proposed Income Taxes at Unity</t>
  </si>
  <si>
    <t>Proposed Revenue Related Expenses at Unity</t>
  </si>
  <si>
    <t>Total Uniform Cost at Proposed Return</t>
  </si>
  <si>
    <t>Ties to COS line 609</t>
  </si>
  <si>
    <t>Ties to COS line 610</t>
  </si>
  <si>
    <t>Total Uniform Proposed Margin</t>
  </si>
  <si>
    <t>Ties to COS line 611</t>
  </si>
  <si>
    <t>Revenue Change to Achieve Unity (rounded)</t>
  </si>
  <si>
    <t>Revenue to Cost Ratio at Present Rates</t>
  </si>
  <si>
    <t>Revenue to Cost Ratio at Proposed Rates</t>
  </si>
  <si>
    <t>Change in Revenue to Cost Ratio</t>
  </si>
  <si>
    <t>Margin to Cost Ratio at Present Rates</t>
  </si>
  <si>
    <t>Margin to Cost Ratio at Proposed Rates</t>
  </si>
  <si>
    <t>Change in Margin to Cost Ratio</t>
  </si>
  <si>
    <t>PRESENT &amp; PROPOSED RATES OF RETURN BY RATE SCHEDULE</t>
  </si>
  <si>
    <t>Present Rates</t>
  </si>
  <si>
    <t>Proposed Rates</t>
  </si>
  <si>
    <t>Sch.</t>
  </si>
  <si>
    <t>Rate of</t>
  </si>
  <si>
    <t>Parity</t>
  </si>
  <si>
    <t>Return</t>
  </si>
  <si>
    <t>Ratio</t>
  </si>
  <si>
    <t>131</t>
  </si>
  <si>
    <t xml:space="preserve">(1) Includes Schedule 150 (Purchase Gas Cost Adjustment), Schedule 155 (Gas Rate Adjustment), Schedule 161 (IV Funding), Schedule 166 (Insurance), </t>
  </si>
  <si>
    <t xml:space="preserve">  Schedule 175 (Decoupling), Schedule 178 (Tax Credit), Schedule 191 (DSM Adjustment), and Schedule 192 (LIRAP Adjustment).</t>
  </si>
  <si>
    <t xml:space="preserve">(1) Includes Schedule 150 (Purchase Gas Cost Adjustment), Schedule 155 (Gas Rate Adjustment), Schedule 161 (IV Funding), </t>
  </si>
  <si>
    <t xml:space="preserve">  Schedule 166 (Insurance), Schedule 175 (Decoupling), Schedule 178 (Tax Credit), Schedule 191 (DSM Adjustment), </t>
  </si>
  <si>
    <t xml:space="preserve">   and Schedule 192 (LIRAP Adjustment).</t>
  </si>
  <si>
    <t>Open</t>
  </si>
  <si>
    <t>(k)</t>
  </si>
  <si>
    <t>Sch 146 Annual Minimum Difference</t>
  </si>
  <si>
    <t>Avg Present Bill</t>
  </si>
  <si>
    <t>Avg Proposed Bill</t>
  </si>
  <si>
    <t>Rate 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</si>
</sst>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#,##0.000000"/>
    <numFmt numFmtId="193" formatCode="0.00000%"/>
    <numFmt numFmtId="194" formatCode="&quot;$&quot;#,##0.000_);\(&quot;$&quot;#,##0.000\)"/>
    <numFmt numFmtId="195" formatCode="_(* #,##0.000000_);_(* \(#,##0.000000\);_(* &quot;-&quot;??_);_(@_)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51" fillId="0" borderId="0"/>
    <xf numFmtId="0" fontId="26" fillId="0" borderId="0"/>
    <xf numFmtId="0" fontId="50" fillId="0" borderId="0"/>
    <xf numFmtId="0" fontId="26" fillId="0" borderId="0"/>
    <xf numFmtId="0" fontId="13" fillId="0" borderId="0"/>
    <xf numFmtId="0" fontId="13" fillId="0" borderId="0"/>
    <xf numFmtId="0" fontId="53" fillId="0" borderId="0"/>
    <xf numFmtId="0" fontId="13" fillId="0" borderId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38" fontId="55" fillId="0" borderId="0" applyNumberFormat="0" applyFont="0" applyFill="0" applyBorder="0">
      <alignment horizontal="left" indent="4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7" fillId="0" borderId="12">
      <alignment horizontal="center"/>
    </xf>
    <xf numFmtId="3" fontId="56" fillId="0" borderId="0" applyFont="0" applyFill="0" applyBorder="0" applyAlignment="0" applyProtection="0"/>
    <xf numFmtId="0" fontId="56" fillId="8" borderId="0" applyNumberFormat="0" applyFont="0" applyBorder="0" applyAlignment="0" applyProtection="0"/>
    <xf numFmtId="166" fontId="50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4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6" fillId="0" borderId="18" applyNumberFormat="0" applyFill="0" applyAlignment="0" applyProtection="0"/>
    <xf numFmtId="0" fontId="66" fillId="0" borderId="0" applyNumberFormat="0" applyFill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19" applyNumberFormat="0" applyAlignment="0" applyProtection="0"/>
    <xf numFmtId="0" fontId="71" fillId="15" borderId="20" applyNumberFormat="0" applyAlignment="0" applyProtection="0"/>
    <xf numFmtId="0" fontId="72" fillId="15" borderId="19" applyNumberFormat="0" applyAlignment="0" applyProtection="0"/>
    <xf numFmtId="0" fontId="73" fillId="0" borderId="21" applyNumberFormat="0" applyFill="0" applyAlignment="0" applyProtection="0"/>
    <xf numFmtId="0" fontId="74" fillId="16" borderId="22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8" fillId="33" borderId="0" applyNumberFormat="0" applyBorder="0" applyAlignment="0" applyProtection="0"/>
    <xf numFmtId="0" fontId="78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8" fillId="41" borderId="0" applyNumberFormat="0" applyBorder="0" applyAlignment="0" applyProtection="0"/>
    <xf numFmtId="0" fontId="51" fillId="0" borderId="0"/>
    <xf numFmtId="9" fontId="13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80" fillId="2" borderId="25">
      <alignment horizontal="left"/>
      <protection locked="0"/>
    </xf>
    <xf numFmtId="0" fontId="26" fillId="0" borderId="0"/>
    <xf numFmtId="44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6" fillId="0" borderId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3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79" fillId="0" borderId="0"/>
    <xf numFmtId="9" fontId="51" fillId="0" borderId="0" applyFont="0" applyFill="0" applyBorder="0" applyAlignment="0" applyProtection="0"/>
    <xf numFmtId="0" fontId="51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79" fillId="0" borderId="0"/>
    <xf numFmtId="0" fontId="79" fillId="0" borderId="0"/>
    <xf numFmtId="44" fontId="13" fillId="0" borderId="0" applyFont="0" applyFill="0" applyBorder="0" applyAlignment="0" applyProtection="0"/>
    <xf numFmtId="0" fontId="9" fillId="0" borderId="0"/>
    <xf numFmtId="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1" fillId="0" borderId="0"/>
    <xf numFmtId="43" fontId="26" fillId="0" borderId="0" applyFont="0" applyFill="0" applyBorder="0" applyAlignment="0" applyProtection="0"/>
    <xf numFmtId="0" fontId="26" fillId="0" borderId="0"/>
    <xf numFmtId="0" fontId="13" fillId="0" borderId="0"/>
    <xf numFmtId="43" fontId="51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13" fillId="0" borderId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44" fontId="13" fillId="0" borderId="0" applyFont="0" applyFill="0" applyBorder="0" applyAlignment="0" applyProtection="0"/>
    <xf numFmtId="0" fontId="51" fillId="0" borderId="0"/>
    <xf numFmtId="9" fontId="79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9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1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0" borderId="0"/>
    <xf numFmtId="0" fontId="13" fillId="0" borderId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9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6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6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9" fillId="0" borderId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6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1" fillId="0" borderId="0"/>
    <xf numFmtId="44" fontId="26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9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1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1" fillId="0" borderId="0" applyFont="0" applyFill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6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6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9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6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9" fillId="0" borderId="0" applyFont="0" applyFill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3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0" fillId="0" borderId="0"/>
    <xf numFmtId="9" fontId="26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9" fillId="0" borderId="0"/>
    <xf numFmtId="9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1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6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3" applyNumberFormat="0" applyFont="0" applyAlignment="0" applyProtection="0"/>
    <xf numFmtId="43" fontId="26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9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3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3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3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3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3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Font="1" applyAlignment="1">
      <alignment horizontal="center"/>
    </xf>
    <xf numFmtId="37" fontId="20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171" fontId="2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5" fillId="0" borderId="0" xfId="0" applyFont="1"/>
    <xf numFmtId="0" fontId="0" fillId="0" borderId="0" xfId="0" applyAlignment="1">
      <alignment horizontal="right"/>
    </xf>
    <xf numFmtId="178" fontId="28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5" fillId="0" borderId="0" xfId="0" applyNumberFormat="1" applyFont="1"/>
    <xf numFmtId="0" fontId="27" fillId="0" borderId="1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indent="1"/>
    </xf>
    <xf numFmtId="3" fontId="20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8" fillId="0" borderId="0" xfId="0" applyNumberFormat="1" applyFont="1"/>
    <xf numFmtId="179" fontId="28" fillId="0" borderId="0" xfId="0" applyNumberFormat="1" applyFont="1"/>
    <xf numFmtId="0" fontId="29" fillId="0" borderId="0" xfId="0" applyFont="1"/>
    <xf numFmtId="0" fontId="25" fillId="0" borderId="0" xfId="0" applyFont="1" applyAlignment="1"/>
    <xf numFmtId="174" fontId="30" fillId="2" borderId="0" xfId="0" applyNumberFormat="1" applyFont="1" applyFill="1"/>
    <xf numFmtId="0" fontId="0" fillId="2" borderId="0" xfId="0" applyFill="1"/>
    <xf numFmtId="165" fontId="30" fillId="2" borderId="0" xfId="0" applyNumberFormat="1" applyFont="1" applyFill="1"/>
    <xf numFmtId="0" fontId="0" fillId="3" borderId="0" xfId="0" applyFill="1"/>
    <xf numFmtId="0" fontId="21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8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19" fillId="0" borderId="0" xfId="0" applyNumberFormat="1" applyFont="1"/>
    <xf numFmtId="10" fontId="19" fillId="0" borderId="0" xfId="0" applyNumberFormat="1" applyFont="1"/>
    <xf numFmtId="3" fontId="23" fillId="0" borderId="0" xfId="0" applyNumberFormat="1" applyFont="1" applyAlignment="1">
      <alignment horizontal="right"/>
    </xf>
    <xf numFmtId="179" fontId="19" fillId="4" borderId="3" xfId="0" applyNumberFormat="1" applyFont="1" applyFill="1" applyBorder="1"/>
    <xf numFmtId="179" fontId="19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19" fillId="4" borderId="1" xfId="0" applyNumberFormat="1" applyFont="1" applyFill="1" applyBorder="1"/>
    <xf numFmtId="0" fontId="18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8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3" fillId="0" borderId="0" xfId="0" applyFont="1"/>
    <xf numFmtId="176" fontId="19" fillId="4" borderId="0" xfId="0" applyNumberFormat="1" applyFont="1" applyFill="1" applyBorder="1"/>
    <xf numFmtId="179" fontId="13" fillId="3" borderId="0" xfId="0" applyNumberFormat="1" applyFont="1" applyFill="1"/>
    <xf numFmtId="179" fontId="30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8" fillId="0" borderId="0" xfId="0" applyFont="1" applyAlignment="1">
      <alignment horizontal="center"/>
    </xf>
    <xf numFmtId="0" fontId="33" fillId="0" borderId="0" xfId="0" applyFont="1" applyAlignment="1"/>
    <xf numFmtId="0" fontId="28" fillId="0" borderId="0" xfId="0" applyFont="1" applyAlignment="1"/>
    <xf numFmtId="0" fontId="28" fillId="0" borderId="0" xfId="0" applyFont="1"/>
    <xf numFmtId="0" fontId="28" fillId="0" borderId="0" xfId="0" applyFont="1" applyAlignment="1">
      <alignment horizontal="right"/>
    </xf>
    <xf numFmtId="0" fontId="35" fillId="0" borderId="0" xfId="0" applyFont="1"/>
    <xf numFmtId="0" fontId="28" fillId="0" borderId="0" xfId="0" quotePrefix="1" applyFont="1"/>
    <xf numFmtId="0" fontId="36" fillId="0" borderId="0" xfId="0" applyFont="1"/>
    <xf numFmtId="0" fontId="19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/>
    </xf>
    <xf numFmtId="182" fontId="14" fillId="0" borderId="0" xfId="0" applyNumberFormat="1" applyFont="1"/>
    <xf numFmtId="37" fontId="36" fillId="0" borderId="0" xfId="0" applyNumberFormat="1" applyFont="1"/>
    <xf numFmtId="37" fontId="28" fillId="0" borderId="0" xfId="0" applyNumberFormat="1" applyFont="1"/>
    <xf numFmtId="37" fontId="28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19" fillId="0" borderId="0" xfId="0" applyNumberFormat="1" applyFont="1" applyFill="1" applyBorder="1"/>
    <xf numFmtId="3" fontId="20" fillId="0" borderId="0" xfId="0" applyNumberFormat="1" applyFont="1"/>
    <xf numFmtId="168" fontId="18" fillId="0" borderId="0" xfId="0" applyNumberFormat="1" applyFont="1"/>
    <xf numFmtId="0" fontId="18" fillId="0" borderId="0" xfId="0" applyFont="1" applyAlignment="1">
      <alignment horizontal="left" indent="1"/>
    </xf>
    <xf numFmtId="0" fontId="21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8" fillId="0" borderId="0" xfId="0" applyNumberFormat="1" applyFont="1"/>
    <xf numFmtId="172" fontId="18" fillId="0" borderId="0" xfId="0" applyNumberFormat="1" applyFont="1"/>
    <xf numFmtId="10" fontId="18" fillId="0" borderId="0" xfId="0" applyNumberFormat="1" applyFont="1" applyAlignment="1">
      <alignment horizontal="center"/>
    </xf>
    <xf numFmtId="10" fontId="18" fillId="0" borderId="1" xfId="0" applyNumberFormat="1" applyFont="1" applyBorder="1" applyAlignment="1">
      <alignment horizontal="center"/>
    </xf>
    <xf numFmtId="10" fontId="18" fillId="0" borderId="0" xfId="0" applyNumberFormat="1" applyFont="1"/>
    <xf numFmtId="10" fontId="18" fillId="0" borderId="0" xfId="0" applyNumberFormat="1" applyFont="1" applyAlignment="1">
      <alignment horizontal="centerContinuous"/>
    </xf>
    <xf numFmtId="0" fontId="18" fillId="0" borderId="0" xfId="0" applyFont="1" applyBorder="1" applyAlignment="1">
      <alignment horizontal="center"/>
    </xf>
    <xf numFmtId="5" fontId="18" fillId="0" borderId="0" xfId="0" applyNumberFormat="1" applyFont="1" applyAlignment="1">
      <alignment horizontal="centerContinuous"/>
    </xf>
    <xf numFmtId="5" fontId="18" fillId="0" borderId="0" xfId="0" applyNumberFormat="1" applyFont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8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2" fillId="0" borderId="0" xfId="0" applyFont="1" applyFill="1"/>
    <xf numFmtId="37" fontId="20" fillId="0" borderId="0" xfId="0" applyNumberFormat="1" applyFont="1" applyFill="1"/>
    <xf numFmtId="166" fontId="20" fillId="0" borderId="3" xfId="0" applyNumberFormat="1" applyFont="1" applyFill="1" applyBorder="1"/>
    <xf numFmtId="166" fontId="20" fillId="0" borderId="0" xfId="0" applyNumberFormat="1" applyFont="1" applyFill="1" applyBorder="1"/>
    <xf numFmtId="0" fontId="39" fillId="0" borderId="0" xfId="0" applyFont="1" applyFill="1"/>
    <xf numFmtId="166" fontId="20" fillId="0" borderId="4" xfId="0" applyNumberFormat="1" applyFont="1" applyFill="1" applyBorder="1"/>
    <xf numFmtId="37" fontId="20" fillId="0" borderId="5" xfId="0" applyNumberFormat="1" applyFont="1" applyBorder="1"/>
    <xf numFmtId="0" fontId="0" fillId="0" borderId="0" xfId="0" applyFill="1" applyAlignment="1">
      <alignment horizontal="centerContinuous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8" fillId="0" borderId="0" xfId="0" applyFont="1" applyFill="1" applyAlignment="1">
      <alignment horizontal="left" indent="1"/>
    </xf>
    <xf numFmtId="180" fontId="16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1" fillId="0" borderId="0" xfId="0" applyFont="1" applyFill="1"/>
    <xf numFmtId="0" fontId="29" fillId="0" borderId="0" xfId="0" applyFont="1" applyAlignment="1">
      <alignment horizontal="centerContinuous"/>
    </xf>
    <xf numFmtId="183" fontId="14" fillId="0" borderId="0" xfId="2" applyNumberFormat="1" applyFont="1"/>
    <xf numFmtId="185" fontId="0" fillId="0" borderId="0" xfId="0" applyNumberFormat="1"/>
    <xf numFmtId="179" fontId="30" fillId="0" borderId="0" xfId="0" applyNumberFormat="1" applyFont="1" applyFill="1"/>
    <xf numFmtId="0" fontId="41" fillId="0" borderId="0" xfId="0" applyFont="1" applyAlignment="1">
      <alignment horizontal="left" indent="1"/>
    </xf>
    <xf numFmtId="0" fontId="42" fillId="0" borderId="0" xfId="0" applyFont="1"/>
    <xf numFmtId="169" fontId="0" fillId="0" borderId="0" xfId="0" applyNumberFormat="1"/>
    <xf numFmtId="0" fontId="0" fillId="0" borderId="0" xfId="0" applyFill="1" applyBorder="1"/>
    <xf numFmtId="17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39" fontId="14" fillId="0" borderId="0" xfId="0" applyNumberFormat="1" applyFont="1"/>
    <xf numFmtId="0" fontId="43" fillId="0" borderId="0" xfId="0" applyFont="1" applyAlignment="1">
      <alignment horizontal="left"/>
    </xf>
    <xf numFmtId="0" fontId="13" fillId="0" borderId="0" xfId="0" applyFont="1"/>
    <xf numFmtId="186" fontId="45" fillId="0" borderId="0" xfId="0" applyNumberFormat="1" applyFont="1" applyAlignment="1">
      <alignment horizontal="center"/>
    </xf>
    <xf numFmtId="179" fontId="45" fillId="4" borderId="3" xfId="0" applyNumberFormat="1" applyFont="1" applyFill="1" applyBorder="1"/>
    <xf numFmtId="173" fontId="45" fillId="0" borderId="0" xfId="0" applyNumberFormat="1" applyFont="1"/>
    <xf numFmtId="0" fontId="13" fillId="0" borderId="0" xfId="0" applyFont="1" applyFill="1"/>
    <xf numFmtId="37" fontId="46" fillId="0" borderId="0" xfId="2" applyNumberFormat="1" applyFont="1"/>
    <xf numFmtId="37" fontId="46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7" fillId="0" borderId="0" xfId="0" applyFont="1"/>
    <xf numFmtId="3" fontId="0" fillId="0" borderId="1" xfId="0" applyNumberFormat="1" applyBorder="1"/>
    <xf numFmtId="0" fontId="48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179" fontId="19" fillId="4" borderId="9" xfId="0" applyNumberFormat="1" applyFont="1" applyFill="1" applyBorder="1"/>
    <xf numFmtId="179" fontId="19" fillId="4" borderId="11" xfId="0" applyNumberFormat="1" applyFont="1" applyFill="1" applyBorder="1"/>
    <xf numFmtId="179" fontId="19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0" fontId="0" fillId="0" borderId="0" xfId="3" applyNumberFormat="1" applyFont="1"/>
    <xf numFmtId="175" fontId="18" fillId="0" borderId="0" xfId="0" applyNumberFormat="1" applyFont="1" applyAlignment="1">
      <alignment horizontal="center"/>
    </xf>
    <xf numFmtId="5" fontId="22" fillId="0" borderId="0" xfId="0" applyNumberFormat="1" applyFont="1" applyBorder="1" applyAlignment="1">
      <alignment horizontal="center"/>
    </xf>
    <xf numFmtId="5" fontId="22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6" fillId="0" borderId="0" xfId="1" applyNumberFormat="1" applyFont="1" applyFill="1"/>
    <xf numFmtId="37" fontId="13" fillId="0" borderId="0" xfId="0" applyNumberFormat="1" applyFont="1" applyFill="1" applyBorder="1"/>
    <xf numFmtId="37" fontId="22" fillId="0" borderId="0" xfId="0" applyNumberFormat="1" applyFont="1" applyFill="1"/>
    <xf numFmtId="0" fontId="21" fillId="0" borderId="0" xfId="0" applyFont="1" applyBorder="1" applyAlignment="1">
      <alignment horizontal="center"/>
    </xf>
    <xf numFmtId="0" fontId="18" fillId="0" borderId="0" xfId="0" applyFont="1" applyBorder="1"/>
    <xf numFmtId="166" fontId="18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5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8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5" fillId="0" borderId="0" xfId="0" applyNumberFormat="1" applyFont="1"/>
    <xf numFmtId="184" fontId="45" fillId="0" borderId="0" xfId="0" applyNumberFormat="1" applyFont="1" applyFill="1"/>
    <xf numFmtId="3" fontId="18" fillId="0" borderId="0" xfId="0" applyNumberFormat="1" applyFont="1" applyFill="1" applyBorder="1"/>
    <xf numFmtId="0" fontId="18" fillId="0" borderId="8" xfId="0" applyFont="1" applyFill="1" applyBorder="1"/>
    <xf numFmtId="0" fontId="0" fillId="0" borderId="0" xfId="0" applyFill="1"/>
    <xf numFmtId="179" fontId="28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2" fillId="0" borderId="0" xfId="0" applyFont="1" applyFill="1" applyBorder="1"/>
    <xf numFmtId="166" fontId="0" fillId="0" borderId="0" xfId="1" applyNumberFormat="1" applyFont="1" applyFill="1"/>
    <xf numFmtId="0" fontId="22" fillId="0" borderId="0" xfId="0" applyFont="1" applyFill="1" applyBorder="1" applyAlignment="1">
      <alignment horizontal="center"/>
    </xf>
    <xf numFmtId="3" fontId="18" fillId="0" borderId="1" xfId="0" applyNumberFormat="1" applyFont="1" applyFill="1" applyBorder="1"/>
    <xf numFmtId="9" fontId="0" fillId="0" borderId="0" xfId="3" applyFont="1"/>
    <xf numFmtId="44" fontId="0" fillId="0" borderId="0" xfId="0" applyNumberFormat="1"/>
    <xf numFmtId="0" fontId="0" fillId="0" borderId="13" xfId="0" applyBorder="1"/>
    <xf numFmtId="44" fontId="0" fillId="0" borderId="14" xfId="2" applyFont="1" applyBorder="1"/>
    <xf numFmtId="44" fontId="0" fillId="0" borderId="15" xfId="0" applyNumberFormat="1" applyBorder="1"/>
    <xf numFmtId="44" fontId="58" fillId="0" borderId="0" xfId="2" applyFont="1"/>
    <xf numFmtId="190" fontId="58" fillId="0" borderId="0" xfId="2" applyNumberFormat="1" applyFont="1"/>
    <xf numFmtId="44" fontId="0" fillId="0" borderId="0" xfId="2" applyFont="1" applyBorder="1"/>
    <xf numFmtId="44" fontId="0" fillId="0" borderId="0" xfId="0" applyNumberFormat="1" applyBorder="1"/>
    <xf numFmtId="44" fontId="18" fillId="0" borderId="0" xfId="0" applyNumberFormat="1" applyFont="1"/>
    <xf numFmtId="175" fontId="18" fillId="0" borderId="0" xfId="3" applyNumberFormat="1" applyFont="1"/>
    <xf numFmtId="44" fontId="18" fillId="0" borderId="0" xfId="0" applyNumberFormat="1" applyFont="1" applyBorder="1"/>
    <xf numFmtId="175" fontId="18" fillId="0" borderId="0" xfId="3" applyNumberFormat="1" applyFont="1" applyBorder="1"/>
    <xf numFmtId="44" fontId="0" fillId="0" borderId="14" xfId="0" applyNumberFormat="1" applyBorder="1"/>
    <xf numFmtId="0" fontId="0" fillId="0" borderId="14" xfId="0" applyBorder="1"/>
    <xf numFmtId="9" fontId="13" fillId="0" borderId="0" xfId="3" applyNumberFormat="1" applyFont="1" applyFill="1"/>
    <xf numFmtId="190" fontId="0" fillId="0" borderId="7" xfId="0" applyNumberFormat="1" applyFill="1" applyBorder="1"/>
    <xf numFmtId="0" fontId="18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5" fillId="0" borderId="11" xfId="0" applyFont="1" applyFill="1" applyBorder="1"/>
    <xf numFmtId="0" fontId="62" fillId="0" borderId="0" xfId="0" applyFont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10" fontId="14" fillId="0" borderId="0" xfId="3" applyNumberFormat="1" applyFont="1"/>
    <xf numFmtId="44" fontId="18" fillId="0" borderId="14" xfId="0" applyNumberFormat="1" applyFont="1" applyBorder="1"/>
    <xf numFmtId="174" fontId="0" fillId="0" borderId="4" xfId="0" applyNumberFormat="1" applyBorder="1"/>
    <xf numFmtId="175" fontId="18" fillId="0" borderId="15" xfId="3" applyNumberFormat="1" applyFon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175" fontId="0" fillId="0" borderId="0" xfId="3" applyNumberFormat="1" applyFont="1"/>
    <xf numFmtId="3" fontId="13" fillId="0" borderId="0" xfId="0" applyNumberFormat="1" applyFont="1" applyAlignment="1">
      <alignment horizontal="center"/>
    </xf>
    <xf numFmtId="43" fontId="18" fillId="0" borderId="0" xfId="1" applyFont="1"/>
    <xf numFmtId="0" fontId="81" fillId="0" borderId="0" xfId="8" applyFont="1" applyBorder="1" applyAlignment="1">
      <alignment vertical="top"/>
    </xf>
    <xf numFmtId="0" fontId="82" fillId="0" borderId="0" xfId="8" applyFont="1" applyBorder="1" applyAlignment="1">
      <alignment vertical="top" wrapText="1"/>
    </xf>
    <xf numFmtId="166" fontId="83" fillId="0" borderId="0" xfId="1111" applyNumberFormat="1" applyFont="1" applyBorder="1"/>
    <xf numFmtId="166" fontId="83" fillId="0" borderId="0" xfId="1112" applyNumberFormat="1" applyFont="1" applyBorder="1"/>
    <xf numFmtId="166" fontId="83" fillId="0" borderId="0" xfId="1116" applyNumberFormat="1" applyFont="1" applyBorder="1"/>
    <xf numFmtId="166" fontId="83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2" fillId="0" borderId="0" xfId="0" applyNumberFormat="1" applyFont="1" applyAlignment="1">
      <alignment horizontal="center"/>
    </xf>
    <xf numFmtId="191" fontId="28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0" fillId="0" borderId="0" xfId="0" applyNumberFormat="1"/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5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8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85" fillId="0" borderId="0" xfId="8" applyFont="1" applyBorder="1" applyAlignment="1">
      <alignment vertical="top"/>
    </xf>
    <xf numFmtId="3" fontId="19" fillId="0" borderId="0" xfId="0" applyNumberFormat="1" applyFont="1" applyFill="1"/>
    <xf numFmtId="166" fontId="61" fillId="0" borderId="0" xfId="1096" applyNumberFormat="1" applyFont="1" applyFill="1" applyBorder="1" applyAlignment="1"/>
    <xf numFmtId="166" fontId="83" fillId="0" borderId="0" xfId="1291" applyNumberFormat="1" applyFont="1" applyBorder="1"/>
    <xf numFmtId="166" fontId="83" fillId="0" borderId="0" xfId="1291" applyNumberFormat="1" applyFont="1" applyFill="1" applyBorder="1"/>
    <xf numFmtId="0" fontId="82" fillId="0" borderId="0" xfId="8" applyFont="1" applyBorder="1" applyAlignment="1">
      <alignment vertical="top"/>
    </xf>
    <xf numFmtId="179" fontId="0" fillId="0" borderId="0" xfId="0" applyNumberFormat="1" applyFill="1"/>
    <xf numFmtId="0" fontId="19" fillId="0" borderId="0" xfId="0" applyFont="1" applyFill="1"/>
    <xf numFmtId="0" fontId="16" fillId="0" borderId="0" xfId="0" applyFont="1" applyFill="1"/>
    <xf numFmtId="0" fontId="86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5" fillId="0" borderId="0" xfId="0" applyNumberFormat="1" applyFont="1"/>
    <xf numFmtId="0" fontId="85" fillId="0" borderId="0" xfId="8" applyFont="1" applyFill="1" applyBorder="1" applyAlignment="1">
      <alignment vertical="top"/>
    </xf>
    <xf numFmtId="166" fontId="83" fillId="0" borderId="0" xfId="1384" applyNumberFormat="1" applyFont="1" applyFill="1" applyBorder="1" applyAlignment="1"/>
    <xf numFmtId="166" fontId="83" fillId="0" borderId="1" xfId="1384" applyNumberFormat="1" applyFont="1" applyFill="1" applyBorder="1" applyAlignment="1"/>
    <xf numFmtId="166" fontId="83" fillId="0" borderId="0" xfId="1384" applyNumberFormat="1" applyFont="1" applyFill="1" applyBorder="1"/>
    <xf numFmtId="166" fontId="88" fillId="0" borderId="0" xfId="1" applyNumberFormat="1" applyFont="1" applyFill="1"/>
    <xf numFmtId="37" fontId="46" fillId="0" borderId="0" xfId="0" applyNumberFormat="1" applyFont="1" applyFill="1"/>
    <xf numFmtId="5" fontId="22" fillId="0" borderId="0" xfId="0" applyNumberFormat="1" applyFont="1" applyFill="1" applyBorder="1" applyAlignment="1">
      <alignment horizontal="center"/>
    </xf>
    <xf numFmtId="189" fontId="45" fillId="0" borderId="0" xfId="2" applyNumberFormat="1" applyFont="1"/>
    <xf numFmtId="0" fontId="89" fillId="0" borderId="0" xfId="0" applyFont="1" applyAlignment="1">
      <alignment horizontal="left"/>
    </xf>
    <xf numFmtId="5" fontId="22" fillId="0" borderId="0" xfId="0" applyNumberFormat="1" applyFont="1" applyFill="1" applyAlignment="1">
      <alignment horizontal="center"/>
    </xf>
    <xf numFmtId="9" fontId="13" fillId="0" borderId="0" xfId="3" applyFont="1" applyAlignment="1">
      <alignment horizontal="center"/>
    </xf>
    <xf numFmtId="175" fontId="18" fillId="0" borderId="0" xfId="3" applyNumberFormat="1" applyFont="1" applyAlignment="1">
      <alignment horizontal="center"/>
    </xf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5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90" fillId="0" borderId="0" xfId="48" applyNumberFormat="1" applyFont="1" applyBorder="1" applyAlignment="1">
      <alignment vertical="top"/>
    </xf>
    <xf numFmtId="17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90" fontId="18" fillId="0" borderId="0" xfId="2" applyNumberFormat="1" applyFont="1"/>
    <xf numFmtId="190" fontId="0" fillId="0" borderId="0" xfId="0" applyNumberFormat="1"/>
    <xf numFmtId="166" fontId="91" fillId="0" borderId="0" xfId="1" applyNumberFormat="1" applyFont="1"/>
    <xf numFmtId="189" fontId="91" fillId="0" borderId="0" xfId="2" applyNumberFormat="1" applyFont="1"/>
    <xf numFmtId="189" fontId="91" fillId="0" borderId="0" xfId="0" applyNumberFormat="1" applyFont="1"/>
    <xf numFmtId="10" fontId="22" fillId="0" borderId="0" xfId="3" applyNumberFormat="1" applyFont="1"/>
    <xf numFmtId="189" fontId="0" fillId="43" borderId="0" xfId="0" applyNumberFormat="1" applyFill="1"/>
    <xf numFmtId="189" fontId="91" fillId="43" borderId="0" xfId="0" applyNumberFormat="1" applyFont="1" applyFill="1"/>
    <xf numFmtId="5" fontId="21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5" fillId="7" borderId="0" xfId="0" applyNumberFormat="1" applyFont="1" applyFill="1"/>
    <xf numFmtId="10" fontId="13" fillId="7" borderId="0" xfId="3" applyNumberFormat="1" applyFont="1" applyFill="1"/>
    <xf numFmtId="189" fontId="18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8" fillId="7" borderId="0" xfId="0" applyNumberFormat="1" applyFont="1" applyFill="1"/>
    <xf numFmtId="0" fontId="92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3" fillId="0" borderId="0" xfId="0" applyFont="1" applyAlignment="1">
      <alignment horizontal="right"/>
    </xf>
    <xf numFmtId="166" fontId="83" fillId="7" borderId="0" xfId="1384" applyNumberFormat="1" applyFont="1" applyFill="1" applyBorder="1"/>
    <xf numFmtId="0" fontId="86" fillId="7" borderId="0" xfId="0" applyFont="1" applyFill="1"/>
    <xf numFmtId="0" fontId="87" fillId="7" borderId="0" xfId="8" applyFont="1" applyFill="1" applyBorder="1" applyAlignment="1">
      <alignment vertical="top"/>
    </xf>
    <xf numFmtId="0" fontId="85" fillId="7" borderId="0" xfId="8" applyFont="1" applyFill="1" applyBorder="1" applyAlignment="1">
      <alignment vertical="top"/>
    </xf>
    <xf numFmtId="166" fontId="83" fillId="7" borderId="1" xfId="1384" applyNumberFormat="1" applyFont="1" applyFill="1" applyBorder="1"/>
    <xf numFmtId="166" fontId="83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5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8" fillId="7" borderId="0" xfId="0" applyFont="1" applyFill="1"/>
    <xf numFmtId="0" fontId="47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19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0" fillId="43" borderId="0" xfId="0" applyFont="1" applyFill="1" applyAlignment="1">
      <alignment horizontal="left" indent="1"/>
    </xf>
    <xf numFmtId="3" fontId="20" fillId="43" borderId="0" xfId="0" applyNumberFormat="1" applyFont="1" applyFill="1"/>
    <xf numFmtId="166" fontId="83" fillId="7" borderId="0" xfId="1384" applyNumberFormat="1" applyFont="1" applyFill="1" applyBorder="1" applyAlignment="1"/>
    <xf numFmtId="166" fontId="83" fillId="7" borderId="0" xfId="1115" applyNumberFormat="1" applyFont="1" applyFill="1" applyBorder="1"/>
    <xf numFmtId="170" fontId="82" fillId="0" borderId="0" xfId="0" applyNumberFormat="1" applyFont="1"/>
    <xf numFmtId="0" fontId="82" fillId="0" borderId="0" xfId="0" applyFont="1"/>
    <xf numFmtId="5" fontId="82" fillId="0" borderId="0" xfId="0" applyNumberFormat="1" applyFont="1"/>
    <xf numFmtId="175" fontId="82" fillId="0" borderId="0" xfId="3" applyNumberFormat="1" applyFont="1"/>
    <xf numFmtId="189" fontId="82" fillId="0" borderId="0" xfId="2" applyNumberFormat="1" applyFont="1"/>
    <xf numFmtId="9" fontId="82" fillId="0" borderId="0" xfId="3" applyFont="1"/>
    <xf numFmtId="170" fontId="82" fillId="7" borderId="0" xfId="0" applyNumberFormat="1" applyFont="1" applyFill="1" applyAlignment="1"/>
    <xf numFmtId="170" fontId="82" fillId="7" borderId="0" xfId="0" applyNumberFormat="1" applyFont="1" applyFill="1"/>
    <xf numFmtId="0" fontId="82" fillId="7" borderId="0" xfId="0" applyFont="1" applyFill="1"/>
    <xf numFmtId="170" fontId="82" fillId="0" borderId="1" xfId="0" applyNumberFormat="1" applyFont="1" applyFill="1" applyBorder="1"/>
    <xf numFmtId="170" fontId="82" fillId="0" borderId="1" xfId="0" applyNumberFormat="1" applyFont="1" applyBorder="1"/>
    <xf numFmtId="170" fontId="82" fillId="0" borderId="0" xfId="0" applyNumberFormat="1" applyFont="1" applyFill="1"/>
    <xf numFmtId="0" fontId="82" fillId="0" borderId="1" xfId="0" applyFont="1" applyBorder="1"/>
    <xf numFmtId="170" fontId="82" fillId="0" borderId="3" xfId="0" applyNumberFormat="1" applyFont="1" applyBorder="1"/>
    <xf numFmtId="170" fontId="82" fillId="0" borderId="4" xfId="0" applyNumberFormat="1" applyFont="1" applyBorder="1"/>
    <xf numFmtId="170" fontId="90" fillId="0" borderId="3" xfId="0" applyNumberFormat="1" applyFont="1" applyBorder="1"/>
    <xf numFmtId="170" fontId="82" fillId="0" borderId="0" xfId="0" applyNumberFormat="1" applyFont="1" applyBorder="1"/>
    <xf numFmtId="170" fontId="90" fillId="0" borderId="0" xfId="0" applyNumberFormat="1" applyFont="1" applyBorder="1"/>
    <xf numFmtId="0" fontId="90" fillId="0" borderId="0" xfId="0" applyFont="1" applyAlignment="1">
      <alignment horizontal="center"/>
    </xf>
    <xf numFmtId="3" fontId="90" fillId="0" borderId="0" xfId="0" applyNumberFormat="1" applyFont="1" applyAlignment="1">
      <alignment horizontal="center"/>
    </xf>
    <xf numFmtId="173" fontId="94" fillId="0" borderId="0" xfId="0" applyNumberFormat="1" applyFont="1" applyBorder="1"/>
    <xf numFmtId="173" fontId="95" fillId="7" borderId="0" xfId="0" applyNumberFormat="1" applyFont="1" applyFill="1" applyAlignment="1">
      <alignment horizontal="right"/>
    </xf>
    <xf numFmtId="3" fontId="96" fillId="0" borderId="0" xfId="0" applyNumberFormat="1" applyFont="1" applyAlignment="1">
      <alignment horizontal="center"/>
    </xf>
    <xf numFmtId="171" fontId="96" fillId="0" borderId="0" xfId="0" applyNumberFormat="1" applyFont="1" applyAlignment="1">
      <alignment horizontal="center"/>
    </xf>
    <xf numFmtId="43" fontId="82" fillId="7" borderId="0" xfId="1" applyFont="1" applyFill="1"/>
    <xf numFmtId="173" fontId="82" fillId="7" borderId="0" xfId="0" applyNumberFormat="1" applyFont="1" applyFill="1"/>
    <xf numFmtId="170" fontId="90" fillId="7" borderId="0" xfId="0" applyNumberFormat="1" applyFont="1" applyFill="1" applyBorder="1"/>
    <xf numFmtId="170" fontId="82" fillId="7" borderId="6" xfId="0" applyNumberFormat="1" applyFont="1" applyFill="1" applyBorder="1"/>
    <xf numFmtId="170" fontId="82" fillId="7" borderId="3" xfId="0" applyNumberFormat="1" applyFont="1" applyFill="1" applyBorder="1"/>
    <xf numFmtId="170" fontId="82" fillId="7" borderId="9" xfId="0" applyNumberFormat="1" applyFont="1" applyFill="1" applyBorder="1"/>
    <xf numFmtId="170" fontId="82" fillId="7" borderId="7" xfId="0" applyNumberFormat="1" applyFont="1" applyFill="1" applyBorder="1"/>
    <xf numFmtId="170" fontId="82" fillId="7" borderId="0" xfId="0" applyNumberFormat="1" applyFont="1" applyFill="1" applyBorder="1"/>
    <xf numFmtId="170" fontId="82" fillId="7" borderId="11" xfId="0" applyNumberFormat="1" applyFont="1" applyFill="1" applyBorder="1"/>
    <xf numFmtId="5" fontId="82" fillId="7" borderId="0" xfId="0" applyNumberFormat="1" applyFont="1" applyFill="1"/>
    <xf numFmtId="175" fontId="82" fillId="7" borderId="0" xfId="3" applyNumberFormat="1" applyFont="1" applyFill="1"/>
    <xf numFmtId="170" fontId="82" fillId="7" borderId="26" xfId="0" applyNumberFormat="1" applyFont="1" applyFill="1" applyBorder="1"/>
    <xf numFmtId="170" fontId="82" fillId="7" borderId="2" xfId="0" applyNumberFormat="1" applyFont="1" applyFill="1" applyBorder="1"/>
    <xf numFmtId="170" fontId="82" fillId="7" borderId="27" xfId="0" applyNumberFormat="1" applyFont="1" applyFill="1" applyBorder="1"/>
    <xf numFmtId="173" fontId="82" fillId="0" borderId="3" xfId="0" applyNumberFormat="1" applyFont="1" applyBorder="1"/>
    <xf numFmtId="173" fontId="82" fillId="0" borderId="0" xfId="0" applyNumberFormat="1" applyFont="1"/>
    <xf numFmtId="186" fontId="82" fillId="0" borderId="0" xfId="0" applyNumberFormat="1" applyFont="1" applyAlignment="1">
      <alignment horizontal="center"/>
    </xf>
    <xf numFmtId="0" fontId="90" fillId="0" borderId="0" xfId="0" applyFont="1" applyAlignment="1">
      <alignment horizontal="right"/>
    </xf>
    <xf numFmtId="3" fontId="97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2" fillId="0" borderId="0" xfId="0" applyNumberFormat="1" applyFont="1" applyFill="1" applyBorder="1"/>
    <xf numFmtId="3" fontId="82" fillId="0" borderId="0" xfId="0" applyNumberFormat="1" applyFont="1"/>
    <xf numFmtId="173" fontId="94" fillId="0" borderId="0" xfId="0" applyNumberFormat="1" applyFont="1" applyFill="1" applyBorder="1"/>
    <xf numFmtId="173" fontId="61" fillId="0" borderId="0" xfId="0" applyNumberFormat="1" applyFont="1"/>
    <xf numFmtId="3" fontId="82" fillId="0" borderId="3" xfId="0" applyNumberFormat="1" applyFont="1" applyBorder="1"/>
    <xf numFmtId="170" fontId="82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2" fillId="7" borderId="1" xfId="0" applyNumberFormat="1" applyFont="1" applyFill="1" applyBorder="1"/>
    <xf numFmtId="186" fontId="82" fillId="7" borderId="0" xfId="0" applyNumberFormat="1" applyFont="1" applyFill="1" applyAlignment="1">
      <alignment horizontal="center"/>
    </xf>
    <xf numFmtId="3" fontId="82" fillId="0" borderId="5" xfId="0" applyNumberFormat="1" applyFont="1" applyBorder="1"/>
    <xf numFmtId="168" fontId="82" fillId="0" borderId="0" xfId="0" applyNumberFormat="1" applyFont="1" applyFill="1"/>
    <xf numFmtId="3" fontId="82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2" fillId="7" borderId="0" xfId="0" applyFont="1" applyFill="1" applyAlignment="1">
      <alignment horizontal="right"/>
    </xf>
    <xf numFmtId="166" fontId="82" fillId="7" borderId="0" xfId="1" applyNumberFormat="1" applyFont="1" applyFill="1"/>
    <xf numFmtId="166" fontId="82" fillId="0" borderId="0" xfId="1" applyNumberFormat="1" applyFont="1"/>
    <xf numFmtId="3" fontId="82" fillId="0" borderId="0" xfId="0" applyNumberFormat="1" applyFont="1" applyBorder="1"/>
    <xf numFmtId="168" fontId="94" fillId="7" borderId="0" xfId="0" applyNumberFormat="1" applyFont="1" applyFill="1" applyBorder="1"/>
    <xf numFmtId="37" fontId="18" fillId="0" borderId="0" xfId="0" applyNumberFormat="1" applyFont="1" applyFill="1" applyBorder="1"/>
    <xf numFmtId="37" fontId="45" fillId="7" borderId="0" xfId="0" applyNumberFormat="1" applyFont="1" applyFill="1"/>
    <xf numFmtId="37" fontId="13" fillId="7" borderId="0" xfId="0" applyNumberFormat="1" applyFont="1" applyFill="1" applyBorder="1"/>
    <xf numFmtId="37" fontId="45" fillId="7" borderId="0" xfId="0" applyNumberFormat="1" applyFont="1" applyFill="1" applyBorder="1"/>
    <xf numFmtId="37" fontId="19" fillId="7" borderId="0" xfId="0" applyNumberFormat="1" applyFont="1" applyFill="1"/>
    <xf numFmtId="37" fontId="16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8" fillId="0" borderId="0" xfId="1" applyNumberFormat="1" applyFont="1" applyFill="1"/>
    <xf numFmtId="3" fontId="20" fillId="43" borderId="5" xfId="0" applyNumberFormat="1" applyFont="1" applyFill="1" applyBorder="1"/>
    <xf numFmtId="166" fontId="20" fillId="43" borderId="0" xfId="0" applyNumberFormat="1" applyFont="1" applyFill="1"/>
    <xf numFmtId="3" fontId="20" fillId="43" borderId="4" xfId="0" applyNumberFormat="1" applyFont="1" applyFill="1" applyBorder="1"/>
    <xf numFmtId="166" fontId="20" fillId="43" borderId="3" xfId="0" applyNumberFormat="1" applyFont="1" applyFill="1" applyBorder="1"/>
    <xf numFmtId="3" fontId="19" fillId="7" borderId="0" xfId="0" applyNumberFormat="1" applyFont="1" applyFill="1"/>
    <xf numFmtId="176" fontId="37" fillId="7" borderId="0" xfId="0" applyNumberFormat="1" applyFont="1" applyFill="1"/>
    <xf numFmtId="0" fontId="36" fillId="7" borderId="0" xfId="0" applyFont="1" applyFill="1"/>
    <xf numFmtId="179" fontId="37" fillId="7" borderId="0" xfId="0" applyNumberFormat="1" applyFont="1" applyFill="1"/>
    <xf numFmtId="0" fontId="14" fillId="7" borderId="0" xfId="0" applyFont="1" applyFill="1"/>
    <xf numFmtId="179" fontId="28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8" fillId="7" borderId="0" xfId="0" applyFont="1" applyFill="1" applyAlignment="1">
      <alignment horizontal="center"/>
    </xf>
    <xf numFmtId="0" fontId="18" fillId="7" borderId="1" xfId="0" applyFont="1" applyFill="1" applyBorder="1" applyAlignment="1">
      <alignment horizontal="center"/>
    </xf>
    <xf numFmtId="175" fontId="18" fillId="7" borderId="0" xfId="0" applyNumberFormat="1" applyFont="1" applyFill="1" applyAlignment="1">
      <alignment horizontal="center"/>
    </xf>
    <xf numFmtId="173" fontId="18" fillId="7" borderId="0" xfId="0" applyNumberFormat="1" applyFont="1" applyFill="1"/>
    <xf numFmtId="165" fontId="14" fillId="7" borderId="1" xfId="0" applyNumberFormat="1" applyFont="1" applyFill="1" applyBorder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6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6" fillId="7" borderId="0" xfId="0" applyNumberFormat="1" applyFont="1" applyFill="1"/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7" fontId="18" fillId="0" borderId="0" xfId="0" applyNumberFormat="1" applyFont="1" applyFill="1"/>
    <xf numFmtId="172" fontId="18" fillId="0" borderId="0" xfId="0" applyNumberFormat="1" applyFont="1" applyFill="1"/>
    <xf numFmtId="0" fontId="18" fillId="0" borderId="0" xfId="0" applyFont="1" applyFill="1" applyAlignment="1">
      <alignment horizontal="right"/>
    </xf>
    <xf numFmtId="184" fontId="13" fillId="0" borderId="0" xfId="0" applyNumberFormat="1" applyFont="1" applyFill="1"/>
    <xf numFmtId="3" fontId="13" fillId="0" borderId="3" xfId="744" applyNumberFormat="1" applyBorder="1"/>
    <xf numFmtId="3" fontId="13" fillId="0" borderId="0" xfId="744" applyNumberFormat="1"/>
    <xf numFmtId="3" fontId="13" fillId="0" borderId="3" xfId="0" applyNumberFormat="1" applyFont="1" applyBorder="1"/>
    <xf numFmtId="3" fontId="18" fillId="0" borderId="0" xfId="0" applyNumberFormat="1" applyFont="1"/>
    <xf numFmtId="4" fontId="18" fillId="0" borderId="0" xfId="0" applyNumberFormat="1" applyFont="1"/>
    <xf numFmtId="3" fontId="23" fillId="0" borderId="0" xfId="0" applyNumberFormat="1" applyFont="1"/>
    <xf numFmtId="3" fontId="18" fillId="0" borderId="3" xfId="0" applyNumberFormat="1" applyFont="1" applyBorder="1"/>
    <xf numFmtId="0" fontId="22" fillId="0" borderId="0" xfId="0" applyFont="1" applyAlignment="1">
      <alignment horizontal="right"/>
    </xf>
    <xf numFmtId="192" fontId="23" fillId="0" borderId="0" xfId="0" applyNumberFormat="1" applyFont="1"/>
    <xf numFmtId="192" fontId="19" fillId="0" borderId="0" xfId="0" applyNumberFormat="1" applyFont="1"/>
    <xf numFmtId="185" fontId="19" fillId="0" borderId="0" xfId="0" applyNumberFormat="1" applyFont="1"/>
    <xf numFmtId="2" fontId="18" fillId="0" borderId="0" xfId="0" applyNumberFormat="1" applyFont="1"/>
    <xf numFmtId="4" fontId="98" fillId="0" borderId="0" xfId="0" applyNumberFormat="1" applyFont="1"/>
    <xf numFmtId="193" fontId="0" fillId="0" borderId="0" xfId="0" applyNumberFormat="1"/>
    <xf numFmtId="41" fontId="0" fillId="0" borderId="0" xfId="0" applyNumberFormat="1"/>
    <xf numFmtId="10" fontId="0" fillId="0" borderId="0" xfId="3" applyNumberFormat="1" applyFont="1" applyBorder="1"/>
    <xf numFmtId="10" fontId="13" fillId="0" borderId="0" xfId="3" applyNumberFormat="1" applyFont="1" applyBorder="1"/>
    <xf numFmtId="189" fontId="0" fillId="0" borderId="0" xfId="2" applyNumberFormat="1" applyFont="1" applyBorder="1"/>
    <xf numFmtId="194" fontId="19" fillId="0" borderId="0" xfId="0" applyNumberFormat="1" applyFont="1" applyAlignment="1">
      <alignment horizontal="center"/>
    </xf>
    <xf numFmtId="41" fontId="0" fillId="0" borderId="0" xfId="2" applyNumberFormat="1" applyFont="1"/>
    <xf numFmtId="41" fontId="45" fillId="0" borderId="0" xfId="2" applyNumberFormat="1" applyFont="1" applyFill="1"/>
    <xf numFmtId="189" fontId="13" fillId="0" borderId="0" xfId="2" applyNumberFormat="1" applyFont="1" applyAlignment="1">
      <alignment horizontal="center"/>
    </xf>
    <xf numFmtId="194" fontId="45" fillId="0" borderId="0" xfId="0" applyNumberFormat="1" applyFont="1" applyAlignment="1">
      <alignment horizontal="center"/>
    </xf>
    <xf numFmtId="194" fontId="16" fillId="0" borderId="0" xfId="0" applyNumberFormat="1" applyFont="1" applyAlignment="1">
      <alignment horizontal="center"/>
    </xf>
    <xf numFmtId="175" fontId="13" fillId="0" borderId="0" xfId="3" applyNumberFormat="1" applyFont="1" applyAlignment="1">
      <alignment horizontal="center"/>
    </xf>
    <xf numFmtId="0" fontId="13" fillId="0" borderId="0" xfId="719"/>
    <xf numFmtId="3" fontId="13" fillId="0" borderId="0" xfId="719" applyNumberFormat="1"/>
    <xf numFmtId="3" fontId="13" fillId="0" borderId="0" xfId="4" applyNumberFormat="1"/>
    <xf numFmtId="3" fontId="13" fillId="0" borderId="3" xfId="719" applyNumberFormat="1" applyBorder="1"/>
    <xf numFmtId="0" fontId="13" fillId="0" borderId="0" xfId="731" applyAlignment="1">
      <alignment horizontal="left" indent="1"/>
    </xf>
    <xf numFmtId="3" fontId="13" fillId="0" borderId="1" xfId="719" applyNumberFormat="1" applyBorder="1"/>
    <xf numFmtId="3" fontId="13" fillId="0" borderId="1" xfId="744" applyNumberFormat="1" applyBorder="1"/>
    <xf numFmtId="0" fontId="13" fillId="0" borderId="0" xfId="731" applyAlignment="1">
      <alignment horizontal="left" indent="2"/>
    </xf>
    <xf numFmtId="9" fontId="13" fillId="0" borderId="0" xfId="3" applyFont="1" applyFill="1" applyBorder="1"/>
    <xf numFmtId="166" fontId="13" fillId="0" borderId="0" xfId="1" applyNumberFormat="1" applyFont="1" applyFill="1" applyBorder="1"/>
    <xf numFmtId="9" fontId="13" fillId="0" borderId="0" xfId="3" applyFont="1"/>
    <xf numFmtId="0" fontId="18" fillId="0" borderId="0" xfId="719" applyFont="1"/>
    <xf numFmtId="195" fontId="18" fillId="0" borderId="0" xfId="3" applyNumberFormat="1" applyFont="1"/>
    <xf numFmtId="43" fontId="18" fillId="0" borderId="0" xfId="3" applyNumberFormat="1" applyFont="1"/>
    <xf numFmtId="43" fontId="18" fillId="0" borderId="0" xfId="1" applyFont="1" applyFill="1"/>
    <xf numFmtId="43" fontId="18" fillId="0" borderId="0" xfId="3" applyNumberFormat="1" applyFont="1" applyFill="1"/>
    <xf numFmtId="0" fontId="45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10" fontId="13" fillId="0" borderId="0" xfId="0" applyNumberFormat="1" applyFont="1" applyFill="1" applyAlignment="1">
      <alignment horizontal="center"/>
    </xf>
    <xf numFmtId="2" fontId="18" fillId="0" borderId="0" xfId="0" applyNumberFormat="1" applyFont="1" applyFill="1" applyAlignment="1">
      <alignment horizontal="center"/>
    </xf>
    <xf numFmtId="175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5" fontId="13" fillId="0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44" fontId="14" fillId="0" borderId="0" xfId="2" applyFont="1"/>
    <xf numFmtId="7" fontId="14" fillId="0" borderId="0" xfId="2" applyNumberFormat="1" applyFont="1"/>
    <xf numFmtId="7" fontId="14" fillId="0" borderId="0" xfId="0" applyNumberFormat="1" applyFont="1"/>
    <xf numFmtId="44" fontId="14" fillId="0" borderId="0" xfId="0" applyNumberFormat="1" applyFont="1"/>
    <xf numFmtId="0" fontId="34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50"/>
  <sheetViews>
    <sheetView showGridLines="0" topLeftCell="A140" zoomScaleNormal="100" zoomScaleSheetLayoutView="100" workbookViewId="0">
      <selection activeCell="M250" sqref="M250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70"/>
    </row>
    <row r="3" spans="1:19">
      <c r="J3" s="1" t="s">
        <v>5</v>
      </c>
    </row>
    <row r="4" spans="1:19" s="1" customFormat="1">
      <c r="A4" s="121" t="s">
        <v>180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389</v>
      </c>
    </row>
    <row r="5" spans="1:19" s="1" customFormat="1">
      <c r="A5" s="121" t="s">
        <v>181</v>
      </c>
      <c r="B5" s="2"/>
      <c r="C5" s="2" t="s">
        <v>6</v>
      </c>
      <c r="D5" s="2" t="s">
        <v>449</v>
      </c>
      <c r="E5" s="2" t="s">
        <v>461</v>
      </c>
      <c r="F5" s="2" t="s">
        <v>460</v>
      </c>
      <c r="G5" s="2" t="s">
        <v>10</v>
      </c>
      <c r="H5" s="2" t="s">
        <v>11</v>
      </c>
      <c r="I5" s="2" t="s">
        <v>53</v>
      </c>
      <c r="J5" s="2" t="s">
        <v>56</v>
      </c>
      <c r="L5" s="106"/>
      <c r="M5" s="106"/>
      <c r="N5" s="106"/>
      <c r="O5" s="106"/>
      <c r="P5" s="106"/>
      <c r="Q5" s="107" t="s">
        <v>163</v>
      </c>
      <c r="R5" s="106"/>
      <c r="S5" s="106"/>
    </row>
    <row r="6" spans="1:19" ht="12.75" customHeight="1">
      <c r="B6" s="57" t="s">
        <v>109</v>
      </c>
      <c r="L6" s="106"/>
      <c r="M6" s="108" t="s">
        <v>164</v>
      </c>
      <c r="N6" s="106"/>
      <c r="O6" s="106"/>
      <c r="P6" s="109"/>
      <c r="Q6" s="606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606"/>
      <c r="S6" s="606"/>
    </row>
    <row r="7" spans="1:19">
      <c r="B7" s="5" t="s">
        <v>12</v>
      </c>
      <c r="L7" s="110" t="s">
        <v>165</v>
      </c>
      <c r="M7" s="109" t="s">
        <v>251</v>
      </c>
      <c r="N7" s="106"/>
      <c r="O7" s="106"/>
      <c r="P7" s="109"/>
      <c r="Q7" s="606"/>
      <c r="R7" s="606"/>
      <c r="S7" s="606"/>
    </row>
    <row r="8" spans="1:19">
      <c r="B8" s="4" t="s">
        <v>13</v>
      </c>
      <c r="C8" s="126"/>
      <c r="D8" s="126">
        <f>'Bill Determ'!E7</f>
        <v>80993659.046190009</v>
      </c>
      <c r="E8" s="126">
        <f>'Bill Determ'!B17</f>
        <v>7004339.4199599996</v>
      </c>
      <c r="F8" s="126"/>
      <c r="G8" s="126">
        <f>'Bill Determ'!B38</f>
        <v>480000</v>
      </c>
      <c r="H8" s="126">
        <f>'Bill Determ'!B42</f>
        <v>7217935</v>
      </c>
      <c r="I8" s="440">
        <f>'Bill Determ'!B48</f>
        <v>23379996</v>
      </c>
      <c r="J8" s="126">
        <f>'Bill Determ'!B54</f>
        <v>9627587</v>
      </c>
      <c r="L8" s="109"/>
      <c r="M8" s="106" t="s">
        <v>167</v>
      </c>
      <c r="N8" s="109"/>
      <c r="O8" s="184">
        <v>1</v>
      </c>
      <c r="P8" s="109"/>
      <c r="Q8" s="606"/>
      <c r="R8" s="606"/>
      <c r="S8" s="606"/>
    </row>
    <row r="9" spans="1:19">
      <c r="B9" s="4" t="s">
        <v>14</v>
      </c>
      <c r="C9" s="126"/>
      <c r="D9" s="126">
        <f>'Bill Determ'!F7</f>
        <v>55549613.811489999</v>
      </c>
      <c r="E9" s="126">
        <f>'Bill Determ'!C17</f>
        <v>18294954.25451</v>
      </c>
      <c r="F9" s="126"/>
      <c r="G9" s="126">
        <f>'Bill Determ'!C38</f>
        <v>640871.58799999999</v>
      </c>
      <c r="H9" s="126">
        <f>'Bill Determ'!C42</f>
        <v>7083974</v>
      </c>
      <c r="I9" s="440">
        <f>'Bill Determ'!B49</f>
        <v>5164136</v>
      </c>
      <c r="J9" s="126"/>
      <c r="L9" s="110" t="s">
        <v>168</v>
      </c>
      <c r="M9" s="109" t="s">
        <v>252</v>
      </c>
      <c r="N9" s="109"/>
      <c r="O9" s="109" t="str">
        <f>CHOOSE(Base1_Billing2,M7,M9)</f>
        <v>BASE TARIFF</v>
      </c>
      <c r="P9" s="109"/>
      <c r="Q9" s="606"/>
      <c r="R9" s="606"/>
      <c r="S9" s="606"/>
    </row>
    <row r="10" spans="1:19">
      <c r="B10" s="4" t="s">
        <v>15</v>
      </c>
      <c r="C10" s="126"/>
      <c r="D10" s="126"/>
      <c r="E10" s="126">
        <f>'Bill Determ'!D17</f>
        <v>31380403.08151</v>
      </c>
      <c r="F10" s="126"/>
      <c r="G10" s="126">
        <f>'Bill Determ'!D38</f>
        <v>684750.42000000016</v>
      </c>
      <c r="H10" s="126">
        <f>'Bill Determ'!D42</f>
        <v>13394294</v>
      </c>
      <c r="I10" s="440">
        <f>'Bill Determ'!B50</f>
        <v>0</v>
      </c>
      <c r="J10" s="126"/>
      <c r="L10" s="109"/>
      <c r="M10" s="109"/>
      <c r="N10" s="109"/>
      <c r="O10" s="109" t="str">
        <f>CHOOSE(Base1_Billing2,"Base","Billing")</f>
        <v>Base</v>
      </c>
      <c r="P10" s="109"/>
      <c r="Q10" s="606"/>
      <c r="R10" s="606"/>
      <c r="S10" s="606"/>
    </row>
    <row r="11" spans="1:19">
      <c r="B11" s="4" t="s">
        <v>16</v>
      </c>
      <c r="C11" s="126"/>
      <c r="D11" s="126"/>
      <c r="E11" s="126">
        <f>'Bill Determ'!E17</f>
        <v>5263380.6339700008</v>
      </c>
      <c r="F11" s="126"/>
      <c r="G11" s="126">
        <f>'Bill Determ'!E38</f>
        <v>887244.47400021553</v>
      </c>
      <c r="H11" s="126">
        <f>'Bill Determ'!E42</f>
        <v>2724881</v>
      </c>
      <c r="I11" s="440">
        <f>'Bill Determ'!B51</f>
        <v>5714117</v>
      </c>
      <c r="J11" s="126"/>
      <c r="L11" s="109"/>
      <c r="M11" s="109"/>
      <c r="N11" s="109"/>
      <c r="O11" s="109"/>
      <c r="P11" s="109"/>
      <c r="Q11" s="606"/>
      <c r="R11" s="606"/>
      <c r="S11" s="606"/>
    </row>
    <row r="12" spans="1:19">
      <c r="B12" s="4" t="s">
        <v>54</v>
      </c>
      <c r="C12" s="127"/>
      <c r="D12" s="127"/>
      <c r="E12" s="126">
        <f>'Bill Determ'!F17</f>
        <v>3945932.3859999999</v>
      </c>
      <c r="F12" s="127"/>
      <c r="G12" s="127"/>
      <c r="H12" s="127">
        <f>'Bill Determ'!F42</f>
        <v>1772268</v>
      </c>
      <c r="I12" s="441">
        <f>'Bill Determ'!B45</f>
        <v>10047176</v>
      </c>
      <c r="J12" s="127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8"/>
      <c r="D13" s="128"/>
      <c r="E13" s="128"/>
      <c r="F13" s="128"/>
      <c r="G13" s="128"/>
      <c r="H13" s="128"/>
      <c r="I13" s="128"/>
      <c r="J13" s="128"/>
    </row>
    <row r="14" spans="1:19">
      <c r="B14" s="4" t="s">
        <v>17</v>
      </c>
      <c r="C14" s="126">
        <f>SUM(D14:J14)</f>
        <v>291251513.11563027</v>
      </c>
      <c r="D14" s="126">
        <f t="shared" ref="D14:J14" si="0">SUM(D8:D12)</f>
        <v>136543272.85768002</v>
      </c>
      <c r="E14" s="126">
        <f t="shared" si="0"/>
        <v>65889009.77595</v>
      </c>
      <c r="F14" s="126">
        <f t="shared" si="0"/>
        <v>0</v>
      </c>
      <c r="G14" s="126">
        <f t="shared" si="0"/>
        <v>2692866.4820002159</v>
      </c>
      <c r="H14" s="126">
        <f>SUM(H8:H12)</f>
        <v>32193352</v>
      </c>
      <c r="I14" s="126">
        <f>SUM(I8:I12)</f>
        <v>44305425</v>
      </c>
      <c r="J14" s="126">
        <f t="shared" si="0"/>
        <v>9627587</v>
      </c>
    </row>
    <row r="15" spans="1:19">
      <c r="B15" s="4" t="s">
        <v>282</v>
      </c>
      <c r="C15" s="129"/>
      <c r="D15" s="129"/>
      <c r="E15" s="129"/>
      <c r="F15" s="129"/>
      <c r="G15" s="129"/>
      <c r="H15" s="129"/>
      <c r="I15" s="129"/>
      <c r="J15" s="129"/>
    </row>
    <row r="16" spans="1:19">
      <c r="C16" s="126"/>
      <c r="D16" s="126"/>
      <c r="E16" s="126"/>
      <c r="F16" s="126"/>
      <c r="G16" s="126"/>
      <c r="H16" s="126"/>
      <c r="I16" s="126"/>
      <c r="J16" s="126"/>
    </row>
    <row r="17" spans="1:10">
      <c r="B17" s="4" t="s">
        <v>17</v>
      </c>
      <c r="C17" s="126">
        <f>SUM(D17:J17)</f>
        <v>291251513.11563027</v>
      </c>
      <c r="D17" s="126">
        <f t="shared" ref="D17:J17" si="1">D14+D15</f>
        <v>136543272.85768002</v>
      </c>
      <c r="E17" s="126">
        <f t="shared" si="1"/>
        <v>65889009.77595</v>
      </c>
      <c r="F17" s="126">
        <f t="shared" si="1"/>
        <v>0</v>
      </c>
      <c r="G17" s="126">
        <f t="shared" si="1"/>
        <v>2692866.4820002159</v>
      </c>
      <c r="H17" s="126">
        <f>H14+H15</f>
        <v>32193352</v>
      </c>
      <c r="I17" s="126">
        <f t="shared" si="1"/>
        <v>44305425</v>
      </c>
      <c r="J17" s="126">
        <f t="shared" si="1"/>
        <v>9627587</v>
      </c>
    </row>
    <row r="18" spans="1:10">
      <c r="B18" s="4" t="s">
        <v>19</v>
      </c>
      <c r="C18" s="129">
        <f>SUM(D18:J18)</f>
        <v>0</v>
      </c>
      <c r="D18" s="129">
        <f>'Bill Determ'!I11</f>
        <v>0</v>
      </c>
      <c r="E18" s="129">
        <f>'Bill Determ'!G18</f>
        <v>0</v>
      </c>
      <c r="F18" s="129"/>
      <c r="G18" s="129"/>
      <c r="H18" s="129"/>
      <c r="I18" s="129"/>
      <c r="J18" s="129"/>
    </row>
    <row r="19" spans="1:10">
      <c r="C19" s="126"/>
      <c r="D19" s="126"/>
      <c r="E19" s="126"/>
      <c r="F19" s="126"/>
      <c r="G19" s="126"/>
      <c r="H19" s="126"/>
      <c r="I19" s="126"/>
      <c r="J19" s="126"/>
    </row>
    <row r="20" spans="1:10">
      <c r="B20" s="4" t="s">
        <v>20</v>
      </c>
      <c r="C20" s="126">
        <f>SUM(D20:J20)</f>
        <v>291251513.11563027</v>
      </c>
      <c r="D20" s="126">
        <f t="shared" ref="D20:J20" si="2">D17+D18</f>
        <v>136543272.85768002</v>
      </c>
      <c r="E20" s="126">
        <f t="shared" si="2"/>
        <v>65889009.77595</v>
      </c>
      <c r="F20" s="126">
        <f t="shared" si="2"/>
        <v>0</v>
      </c>
      <c r="G20" s="126">
        <f t="shared" si="2"/>
        <v>2692866.4820002159</v>
      </c>
      <c r="H20" s="126">
        <f>H17+I18</f>
        <v>32193352</v>
      </c>
      <c r="I20" s="126">
        <f>I17+I18</f>
        <v>44305425</v>
      </c>
      <c r="J20" s="126">
        <f t="shared" si="2"/>
        <v>9627587</v>
      </c>
    </row>
    <row r="21" spans="1:10">
      <c r="B21" s="4" t="s">
        <v>21</v>
      </c>
      <c r="C21" s="129">
        <f>SUM(D21:J21)</f>
        <v>-379778</v>
      </c>
      <c r="D21" s="129">
        <f>D134+D137</f>
        <v>-436540</v>
      </c>
      <c r="E21" s="129">
        <f>E134+E137</f>
        <v>56762</v>
      </c>
      <c r="F21" s="129">
        <f t="shared" ref="F21:J21" si="3">F134+F137</f>
        <v>0</v>
      </c>
      <c r="G21" s="129">
        <f t="shared" si="3"/>
        <v>0</v>
      </c>
      <c r="H21" s="129">
        <f>H134+H137</f>
        <v>0</v>
      </c>
      <c r="I21" s="129">
        <f t="shared" si="3"/>
        <v>0</v>
      </c>
      <c r="J21" s="129">
        <f t="shared" si="3"/>
        <v>0</v>
      </c>
    </row>
    <row r="22" spans="1:10">
      <c r="C22" s="126"/>
      <c r="D22" s="126"/>
      <c r="E22" s="126"/>
      <c r="F22" s="126"/>
      <c r="G22" s="126"/>
      <c r="H22" s="126"/>
      <c r="I22" s="126"/>
      <c r="J22" s="126"/>
    </row>
    <row r="23" spans="1:10">
      <c r="B23" s="4" t="s">
        <v>22</v>
      </c>
      <c r="C23" s="126">
        <f>IF(ROUND(SUM(C20:C21),3)&lt;&gt;ROUND(SUM(D23:J23),3),#VALUE!,SUM(D23:J23))</f>
        <v>290871735.11563027</v>
      </c>
      <c r="D23" s="126">
        <f t="shared" ref="D23:J23" si="4">SUM(D20:D21)</f>
        <v>136106732.85768002</v>
      </c>
      <c r="E23" s="126">
        <f t="shared" si="4"/>
        <v>65945771.77595</v>
      </c>
      <c r="F23" s="126">
        <f t="shared" si="4"/>
        <v>0</v>
      </c>
      <c r="G23" s="126">
        <f t="shared" si="4"/>
        <v>2692866.4820002159</v>
      </c>
      <c r="H23" s="126">
        <f>SUM(H20:H21)</f>
        <v>32193352</v>
      </c>
      <c r="I23" s="126">
        <f t="shared" si="4"/>
        <v>44305425</v>
      </c>
      <c r="J23" s="126">
        <f t="shared" si="4"/>
        <v>9627587</v>
      </c>
    </row>
    <row r="24" spans="1:10">
      <c r="C24" s="126"/>
      <c r="D24" s="126"/>
      <c r="E24" s="126"/>
      <c r="F24" s="126"/>
      <c r="G24" s="126"/>
      <c r="H24" s="126"/>
      <c r="I24" s="126"/>
      <c r="J24" s="126"/>
    </row>
    <row r="25" spans="1:10">
      <c r="B25" s="4" t="s">
        <v>23</v>
      </c>
      <c r="C25" s="126"/>
      <c r="D25" s="126">
        <f>'Bill Determ'!C7</f>
        <v>2077306</v>
      </c>
      <c r="E25" s="126"/>
      <c r="F25" s="126"/>
      <c r="G25" s="126">
        <f>'Bill Determ'!G38</f>
        <v>48</v>
      </c>
      <c r="H25" s="126">
        <f>'Bill Determ'!H42</f>
        <v>420</v>
      </c>
      <c r="I25" s="126">
        <f>'Bill Determ'!C52</f>
        <v>36</v>
      </c>
      <c r="J25" s="126">
        <f>'Bill Determ'!C54</f>
        <v>12</v>
      </c>
    </row>
    <row r="26" spans="1:10">
      <c r="B26" s="4" t="s">
        <v>154</v>
      </c>
      <c r="C26" s="126"/>
      <c r="D26" s="126"/>
      <c r="E26" s="126">
        <f>'Bill Determ'!H17</f>
        <v>41579</v>
      </c>
      <c r="F26" s="126"/>
      <c r="G26" s="126"/>
      <c r="H26" s="126"/>
      <c r="I26" s="126"/>
      <c r="J26" s="126"/>
    </row>
    <row r="27" spans="1:10">
      <c r="C27" s="126"/>
      <c r="D27" s="126"/>
      <c r="E27" s="126"/>
      <c r="F27" s="126"/>
      <c r="G27" s="126"/>
      <c r="H27" s="126"/>
      <c r="I27" s="126"/>
      <c r="J27" s="126"/>
    </row>
    <row r="28" spans="1:10" s="1" customFormat="1">
      <c r="A28" s="3"/>
      <c r="C28" s="130"/>
      <c r="D28" s="130"/>
      <c r="E28" s="130"/>
      <c r="F28" s="130"/>
      <c r="G28" s="130"/>
      <c r="H28" s="130"/>
      <c r="I28" s="130"/>
      <c r="J28" s="130"/>
    </row>
    <row r="29" spans="1:10" ht="12.75">
      <c r="B29" s="57" t="s">
        <v>110</v>
      </c>
      <c r="C29" s="126"/>
      <c r="D29" s="126"/>
      <c r="E29" s="126"/>
      <c r="F29" s="126"/>
      <c r="G29" s="126"/>
      <c r="H29" s="126"/>
      <c r="I29" s="126"/>
      <c r="J29" s="126"/>
    </row>
    <row r="30" spans="1:10">
      <c r="B30" s="5" t="s">
        <v>12</v>
      </c>
      <c r="C30" s="126"/>
      <c r="D30" s="126"/>
      <c r="E30" s="126"/>
      <c r="F30" s="126"/>
      <c r="G30" s="126"/>
      <c r="H30" s="126"/>
      <c r="I30" s="126"/>
      <c r="J30" s="126"/>
    </row>
    <row r="31" spans="1:10">
      <c r="B31" s="4" t="s">
        <v>13</v>
      </c>
      <c r="C31" s="126"/>
      <c r="D31" s="126">
        <f>'Bill Determ'!E7</f>
        <v>80993659.046190009</v>
      </c>
      <c r="E31" s="126">
        <f>'Bill Determ'!B17</f>
        <v>7004339.4199599996</v>
      </c>
      <c r="F31" s="126" t="s">
        <v>481</v>
      </c>
      <c r="G31" s="126">
        <f t="shared" ref="G31:J31" si="5">G8</f>
        <v>480000</v>
      </c>
      <c r="H31" s="126">
        <f t="shared" si="5"/>
        <v>7217935</v>
      </c>
      <c r="I31" s="126">
        <f t="shared" si="5"/>
        <v>23379996</v>
      </c>
      <c r="J31" s="126">
        <f t="shared" si="5"/>
        <v>9627587</v>
      </c>
    </row>
    <row r="32" spans="1:10">
      <c r="B32" s="4" t="s">
        <v>14</v>
      </c>
      <c r="C32" s="126"/>
      <c r="D32" s="126">
        <f>'Bill Determ'!F7</f>
        <v>55549613.811489999</v>
      </c>
      <c r="E32" s="126">
        <f>'Bill Determ'!C17</f>
        <v>18294954.25451</v>
      </c>
      <c r="F32" s="126" t="s">
        <v>482</v>
      </c>
      <c r="G32" s="126">
        <f t="shared" ref="G32:J32" si="6">G9</f>
        <v>640871.58799999999</v>
      </c>
      <c r="H32" s="126">
        <f t="shared" si="6"/>
        <v>7083974</v>
      </c>
      <c r="I32" s="126">
        <f t="shared" si="6"/>
        <v>5164136</v>
      </c>
      <c r="J32" s="126">
        <f t="shared" si="6"/>
        <v>0</v>
      </c>
    </row>
    <row r="33" spans="2:10">
      <c r="B33" s="4" t="s">
        <v>15</v>
      </c>
      <c r="C33" s="126"/>
      <c r="D33" s="126">
        <f>D10</f>
        <v>0</v>
      </c>
      <c r="E33" s="126">
        <f>'Bill Determ'!D17</f>
        <v>31380403.08151</v>
      </c>
      <c r="F33" s="126"/>
      <c r="G33" s="126">
        <f t="shared" ref="G33:J33" si="7">G10</f>
        <v>684750.42000000016</v>
      </c>
      <c r="H33" s="126">
        <f t="shared" si="7"/>
        <v>13394294</v>
      </c>
      <c r="I33" s="126">
        <f>I10</f>
        <v>0</v>
      </c>
      <c r="J33" s="126">
        <f t="shared" si="7"/>
        <v>0</v>
      </c>
    </row>
    <row r="34" spans="2:10">
      <c r="B34" s="4" t="s">
        <v>16</v>
      </c>
      <c r="C34" s="126"/>
      <c r="D34" s="126">
        <f>D11</f>
        <v>0</v>
      </c>
      <c r="E34" s="126">
        <f>'Bill Determ'!E17</f>
        <v>5263380.6339700008</v>
      </c>
      <c r="F34" s="126"/>
      <c r="G34" s="126">
        <f t="shared" ref="G34:J34" si="8">G11</f>
        <v>887244.47400021553</v>
      </c>
      <c r="H34" s="126">
        <f t="shared" si="8"/>
        <v>2724881</v>
      </c>
      <c r="I34" s="126">
        <f t="shared" si="8"/>
        <v>5714117</v>
      </c>
      <c r="J34" s="126">
        <f t="shared" si="8"/>
        <v>0</v>
      </c>
    </row>
    <row r="35" spans="2:10">
      <c r="B35" s="4" t="s">
        <v>54</v>
      </c>
      <c r="C35" s="127"/>
      <c r="D35" s="126">
        <f>D12</f>
        <v>0</v>
      </c>
      <c r="E35" s="126">
        <f>'Bill Determ'!F17</f>
        <v>3945932.3859999999</v>
      </c>
      <c r="F35" s="126"/>
      <c r="G35" s="126">
        <f t="shared" ref="G35:J35" si="9">G12</f>
        <v>0</v>
      </c>
      <c r="H35" s="126">
        <f t="shared" si="9"/>
        <v>1772268</v>
      </c>
      <c r="I35" s="126">
        <f t="shared" si="9"/>
        <v>10047176</v>
      </c>
      <c r="J35" s="126">
        <f t="shared" si="9"/>
        <v>0</v>
      </c>
    </row>
    <row r="36" spans="2:10">
      <c r="C36" s="128"/>
      <c r="D36" s="128"/>
      <c r="E36" s="128"/>
      <c r="F36" s="128"/>
      <c r="G36" s="128"/>
      <c r="H36" s="128"/>
      <c r="I36" s="128"/>
      <c r="J36" s="128"/>
    </row>
    <row r="37" spans="2:10">
      <c r="B37" s="4" t="s">
        <v>17</v>
      </c>
      <c r="C37" s="126">
        <f>SUM(D37:J37)</f>
        <v>291251513.11563027</v>
      </c>
      <c r="D37" s="126">
        <f t="shared" ref="D37:J37" si="10">SUM(D31:D35)</f>
        <v>136543272.85768002</v>
      </c>
      <c r="E37" s="126">
        <f>SUM(E31:E35)</f>
        <v>65889009.77595</v>
      </c>
      <c r="F37" s="126">
        <f t="shared" si="10"/>
        <v>0</v>
      </c>
      <c r="G37" s="126">
        <f t="shared" si="10"/>
        <v>2692866.4820002159</v>
      </c>
      <c r="H37" s="126">
        <f>SUM(H31:H35)</f>
        <v>32193352</v>
      </c>
      <c r="I37" s="126">
        <f>SUM(I31:I35)</f>
        <v>44305425</v>
      </c>
      <c r="J37" s="126">
        <f t="shared" si="10"/>
        <v>9627587</v>
      </c>
    </row>
    <row r="38" spans="2:10">
      <c r="B38" s="4" t="s">
        <v>18</v>
      </c>
      <c r="C38" s="129">
        <f>SUM(D38:J38)</f>
        <v>0</v>
      </c>
      <c r="D38" s="129">
        <f t="shared" ref="D38:J38" si="11">D15</f>
        <v>0</v>
      </c>
      <c r="E38" s="129">
        <f t="shared" si="11"/>
        <v>0</v>
      </c>
      <c r="F38" s="129">
        <f t="shared" si="11"/>
        <v>0</v>
      </c>
      <c r="G38" s="129">
        <f t="shared" si="11"/>
        <v>0</v>
      </c>
      <c r="H38" s="129">
        <f>H15</f>
        <v>0</v>
      </c>
      <c r="I38" s="129">
        <f t="shared" si="11"/>
        <v>0</v>
      </c>
      <c r="J38" s="129">
        <f t="shared" si="11"/>
        <v>0</v>
      </c>
    </row>
    <row r="39" spans="2:10">
      <c r="C39" s="126"/>
      <c r="D39" s="126"/>
      <c r="E39" s="126"/>
      <c r="F39" s="126"/>
      <c r="G39" s="126"/>
      <c r="H39" s="126"/>
      <c r="I39" s="126"/>
      <c r="J39" s="126"/>
    </row>
    <row r="40" spans="2:10">
      <c r="B40" s="4" t="s">
        <v>17</v>
      </c>
      <c r="C40" s="126">
        <f>SUM(D40:J40)</f>
        <v>291251513.11563027</v>
      </c>
      <c r="D40" s="126">
        <f t="shared" ref="D40:J40" si="12">D37+D38</f>
        <v>136543272.85768002</v>
      </c>
      <c r="E40" s="126">
        <f t="shared" si="12"/>
        <v>65889009.77595</v>
      </c>
      <c r="F40" s="126">
        <f t="shared" si="12"/>
        <v>0</v>
      </c>
      <c r="G40" s="126">
        <f t="shared" si="12"/>
        <v>2692866.4820002159</v>
      </c>
      <c r="H40" s="126">
        <f>H37+H38</f>
        <v>32193352</v>
      </c>
      <c r="I40" s="126">
        <f t="shared" si="12"/>
        <v>44305425</v>
      </c>
      <c r="J40" s="126">
        <f t="shared" si="12"/>
        <v>9627587</v>
      </c>
    </row>
    <row r="41" spans="2:10">
      <c r="B41" s="4" t="s">
        <v>19</v>
      </c>
      <c r="C41" s="129">
        <f>SUM(D41:J41)</f>
        <v>0</v>
      </c>
      <c r="D41" s="129">
        <f t="shared" ref="D41:J41" si="13">D18</f>
        <v>0</v>
      </c>
      <c r="E41" s="129">
        <f t="shared" si="13"/>
        <v>0</v>
      </c>
      <c r="F41" s="129">
        <f t="shared" si="13"/>
        <v>0</v>
      </c>
      <c r="G41" s="129">
        <f t="shared" si="13"/>
        <v>0</v>
      </c>
      <c r="H41" s="129">
        <f t="shared" si="13"/>
        <v>0</v>
      </c>
      <c r="I41" s="129">
        <f t="shared" si="13"/>
        <v>0</v>
      </c>
      <c r="J41" s="129">
        <f t="shared" si="13"/>
        <v>0</v>
      </c>
    </row>
    <row r="42" spans="2:10">
      <c r="C42" s="126"/>
      <c r="D42" s="126"/>
      <c r="E42" s="126"/>
      <c r="F42" s="126"/>
      <c r="G42" s="126"/>
      <c r="H42" s="126"/>
      <c r="I42" s="126"/>
      <c r="J42" s="126"/>
    </row>
    <row r="43" spans="2:10">
      <c r="B43" s="4" t="s">
        <v>20</v>
      </c>
      <c r="C43" s="126">
        <f>SUM(D43:J43)</f>
        <v>291251513.11563027</v>
      </c>
      <c r="D43" s="126">
        <f t="shared" ref="D43:J43" si="14">D40+D41</f>
        <v>136543272.85768002</v>
      </c>
      <c r="E43" s="126">
        <f t="shared" si="14"/>
        <v>65889009.77595</v>
      </c>
      <c r="F43" s="126">
        <f t="shared" si="14"/>
        <v>0</v>
      </c>
      <c r="G43" s="126">
        <f t="shared" si="14"/>
        <v>2692866.4820002159</v>
      </c>
      <c r="H43" s="126">
        <f>H40+H41</f>
        <v>32193352</v>
      </c>
      <c r="I43" s="126">
        <f>I40+I41</f>
        <v>44305425</v>
      </c>
      <c r="J43" s="126">
        <f t="shared" si="14"/>
        <v>9627587</v>
      </c>
    </row>
    <row r="44" spans="2:10">
      <c r="B44" s="4" t="s">
        <v>21</v>
      </c>
      <c r="C44" s="129">
        <f>SUM(D44:J44)</f>
        <v>-379778</v>
      </c>
      <c r="D44" s="129">
        <f t="shared" ref="D44:J44" si="15">D21</f>
        <v>-436540</v>
      </c>
      <c r="E44" s="129">
        <f>E21+F21</f>
        <v>56762</v>
      </c>
      <c r="F44" s="129"/>
      <c r="G44" s="129">
        <f t="shared" si="15"/>
        <v>0</v>
      </c>
      <c r="H44" s="129">
        <f>H21</f>
        <v>0</v>
      </c>
      <c r="I44" s="129">
        <f t="shared" si="15"/>
        <v>0</v>
      </c>
      <c r="J44" s="129">
        <f t="shared" si="15"/>
        <v>0</v>
      </c>
    </row>
    <row r="45" spans="2:10">
      <c r="C45" s="126"/>
      <c r="D45" s="126"/>
      <c r="E45" s="126"/>
      <c r="F45" s="126"/>
      <c r="G45" s="126"/>
      <c r="H45" s="126"/>
      <c r="I45" s="126"/>
      <c r="J45" s="126"/>
    </row>
    <row r="46" spans="2:10">
      <c r="B46" s="4" t="s">
        <v>22</v>
      </c>
      <c r="C46" s="126">
        <f>IF(ROUND(SUM(C43:C44),3)&lt;&gt;ROUND(SUM(D46:J46),3),#VALUE!,SUM(D46:J46))</f>
        <v>290871735.11563027</v>
      </c>
      <c r="D46" s="126">
        <f t="shared" ref="D46:J46" si="16">D43+D44</f>
        <v>136106732.85768002</v>
      </c>
      <c r="E46" s="126">
        <f t="shared" si="16"/>
        <v>65945771.77595</v>
      </c>
      <c r="F46" s="126">
        <f t="shared" si="16"/>
        <v>0</v>
      </c>
      <c r="G46" s="126">
        <f t="shared" si="16"/>
        <v>2692866.4820002159</v>
      </c>
      <c r="H46" s="126">
        <f>H43+H44</f>
        <v>32193352</v>
      </c>
      <c r="I46" s="126">
        <f t="shared" si="16"/>
        <v>44305425</v>
      </c>
      <c r="J46" s="126">
        <f t="shared" si="16"/>
        <v>9627587</v>
      </c>
    </row>
    <row r="47" spans="2:10">
      <c r="C47" s="126"/>
      <c r="D47" s="126"/>
      <c r="E47" s="126"/>
      <c r="F47" s="126"/>
      <c r="G47" s="126"/>
      <c r="H47" s="126"/>
      <c r="I47" s="126"/>
      <c r="J47" s="126"/>
    </row>
    <row r="48" spans="2:10">
      <c r="B48" s="4" t="s">
        <v>23</v>
      </c>
      <c r="C48" s="126"/>
      <c r="D48" s="126">
        <f t="shared" ref="D48:F49" si="17">D25</f>
        <v>2077306</v>
      </c>
      <c r="E48" s="126">
        <f t="shared" si="17"/>
        <v>0</v>
      </c>
      <c r="F48" s="126">
        <f t="shared" si="17"/>
        <v>0</v>
      </c>
      <c r="G48" s="126">
        <f>G25</f>
        <v>48</v>
      </c>
      <c r="H48" s="126">
        <f>H25</f>
        <v>420</v>
      </c>
      <c r="I48" s="126">
        <f>I25</f>
        <v>36</v>
      </c>
      <c r="J48" s="126">
        <f>J25</f>
        <v>12</v>
      </c>
    </row>
    <row r="49" spans="1:15">
      <c r="B49" s="4" t="s">
        <v>154</v>
      </c>
      <c r="C49" s="126"/>
      <c r="D49" s="126">
        <f t="shared" si="17"/>
        <v>0</v>
      </c>
      <c r="E49" s="126">
        <f>'Bill Determ'!H17</f>
        <v>41579</v>
      </c>
      <c r="F49" s="126"/>
      <c r="G49" s="126"/>
      <c r="H49" s="126"/>
      <c r="I49" s="126"/>
      <c r="J49" s="126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1" t="s">
        <v>180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389</v>
      </c>
      <c r="M53" s="109" t="str">
        <f ca="1">"selected in cell "&amp;CELL("address",Base1_Billing2)&amp;":"</f>
        <v>selected in cell $O$8:</v>
      </c>
    </row>
    <row r="54" spans="1:15" s="1" customFormat="1">
      <c r="A54" s="121" t="s">
        <v>181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53</v>
      </c>
      <c r="J54" s="2" t="s">
        <v>56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169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526">
        <v>200</v>
      </c>
      <c r="J56" s="526">
        <v>26332</v>
      </c>
      <c r="K56" s="113">
        <v>1</v>
      </c>
      <c r="M56" s="109" t="str">
        <f>"Rates_"&amp;$M$54&amp;"_Proposed"</f>
        <v>Rates_Base_Proposed</v>
      </c>
      <c r="O56" s="112" t="s">
        <v>170</v>
      </c>
    </row>
    <row r="57" spans="1:15" ht="11.25" customHeight="1">
      <c r="A57" s="191"/>
      <c r="B57" s="4" t="s">
        <v>363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44"/>
      <c r="I57" s="526">
        <v>0</v>
      </c>
      <c r="J57" s="526">
        <v>0</v>
      </c>
      <c r="K57" s="113">
        <v>2</v>
      </c>
    </row>
    <row r="58" spans="1:15" ht="11.25" customHeight="1">
      <c r="I58" s="527"/>
      <c r="J58" s="527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528">
        <v>2.8</v>
      </c>
      <c r="J59" s="528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528">
        <v>4.5</v>
      </c>
      <c r="J60" s="528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528"/>
      <c r="J61" s="528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528">
        <v>2.5</v>
      </c>
      <c r="J62" s="528">
        <v>0</v>
      </c>
      <c r="K62" s="113">
        <v>6</v>
      </c>
    </row>
    <row r="63" spans="1:15" ht="11.25" customHeight="1">
      <c r="A63" s="191"/>
      <c r="B63" s="4" t="s">
        <v>55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528">
        <v>2.0910000000000002</v>
      </c>
      <c r="J63" s="528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529"/>
      <c r="J73" s="529"/>
    </row>
    <row r="74" spans="1:11">
      <c r="B74" s="4" t="s">
        <v>28</v>
      </c>
      <c r="D74" s="64">
        <f ca="1">INDEX(INDIRECT($M$56),$K74,D$50)</f>
        <v>15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850</v>
      </c>
      <c r="I74" s="526">
        <v>200</v>
      </c>
      <c r="J74" s="526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139.16999999999999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526">
        <v>0</v>
      </c>
      <c r="J75" s="526">
        <v>0</v>
      </c>
      <c r="K75" s="113">
        <v>2</v>
      </c>
    </row>
    <row r="76" spans="1:11">
      <c r="I76" s="527"/>
      <c r="J76" s="527"/>
    </row>
    <row r="77" spans="1:11">
      <c r="B77" s="4" t="s">
        <v>30</v>
      </c>
      <c r="D77" s="65">
        <f ca="1">INDEX(INDIRECT($M$56),$K77,D$50)</f>
        <v>51.963000000000001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34.515999999999998</v>
      </c>
      <c r="H77" s="65">
        <f t="shared" ca="1" si="21"/>
        <v>14.064</v>
      </c>
      <c r="I77" s="528">
        <v>2.8</v>
      </c>
      <c r="J77" s="528">
        <v>1</v>
      </c>
      <c r="K77" s="113">
        <v>3</v>
      </c>
    </row>
    <row r="78" spans="1:11">
      <c r="B78" s="4" t="s">
        <v>31</v>
      </c>
      <c r="D78" s="274">
        <f ca="1">INDEX(INDIRECT($M$56),$K78,D$50)</f>
        <v>67.533000000000001</v>
      </c>
      <c r="E78" s="65">
        <f t="shared" ca="1" si="21"/>
        <v>44.938000000000002</v>
      </c>
      <c r="F78" s="65">
        <f t="shared" ca="1" si="21"/>
        <v>0</v>
      </c>
      <c r="G78" s="65">
        <f t="shared" ca="1" si="21"/>
        <v>27.707999999999998</v>
      </c>
      <c r="H78" s="65">
        <f t="shared" ca="1" si="21"/>
        <v>12.512</v>
      </c>
      <c r="I78" s="528">
        <v>4.5</v>
      </c>
      <c r="J78" s="528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34.253999999999998</v>
      </c>
      <c r="F79" s="65">
        <f t="shared" ca="1" si="21"/>
        <v>0</v>
      </c>
      <c r="G79" s="65">
        <f t="shared" ca="1" si="21"/>
        <v>26.036999999999999</v>
      </c>
      <c r="H79" s="65">
        <f t="shared" ca="1" si="21"/>
        <v>11.282</v>
      </c>
      <c r="I79" s="528"/>
      <c r="J79" s="528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29.227</v>
      </c>
      <c r="F80" s="65">
        <f t="shared" ca="1" si="21"/>
        <v>0</v>
      </c>
      <c r="G80" s="65">
        <f t="shared" ca="1" si="21"/>
        <v>23.263000000000002</v>
      </c>
      <c r="H80" s="65">
        <f t="shared" ca="1" si="21"/>
        <v>10.433</v>
      </c>
      <c r="I80" s="528">
        <v>2.5</v>
      </c>
      <c r="J80" s="528">
        <v>0</v>
      </c>
      <c r="K80" s="113">
        <v>6</v>
      </c>
    </row>
    <row r="81" spans="1:11">
      <c r="B81" s="4" t="s">
        <v>55</v>
      </c>
      <c r="D81" s="65">
        <f t="shared" ca="1" si="21"/>
        <v>0</v>
      </c>
      <c r="E81" s="65">
        <f t="shared" ca="1" si="21"/>
        <v>20.503</v>
      </c>
      <c r="F81" s="65">
        <f t="shared" ca="1" si="21"/>
        <v>0</v>
      </c>
      <c r="G81" s="65">
        <f t="shared" ca="1" si="21"/>
        <v>0</v>
      </c>
      <c r="H81" s="65">
        <f t="shared" ca="1" si="21"/>
        <v>7.8410000000000002</v>
      </c>
      <c r="I81" s="528">
        <v>2.0910000000000002</v>
      </c>
      <c r="J81" s="528">
        <v>0</v>
      </c>
      <c r="K81" s="113">
        <v>7</v>
      </c>
    </row>
    <row r="82" spans="1:11">
      <c r="D82" s="65"/>
      <c r="E82" s="65"/>
      <c r="F82" s="65"/>
      <c r="G82" s="65"/>
      <c r="H82" s="65"/>
      <c r="I82" s="530"/>
      <c r="J82" s="530"/>
    </row>
    <row r="83" spans="1:11">
      <c r="B83" s="4" t="s">
        <v>34</v>
      </c>
      <c r="D83" s="274">
        <f ca="1">(D167-D155-D156)/D40*100</f>
        <v>58.297310503878663</v>
      </c>
      <c r="E83" s="65">
        <f ca="1">(E167-E155-E156)/E40*100</f>
        <v>32.354094654767692</v>
      </c>
      <c r="F83" s="65"/>
      <c r="G83" s="65">
        <f ca="1">(G167-G155-G156)/G40*100</f>
        <v>27.032073623616871</v>
      </c>
      <c r="H83" s="274">
        <f ca="1">(H167-H155-H156)/H40*100</f>
        <v>11.915105391945517</v>
      </c>
      <c r="I83" s="530"/>
      <c r="J83" s="530"/>
    </row>
    <row r="84" spans="1:11">
      <c r="D84" s="8"/>
      <c r="E84" s="8"/>
      <c r="F84" s="8"/>
      <c r="G84" s="8"/>
      <c r="H84" s="8"/>
      <c r="I84" s="531"/>
      <c r="J84" s="531"/>
    </row>
    <row r="85" spans="1:11">
      <c r="A85" s="4"/>
    </row>
    <row r="86" spans="1:11">
      <c r="A86" s="4"/>
      <c r="B86" s="9"/>
    </row>
    <row r="87" spans="1:11">
      <c r="B87" s="529" t="s">
        <v>529</v>
      </c>
      <c r="C87" s="529"/>
      <c r="D87" s="531"/>
      <c r="E87" s="531"/>
      <c r="F87" s="8"/>
      <c r="G87" s="8"/>
      <c r="H87" s="8"/>
      <c r="I87" s="8"/>
      <c r="J87" s="8"/>
    </row>
    <row r="88" spans="1:11">
      <c r="B88" s="529" t="s">
        <v>530</v>
      </c>
      <c r="C88" s="529"/>
      <c r="D88" s="531"/>
      <c r="E88" s="531"/>
      <c r="F88" s="8"/>
      <c r="G88" s="8"/>
      <c r="H88" s="8"/>
      <c r="I88" s="8"/>
      <c r="J88" s="8"/>
    </row>
    <row r="89" spans="1:11">
      <c r="B89" s="529"/>
      <c r="C89" s="529"/>
      <c r="D89" s="531"/>
      <c r="E89" s="531"/>
      <c r="F89" s="8"/>
      <c r="G89" s="8"/>
      <c r="H89" s="8"/>
      <c r="I89" s="8"/>
      <c r="J89" s="8"/>
    </row>
    <row r="90" spans="1:11">
      <c r="B90" s="529" t="s">
        <v>531</v>
      </c>
      <c r="C90" s="529"/>
      <c r="D90" s="531"/>
      <c r="E90" s="531"/>
      <c r="F90" s="8"/>
      <c r="G90" s="8"/>
      <c r="H90" s="8"/>
      <c r="I90" s="8"/>
      <c r="J90" s="8"/>
    </row>
    <row r="91" spans="1:11">
      <c r="B91" s="529" t="s">
        <v>185</v>
      </c>
      <c r="C91" s="529"/>
      <c r="D91" s="531"/>
      <c r="E91" s="531"/>
      <c r="F91" s="8"/>
      <c r="G91" s="8"/>
      <c r="H91" s="8"/>
      <c r="I91" s="8"/>
      <c r="J91" s="8"/>
    </row>
    <row r="92" spans="1:11">
      <c r="B92" s="529"/>
      <c r="C92" s="529"/>
      <c r="D92" s="531"/>
      <c r="E92" s="531"/>
      <c r="F92" s="8"/>
      <c r="G92" s="8"/>
      <c r="H92" s="8"/>
      <c r="I92" s="8"/>
      <c r="J92" s="8"/>
    </row>
    <row r="93" spans="1:11">
      <c r="B93" s="529" t="s">
        <v>479</v>
      </c>
      <c r="C93" s="529"/>
      <c r="D93" s="531"/>
      <c r="E93" s="531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1" t="s">
        <v>180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389</v>
      </c>
    </row>
    <row r="103" spans="1:10" s="1" customFormat="1">
      <c r="A103" s="121" t="s">
        <v>181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53</v>
      </c>
      <c r="J103" s="2" t="s">
        <v>56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2">
        <f ca="1">D25*D56</f>
        <v>19734407</v>
      </c>
      <c r="E106" s="122">
        <f t="shared" ref="E106:G106" ca="1" si="22">E25*E56</f>
        <v>0</v>
      </c>
      <c r="F106" s="122">
        <f t="shared" ca="1" si="22"/>
        <v>0</v>
      </c>
      <c r="G106" s="122">
        <f t="shared" ca="1" si="22"/>
        <v>0</v>
      </c>
      <c r="H106" s="122">
        <f ca="1">H25*H56</f>
        <v>294000</v>
      </c>
      <c r="I106" s="122">
        <f>I25*I56</f>
        <v>7200</v>
      </c>
      <c r="J106" s="122">
        <f>J25*J56</f>
        <v>315984</v>
      </c>
    </row>
    <row r="107" spans="1:10">
      <c r="B107" s="117" t="s">
        <v>363</v>
      </c>
      <c r="C107" s="181">
        <f t="shared" ref="C107:C113" ca="1" si="23">SUM(D107:J107)</f>
        <v>5479044.5334999999</v>
      </c>
      <c r="D107" s="126">
        <f ca="1">D26*D57</f>
        <v>0</v>
      </c>
      <c r="E107" s="126">
        <f ca="1">E26*E57</f>
        <v>5429385.8200000003</v>
      </c>
      <c r="F107" s="126">
        <f t="shared" ref="F107:J107" ca="1" si="24">F26*F57</f>
        <v>0</v>
      </c>
      <c r="G107" s="126">
        <f t="shared" ca="1" si="24"/>
        <v>0</v>
      </c>
      <c r="H107" s="126">
        <f>'Big Schedules'!W44</f>
        <v>49658.713499999998</v>
      </c>
      <c r="I107" s="126">
        <f t="shared" si="24"/>
        <v>0</v>
      </c>
      <c r="J107" s="126">
        <f t="shared" si="24"/>
        <v>0</v>
      </c>
    </row>
    <row r="108" spans="1:10">
      <c r="B108" s="117" t="s">
        <v>13</v>
      </c>
      <c r="C108" s="181">
        <f t="shared" ca="1" si="23"/>
        <v>42832303.780000001</v>
      </c>
      <c r="D108" s="126">
        <f ca="1">ROUND(D8*D59/100,2)</f>
        <v>41038677.100000001</v>
      </c>
      <c r="E108" s="126">
        <f ca="1">ROUND(E8*E59/100,2)</f>
        <v>0</v>
      </c>
      <c r="F108" s="126">
        <f ca="1">ROUND(F8*F59/100,2)</f>
        <v>0</v>
      </c>
      <c r="G108" s="126">
        <f t="shared" ref="D108:J110" ca="1" si="25">ROUND(G8*G59/100,2)</f>
        <v>145521.60000000001</v>
      </c>
      <c r="H108" s="126">
        <f t="shared" ca="1" si="25"/>
        <v>897189.32</v>
      </c>
      <c r="I108" s="126">
        <f>ROUND(I8*I59/100,2)</f>
        <v>654639.89</v>
      </c>
      <c r="J108" s="126">
        <f>ROUND(J8*J59/100,2)</f>
        <v>96275.87</v>
      </c>
    </row>
    <row r="109" spans="1:10">
      <c r="B109" s="117" t="s">
        <v>14</v>
      </c>
      <c r="C109" s="181">
        <f t="shared" ca="1" si="23"/>
        <v>44844644.130000003</v>
      </c>
      <c r="D109" s="126">
        <f t="shared" ca="1" si="25"/>
        <v>36581087.18</v>
      </c>
      <c r="E109" s="126">
        <f t="shared" ca="1" si="25"/>
        <v>7091856.0700000003</v>
      </c>
      <c r="F109" s="126">
        <f t="shared" ca="1" si="25"/>
        <v>0</v>
      </c>
      <c r="G109" s="126">
        <f t="shared" ca="1" si="25"/>
        <v>155968.92000000001</v>
      </c>
      <c r="H109" s="126">
        <f t="shared" ca="1" si="25"/>
        <v>783345.84</v>
      </c>
      <c r="I109" s="126">
        <f t="shared" si="25"/>
        <v>232386.12</v>
      </c>
      <c r="J109" s="126">
        <f t="shared" si="25"/>
        <v>0</v>
      </c>
    </row>
    <row r="110" spans="1:10">
      <c r="B110" s="117" t="s">
        <v>15</v>
      </c>
      <c r="C110" s="181">
        <f t="shared" ca="1" si="23"/>
        <v>10764108.32</v>
      </c>
      <c r="D110" s="126">
        <f t="shared" ca="1" si="25"/>
        <v>0</v>
      </c>
      <c r="E110" s="126">
        <f t="shared" ca="1" si="25"/>
        <v>9271967.6999999993</v>
      </c>
      <c r="F110" s="126">
        <f t="shared" ca="1" si="25"/>
        <v>0</v>
      </c>
      <c r="G110" s="126">
        <f t="shared" ca="1" si="25"/>
        <v>156595.57</v>
      </c>
      <c r="H110" s="126">
        <f t="shared" ca="1" si="25"/>
        <v>1335545.05</v>
      </c>
      <c r="I110" s="126">
        <f>ROUND(I10*I61/100,2)</f>
        <v>0</v>
      </c>
      <c r="J110" s="126">
        <f t="shared" si="25"/>
        <v>0</v>
      </c>
    </row>
    <row r="111" spans="1:10">
      <c r="B111" s="117" t="s">
        <v>16</v>
      </c>
      <c r="C111" s="181">
        <f t="shared" ca="1" si="23"/>
        <v>1902355.7599999998</v>
      </c>
      <c r="D111" s="126">
        <f t="shared" ref="D111:J111" ca="1" si="26">ROUND(D11*D62/100,2)</f>
        <v>0</v>
      </c>
      <c r="E111" s="126">
        <f t="shared" ca="1" si="26"/>
        <v>1326950.8899999999</v>
      </c>
      <c r="F111" s="126">
        <f t="shared" ca="1" si="26"/>
        <v>0</v>
      </c>
      <c r="G111" s="126">
        <f t="shared" ca="1" si="26"/>
        <v>181290.66</v>
      </c>
      <c r="H111" s="126">
        <f t="shared" ca="1" si="26"/>
        <v>251261.28</v>
      </c>
      <c r="I111" s="126">
        <f t="shared" si="26"/>
        <v>142852.93</v>
      </c>
      <c r="J111" s="126">
        <f t="shared" si="26"/>
        <v>0</v>
      </c>
    </row>
    <row r="112" spans="1:10">
      <c r="B112" s="117" t="s">
        <v>54</v>
      </c>
      <c r="C112" s="181">
        <f t="shared" ca="1" si="23"/>
        <v>1030782.22</v>
      </c>
      <c r="D112" s="126">
        <f t="shared" ref="D112:J112" ca="1" si="27">ROUND(D12*D63/100,2)</f>
        <v>0</v>
      </c>
      <c r="E112" s="126">
        <f t="shared" ca="1" si="27"/>
        <v>697877.6</v>
      </c>
      <c r="F112" s="126">
        <f t="shared" ca="1" si="27"/>
        <v>0</v>
      </c>
      <c r="G112" s="126">
        <f t="shared" ca="1" si="27"/>
        <v>0</v>
      </c>
      <c r="H112" s="126">
        <f t="shared" ca="1" si="27"/>
        <v>122818.17</v>
      </c>
      <c r="I112" s="126">
        <f t="shared" si="27"/>
        <v>210086.45</v>
      </c>
      <c r="J112" s="126">
        <f t="shared" si="27"/>
        <v>0</v>
      </c>
    </row>
    <row r="113" spans="1:10">
      <c r="B113" s="117" t="s">
        <v>171</v>
      </c>
      <c r="C113" s="181">
        <f t="shared" si="23"/>
        <v>0</v>
      </c>
      <c r="D113" s="126"/>
      <c r="E113" s="126"/>
      <c r="F113" s="126"/>
      <c r="G113" s="126"/>
      <c r="H113" s="126"/>
      <c r="I113" s="126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39">
        <f ca="1">SUM(H106:H113)</f>
        <v>3733818.3734999993</v>
      </c>
      <c r="I115" s="539">
        <f t="shared" si="28"/>
        <v>1247165.3899999999</v>
      </c>
      <c r="J115" s="539">
        <f>SUM(J106:J113)</f>
        <v>412259.87</v>
      </c>
    </row>
    <row r="116" spans="1:10">
      <c r="A116" s="4"/>
      <c r="B116" s="4" t="s">
        <v>18</v>
      </c>
      <c r="C116" s="176"/>
      <c r="D116" s="177"/>
      <c r="E116" s="177"/>
      <c r="F116" s="177"/>
      <c r="G116" s="177"/>
      <c r="H116" s="177"/>
      <c r="I116" s="177"/>
      <c r="J116" s="177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8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279</v>
      </c>
      <c r="C126" s="24">
        <f>SUM(D126:J126)</f>
        <v>-543151</v>
      </c>
      <c r="D126" s="377">
        <f>'12MEJUN23'!P208</f>
        <v>-480676</v>
      </c>
      <c r="E126" s="377">
        <f>'12MEJUN23'!P209+'12MEJUN23'!P210</f>
        <v>-62475</v>
      </c>
      <c r="F126" s="377"/>
      <c r="G126" s="219"/>
      <c r="H126" s="219"/>
    </row>
    <row r="127" spans="1:10" s="8" customFormat="1">
      <c r="A127" s="3"/>
      <c r="B127" s="119" t="s">
        <v>280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281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175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176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177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178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179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40" t="s">
        <v>175</v>
      </c>
      <c r="C137" s="541">
        <f>SUM(D137:J137)</f>
        <v>163373</v>
      </c>
      <c r="D137" s="542">
        <v>44136</v>
      </c>
      <c r="E137" s="542">
        <v>119237</v>
      </c>
      <c r="F137" s="378"/>
      <c r="G137" s="123"/>
      <c r="H137" s="15"/>
    </row>
    <row r="138" spans="1:10" s="8" customFormat="1">
      <c r="A138" s="3"/>
      <c r="B138" s="119" t="s">
        <v>176</v>
      </c>
      <c r="C138" s="14"/>
      <c r="D138" s="531">
        <f ca="1">D60</f>
        <v>65.852999999999994</v>
      </c>
      <c r="E138" s="531">
        <f ca="1">E65</f>
        <v>27.908527268096844</v>
      </c>
      <c r="F138" s="199"/>
    </row>
    <row r="139" spans="1:10" s="10" customFormat="1">
      <c r="A139" s="3"/>
      <c r="B139" s="120" t="s">
        <v>177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6">
        <f ca="1">SUM(D143:J143)</f>
        <v>127204829.74350001</v>
      </c>
      <c r="D143" s="177">
        <f t="shared" ref="D143:J143" ca="1" si="33">D121</f>
        <v>97354171.280000001</v>
      </c>
      <c r="E143" s="177">
        <f t="shared" ca="1" si="33"/>
        <v>23818038.080000002</v>
      </c>
      <c r="F143" s="177"/>
      <c r="G143" s="177">
        <f t="shared" ca="1" si="33"/>
        <v>639376.75</v>
      </c>
      <c r="H143" s="177">
        <f ca="1">H121</f>
        <v>3733818.3734999993</v>
      </c>
      <c r="I143" s="177">
        <f t="shared" si="33"/>
        <v>1247165.3899999999</v>
      </c>
      <c r="J143" s="177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1" t="s">
        <v>180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389</v>
      </c>
    </row>
    <row r="152" spans="1:10" s="1" customFormat="1">
      <c r="A152" s="121" t="s">
        <v>181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53</v>
      </c>
      <c r="J152" s="2" t="s">
        <v>56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31839774</v>
      </c>
      <c r="D155" s="122">
        <f ca="1">D48*D74</f>
        <v>31159590</v>
      </c>
      <c r="E155" s="122">
        <f ca="1">E48*E74</f>
        <v>0</v>
      </c>
      <c r="F155" s="122">
        <f t="shared" ref="F155:J156" ca="1" si="36">F48*F74</f>
        <v>0</v>
      </c>
      <c r="G155" s="122">
        <f t="shared" ca="1" si="36"/>
        <v>0</v>
      </c>
      <c r="H155" s="122">
        <f t="shared" ca="1" si="36"/>
        <v>357000</v>
      </c>
      <c r="I155" s="122">
        <f t="shared" si="36"/>
        <v>7200</v>
      </c>
      <c r="J155" s="122">
        <f t="shared" si="36"/>
        <v>315984</v>
      </c>
    </row>
    <row r="156" spans="1:10">
      <c r="B156" s="117" t="s">
        <v>363</v>
      </c>
      <c r="C156" s="181">
        <f t="shared" ca="1" si="35"/>
        <v>5842737.6940000001</v>
      </c>
      <c r="D156" s="126">
        <f ca="1">D49*D75</f>
        <v>0</v>
      </c>
      <c r="E156" s="126">
        <f ca="1">E49*E75</f>
        <v>5786549.4299999997</v>
      </c>
      <c r="F156" s="126">
        <f t="shared" ca="1" si="36"/>
        <v>0</v>
      </c>
      <c r="G156" s="126">
        <f t="shared" ca="1" si="36"/>
        <v>0</v>
      </c>
      <c r="H156" s="126">
        <f>'Big Schedules'!X44</f>
        <v>56188.264000000003</v>
      </c>
      <c r="I156" s="126">
        <f t="shared" si="36"/>
        <v>0</v>
      </c>
      <c r="J156" s="126">
        <f t="shared" si="36"/>
        <v>0</v>
      </c>
    </row>
    <row r="157" spans="1:10">
      <c r="B157" s="117" t="s">
        <v>13</v>
      </c>
      <c r="C157" s="181">
        <f t="shared" ca="1" si="35"/>
        <v>44018457.989999995</v>
      </c>
      <c r="D157" s="126">
        <f ca="1">ROUND(D31*D77/100,2)</f>
        <v>42086735.049999997</v>
      </c>
      <c r="E157" s="126">
        <f t="shared" ref="E157:J157" ca="1" si="37">ROUND(E31*E77/100,2)</f>
        <v>0</v>
      </c>
      <c r="F157" s="126"/>
      <c r="G157" s="126">
        <f t="shared" ca="1" si="37"/>
        <v>165676.79999999999</v>
      </c>
      <c r="H157" s="126">
        <f t="shared" ca="1" si="37"/>
        <v>1015130.38</v>
      </c>
      <c r="I157" s="126">
        <f t="shared" si="37"/>
        <v>654639.89</v>
      </c>
      <c r="J157" s="126">
        <f t="shared" si="37"/>
        <v>96275.87</v>
      </c>
    </row>
    <row r="158" spans="1:10">
      <c r="B158" s="117" t="s">
        <v>14</v>
      </c>
      <c r="C158" s="181">
        <f t="shared" ca="1" si="35"/>
        <v>47032012.890000001</v>
      </c>
      <c r="D158" s="126">
        <f t="shared" ref="D158:J161" ca="1" si="38">ROUND(D32*D78/100,2)</f>
        <v>37514320.700000003</v>
      </c>
      <c r="E158" s="126">
        <f t="shared" ca="1" si="38"/>
        <v>8221386.54</v>
      </c>
      <c r="F158" s="126"/>
      <c r="G158" s="126">
        <f t="shared" ca="1" si="38"/>
        <v>177572.7</v>
      </c>
      <c r="H158" s="126">
        <f t="shared" ca="1" si="38"/>
        <v>886346.83</v>
      </c>
      <c r="I158" s="126">
        <f t="shared" si="38"/>
        <v>232386.12</v>
      </c>
      <c r="J158" s="126">
        <f t="shared" si="38"/>
        <v>0</v>
      </c>
    </row>
    <row r="159" spans="1:10">
      <c r="B159" s="117" t="s">
        <v>15</v>
      </c>
      <c r="C159" s="181">
        <f t="shared" ca="1" si="35"/>
        <v>12438475.99</v>
      </c>
      <c r="D159" s="126">
        <f t="shared" ca="1" si="38"/>
        <v>0</v>
      </c>
      <c r="E159" s="126">
        <f t="shared" ca="1" si="38"/>
        <v>10749043.27</v>
      </c>
      <c r="F159" s="126">
        <f t="shared" ca="1" si="38"/>
        <v>0</v>
      </c>
      <c r="G159" s="126">
        <f t="shared" ca="1" si="38"/>
        <v>178288.47</v>
      </c>
      <c r="H159" s="126">
        <f t="shared" ca="1" si="38"/>
        <v>1511144.25</v>
      </c>
      <c r="I159" s="126">
        <f t="shared" si="38"/>
        <v>0</v>
      </c>
      <c r="J159" s="126">
        <f t="shared" si="38"/>
        <v>0</v>
      </c>
    </row>
    <row r="160" spans="1:10">
      <c r="B160" s="117" t="s">
        <v>16</v>
      </c>
      <c r="C160" s="181">
        <f t="shared" ca="1" si="35"/>
        <v>2171867.7000000002</v>
      </c>
      <c r="D160" s="126">
        <f t="shared" ca="1" si="38"/>
        <v>0</v>
      </c>
      <c r="E160" s="126">
        <f t="shared" ca="1" si="38"/>
        <v>1538328.26</v>
      </c>
      <c r="F160" s="126">
        <f t="shared" ca="1" si="38"/>
        <v>0</v>
      </c>
      <c r="G160" s="126">
        <f t="shared" ca="1" si="38"/>
        <v>206399.68</v>
      </c>
      <c r="H160" s="126">
        <f t="shared" ca="1" si="38"/>
        <v>284286.83</v>
      </c>
      <c r="I160" s="126">
        <f t="shared" si="38"/>
        <v>142852.93</v>
      </c>
      <c r="J160" s="126">
        <f t="shared" si="38"/>
        <v>0</v>
      </c>
    </row>
    <row r="161" spans="1:10">
      <c r="B161" s="117" t="s">
        <v>54</v>
      </c>
      <c r="C161" s="181">
        <f t="shared" ca="1" si="35"/>
        <v>1158084.5</v>
      </c>
      <c r="D161" s="126">
        <f t="shared" ca="1" si="38"/>
        <v>0</v>
      </c>
      <c r="E161" s="126">
        <f t="shared" ca="1" si="38"/>
        <v>809034.52</v>
      </c>
      <c r="F161" s="126">
        <f t="shared" ca="1" si="38"/>
        <v>0</v>
      </c>
      <c r="G161" s="126">
        <f t="shared" ca="1" si="38"/>
        <v>0</v>
      </c>
      <c r="H161" s="126">
        <f t="shared" ca="1" si="38"/>
        <v>138963.53</v>
      </c>
      <c r="I161" s="126">
        <f t="shared" si="38"/>
        <v>210086.45</v>
      </c>
      <c r="J161" s="126">
        <f t="shared" si="38"/>
        <v>0</v>
      </c>
    </row>
    <row r="162" spans="1:10">
      <c r="B162" s="117" t="s">
        <v>171</v>
      </c>
      <c r="C162" s="181">
        <f t="shared" si="35"/>
        <v>0</v>
      </c>
      <c r="D162" s="126"/>
      <c r="E162" s="126"/>
      <c r="F162" s="126"/>
      <c r="G162" s="126"/>
      <c r="H162" s="126"/>
      <c r="I162" s="126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144501410.764</v>
      </c>
      <c r="D164" s="10">
        <f t="shared" ref="D164:J164" ca="1" si="39">SUM(D155:D163)</f>
        <v>110760645.75</v>
      </c>
      <c r="E164" s="10">
        <f t="shared" ca="1" si="39"/>
        <v>27104342.02</v>
      </c>
      <c r="F164" s="10">
        <f t="shared" ca="1" si="39"/>
        <v>0</v>
      </c>
      <c r="G164" s="10">
        <f t="shared" ca="1" si="39"/>
        <v>727937.64999999991</v>
      </c>
      <c r="H164" s="10">
        <f ca="1">SUM(H155:H163)</f>
        <v>4249060.0839999998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6"/>
      <c r="D165" s="177"/>
      <c r="E165" s="177"/>
      <c r="F165" s="177"/>
      <c r="G165" s="177"/>
      <c r="H165" s="177"/>
      <c r="I165" s="177"/>
      <c r="J165" s="177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144501410.764</v>
      </c>
      <c r="D167" s="10">
        <f t="shared" ref="D167:J167" ca="1" si="40">D164+D165</f>
        <v>110760645.75</v>
      </c>
      <c r="E167" s="10">
        <f t="shared" ca="1" si="40"/>
        <v>27104342.02</v>
      </c>
      <c r="F167" s="10">
        <f t="shared" ca="1" si="40"/>
        <v>0</v>
      </c>
      <c r="G167" s="10">
        <f t="shared" ca="1" si="40"/>
        <v>727937.64999999991</v>
      </c>
      <c r="H167" s="10">
        <f ca="1">H164+H165</f>
        <v>4249060.0839999998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6">
        <f ca="1">SUM(D168:J168)</f>
        <v>0</v>
      </c>
      <c r="D168" s="177">
        <f ca="1">ROUND(D41*D83/100,2)</f>
        <v>0</v>
      </c>
      <c r="E168" s="177">
        <f t="shared" ref="E168:J168" ca="1" si="41">ROUND(E41*E83/100,2)</f>
        <v>0</v>
      </c>
      <c r="F168" s="177"/>
      <c r="G168" s="177">
        <f t="shared" ca="1" si="41"/>
        <v>0</v>
      </c>
      <c r="H168" s="177">
        <f t="shared" ca="1" si="41"/>
        <v>0</v>
      </c>
      <c r="I168" s="177">
        <f t="shared" si="41"/>
        <v>0</v>
      </c>
      <c r="J168" s="177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144501410.764</v>
      </c>
      <c r="D170" s="10">
        <f t="shared" ref="D170:J170" ca="1" si="42">D167+D168</f>
        <v>110760645.75</v>
      </c>
      <c r="E170" s="10">
        <f t="shared" ca="1" si="42"/>
        <v>27104342.02</v>
      </c>
      <c r="F170" s="10">
        <f t="shared" ca="1" si="42"/>
        <v>0</v>
      </c>
      <c r="G170" s="10">
        <f t="shared" ca="1" si="42"/>
        <v>727937.64999999991</v>
      </c>
      <c r="H170" s="10">
        <f ca="1">H167+H168</f>
        <v>4249060.0839999998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172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173</v>
      </c>
      <c r="D175" s="17">
        <f ca="1">D83</f>
        <v>58.297310503878663</v>
      </c>
      <c r="E175" s="17">
        <f ca="1">E83</f>
        <v>32.354094654767692</v>
      </c>
      <c r="F175" s="17"/>
      <c r="G175" s="17"/>
      <c r="H175" s="17">
        <f ca="1">H83</f>
        <v>11.915105391945517</v>
      </c>
      <c r="I175" s="5"/>
      <c r="J175" s="18"/>
    </row>
    <row r="176" spans="1:10" s="10" customFormat="1">
      <c r="A176" s="3"/>
      <c r="B176" s="120" t="s">
        <v>174</v>
      </c>
      <c r="C176" s="10">
        <f ca="1">SUM(D176:J176)</f>
        <v>-300434.40000000002</v>
      </c>
      <c r="D176" s="10">
        <f ca="1">ROUND(D174*D175/100,2)</f>
        <v>-280221.18</v>
      </c>
      <c r="E176" s="10">
        <f ca="1">ROUND(E174*E175/100,2)</f>
        <v>-20213.22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175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176</v>
      </c>
      <c r="D179" s="17">
        <f ca="1">D77</f>
        <v>51.963000000000001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177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178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179</v>
      </c>
      <c r="C183" s="10">
        <f ca="1">C176+C180</f>
        <v>-300434.40000000002</v>
      </c>
      <c r="D183" s="10">
        <f ca="1">D176+D180</f>
        <v>-280221.18</v>
      </c>
      <c r="E183" s="10">
        <f ca="1">E176+E180</f>
        <v>-20213.22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175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176</v>
      </c>
      <c r="C186" s="19"/>
      <c r="D186" s="538">
        <f ca="1">D78</f>
        <v>67.533000000000001</v>
      </c>
      <c r="E186" s="538">
        <f ca="1">E83</f>
        <v>32.354094654767692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177</v>
      </c>
      <c r="C187" s="10">
        <f ca="1">SUM(D187:J187)</f>
        <v>68384.41</v>
      </c>
      <c r="D187" s="10">
        <f ca="1">ROUND(D185*D186/100,2)</f>
        <v>29806.36</v>
      </c>
      <c r="E187" s="10">
        <f ca="1">ROUND(E185*E186/100,2)</f>
        <v>38578.050000000003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90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-232049.99</v>
      </c>
      <c r="D190" s="10">
        <f t="shared" ref="D190:J190" ca="1" si="43">D187+D183</f>
        <v>-250414.82</v>
      </c>
      <c r="E190" s="10">
        <f ca="1">E187+E183</f>
        <v>18364.830000000002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7">
        <f ca="1">SUM(D191:J191)</f>
        <v>144501410.764</v>
      </c>
      <c r="D191" s="177">
        <f t="shared" ref="D191:J191" ca="1" si="44">D170</f>
        <v>110760645.75</v>
      </c>
      <c r="E191" s="177">
        <f t="shared" ca="1" si="44"/>
        <v>27104342.02</v>
      </c>
      <c r="F191" s="177">
        <f t="shared" ca="1" si="44"/>
        <v>0</v>
      </c>
      <c r="G191" s="177">
        <f t="shared" ca="1" si="44"/>
        <v>727937.64999999991</v>
      </c>
      <c r="H191" s="177">
        <f ca="1">H170</f>
        <v>4249060.0839999998</v>
      </c>
      <c r="I191" s="177">
        <f t="shared" si="44"/>
        <v>1247165.3899999999</v>
      </c>
      <c r="J191" s="177">
        <f t="shared" si="44"/>
        <v>412259.87</v>
      </c>
    </row>
    <row r="192" spans="1:10">
      <c r="B192" s="4" t="s">
        <v>45</v>
      </c>
      <c r="C192" s="10">
        <f ca="1">SUM(D192:J192)</f>
        <v>144269360.77399999</v>
      </c>
      <c r="D192" s="10">
        <f ca="1">D190+D191</f>
        <v>110510230.93000001</v>
      </c>
      <c r="E192" s="10">
        <f t="shared" ref="E192:J192" ca="1" si="45">E190+E191</f>
        <v>27122706.849999998</v>
      </c>
      <c r="F192" s="10">
        <f t="shared" ca="1" si="45"/>
        <v>0</v>
      </c>
      <c r="G192" s="10">
        <f t="shared" ca="1" si="45"/>
        <v>727937.64999999991</v>
      </c>
      <c r="H192" s="10">
        <f ca="1">H190+H191</f>
        <v>4249060.0839999998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17292871.110499997</v>
      </c>
      <c r="D195" s="21">
        <f ca="1">D192-D193</f>
        <v>13400241.170000002</v>
      </c>
      <c r="E195" s="21">
        <f ca="1">E192-E193-F193</f>
        <v>3288827.3299999945</v>
      </c>
      <c r="F195" s="21"/>
      <c r="G195" s="21">
        <f t="shared" ref="G195:J195" ca="1" si="47">G192-G193</f>
        <v>88560.899999999907</v>
      </c>
      <c r="H195" s="21">
        <f ca="1">H192-H193</f>
        <v>515241.71050000051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0.13618955096591329</v>
      </c>
      <c r="D196" s="22">
        <f t="shared" ref="D196:J196" ca="1" si="48">D195/D193</f>
        <v>0.13799034685430081</v>
      </c>
      <c r="E196" s="22">
        <f t="shared" ca="1" si="48"/>
        <v>0.13798959280801107</v>
      </c>
      <c r="F196" s="22"/>
      <c r="G196" s="22">
        <f t="shared" ca="1" si="48"/>
        <v>0.13851129244221017</v>
      </c>
      <c r="H196" s="22">
        <f t="shared" ca="1" si="48"/>
        <v>0.13799324416978115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B199" s="601" t="s">
        <v>638</v>
      </c>
      <c r="C199" s="23"/>
      <c r="D199" s="23"/>
      <c r="E199" s="602">
        <f ca="1">E193/E26</f>
        <v>573.219161595998</v>
      </c>
      <c r="F199" s="602" t="e">
        <f t="shared" ref="F199" si="49">F193/F26</f>
        <v>#DIV/0!</v>
      </c>
      <c r="G199" s="603">
        <f ca="1">G193/G25</f>
        <v>13320.348958333334</v>
      </c>
      <c r="H199" s="603">
        <f t="shared" ref="H199:I199" ca="1" si="50">H193/H25</f>
        <v>8890.0437464285696</v>
      </c>
      <c r="I199" s="603">
        <f t="shared" si="50"/>
        <v>34643.483055555553</v>
      </c>
      <c r="J199" s="23"/>
    </row>
    <row r="200" spans="1:11" s="1" customFormat="1" hidden="1">
      <c r="A200" s="121" t="s">
        <v>180</v>
      </c>
      <c r="B200" s="601" t="s">
        <v>638</v>
      </c>
      <c r="C200" s="1" t="s">
        <v>0</v>
      </c>
      <c r="D200" s="1" t="s">
        <v>6</v>
      </c>
      <c r="E200" s="602" t="e">
        <f t="shared" ref="E200:E248" si="51">E194/E27</f>
        <v>#DIV/0!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1" t="s">
        <v>181</v>
      </c>
      <c r="B201" s="601" t="s">
        <v>638</v>
      </c>
      <c r="C201" s="2" t="s">
        <v>50</v>
      </c>
      <c r="D201" s="2" t="s">
        <v>12</v>
      </c>
      <c r="E201" s="602" t="e">
        <f t="shared" ca="1" si="51"/>
        <v>#DIV/0!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601" t="s">
        <v>638</v>
      </c>
      <c r="E202" s="602" t="e">
        <f t="shared" ca="1" si="51"/>
        <v>#DIV/0!</v>
      </c>
    </row>
    <row r="203" spans="1:11" hidden="1">
      <c r="B203" s="601" t="s">
        <v>638</v>
      </c>
      <c r="E203" s="602" t="e">
        <f t="shared" si="51"/>
        <v>#DIV/0!</v>
      </c>
    </row>
    <row r="204" spans="1:11" hidden="1">
      <c r="B204" s="601" t="s">
        <v>638</v>
      </c>
      <c r="C204" s="8">
        <v>0</v>
      </c>
      <c r="D204" s="6">
        <v>0</v>
      </c>
      <c r="E204" s="602">
        <f t="shared" si="51"/>
        <v>0</v>
      </c>
      <c r="F204" s="124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20" t="e">
        <f>H204/H207</f>
        <v>#DIV/0!</v>
      </c>
    </row>
    <row r="205" spans="1:11" hidden="1">
      <c r="B205" s="601" t="s">
        <v>638</v>
      </c>
      <c r="C205" s="8">
        <v>0</v>
      </c>
      <c r="D205" s="6">
        <v>0</v>
      </c>
      <c r="E205" s="602">
        <f t="shared" ca="1" si="51"/>
        <v>3.1332090456290168E-5</v>
      </c>
      <c r="F205" s="125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20" t="e">
        <f>H205/H207</f>
        <v>#DIV/0!</v>
      </c>
    </row>
    <row r="206" spans="1:11" hidden="1">
      <c r="B206" s="601" t="s">
        <v>638</v>
      </c>
      <c r="D206" s="116"/>
      <c r="E206" s="602" t="e">
        <f t="shared" si="51"/>
        <v>#DIV/0!</v>
      </c>
      <c r="F206" s="116"/>
      <c r="G206" s="116"/>
      <c r="H206" s="116"/>
      <c r="I206" s="26"/>
    </row>
    <row r="207" spans="1:11" hidden="1">
      <c r="B207" s="601" t="s">
        <v>638</v>
      </c>
      <c r="D207" s="6">
        <f>D204+D205</f>
        <v>0</v>
      </c>
      <c r="E207" s="602" t="e">
        <f t="shared" ca="1" si="51"/>
        <v>#DIV/0!</v>
      </c>
      <c r="F207" s="545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601" t="s">
        <v>638</v>
      </c>
      <c r="E208" s="602" t="e">
        <f t="shared" ca="1" si="51"/>
        <v>#DIV/0!</v>
      </c>
      <c r="F208" s="8"/>
      <c r="G208" s="8">
        <v>0</v>
      </c>
      <c r="I208" s="8">
        <v>0</v>
      </c>
    </row>
    <row r="209" spans="2:9" hidden="1">
      <c r="B209" s="601" t="s">
        <v>638</v>
      </c>
      <c r="E209" s="602" t="e">
        <f t="shared" si="51"/>
        <v>#DIV/0!</v>
      </c>
    </row>
    <row r="210" spans="2:9" hidden="1">
      <c r="B210" s="601" t="s">
        <v>638</v>
      </c>
      <c r="E210" s="602">
        <f t="shared" si="51"/>
        <v>0</v>
      </c>
    </row>
    <row r="211" spans="2:9" hidden="1">
      <c r="B211" s="601" t="s">
        <v>638</v>
      </c>
      <c r="E211" s="602" t="e">
        <f t="shared" ca="1" si="51"/>
        <v>#DIV/0!</v>
      </c>
    </row>
    <row r="212" spans="2:9" hidden="1">
      <c r="B212" s="601" t="s">
        <v>638</v>
      </c>
      <c r="E212" s="602" t="e">
        <f t="shared" si="51"/>
        <v>#DIV/0!</v>
      </c>
    </row>
    <row r="213" spans="2:9" hidden="1">
      <c r="B213" s="601" t="s">
        <v>638</v>
      </c>
      <c r="C213" s="8">
        <v>0</v>
      </c>
      <c r="D213" s="6">
        <v>0</v>
      </c>
      <c r="E213" s="602" t="e">
        <f t="shared" ca="1" si="51"/>
        <v>#DIV/0!</v>
      </c>
      <c r="F213" s="124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601" t="s">
        <v>638</v>
      </c>
      <c r="C214" s="8">
        <v>0</v>
      </c>
      <c r="D214" s="28">
        <v>0</v>
      </c>
      <c r="E214" s="602" t="e">
        <f t="shared" ca="1" si="51"/>
        <v>#DIV/0!</v>
      </c>
      <c r="F214" s="125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B215" s="601" t="s">
        <v>638</v>
      </c>
      <c r="D215" s="116"/>
      <c r="E215" s="602" t="e">
        <f t="shared" si="51"/>
        <v>#DIV/0!</v>
      </c>
      <c r="F215" s="116"/>
      <c r="G215" s="116"/>
      <c r="H215" s="116"/>
      <c r="I215" s="116"/>
    </row>
    <row r="216" spans="2:9" hidden="1">
      <c r="B216" s="601" t="s">
        <v>638</v>
      </c>
      <c r="D216" s="6">
        <f>D213+D214</f>
        <v>0</v>
      </c>
      <c r="E216" s="602">
        <f t="shared" si="51"/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601" t="s">
        <v>638</v>
      </c>
      <c r="E217" s="602" t="e">
        <f t="shared" ca="1" si="51"/>
        <v>#DIV/0!</v>
      </c>
      <c r="F217" s="8"/>
      <c r="G217" s="8">
        <v>0</v>
      </c>
      <c r="I217" s="8">
        <v>0</v>
      </c>
    </row>
    <row r="218" spans="2:9" hidden="1">
      <c r="B218" s="601" t="s">
        <v>638</v>
      </c>
      <c r="E218" s="602" t="e">
        <f t="shared" si="51"/>
        <v>#DIV/0!</v>
      </c>
    </row>
    <row r="219" spans="2:9" hidden="1">
      <c r="B219" s="601" t="s">
        <v>638</v>
      </c>
      <c r="E219" s="602" t="e">
        <f t="shared" ca="1" si="51"/>
        <v>#DIV/0!</v>
      </c>
    </row>
    <row r="220" spans="2:9" hidden="1">
      <c r="B220" s="601" t="s">
        <v>638</v>
      </c>
      <c r="C220" s="529"/>
      <c r="D220" s="529"/>
      <c r="E220" s="602" t="e">
        <f t="shared" ca="1" si="51"/>
        <v>#DIV/0!</v>
      </c>
      <c r="F220" s="529"/>
      <c r="G220" s="529"/>
    </row>
    <row r="221" spans="2:9" hidden="1">
      <c r="B221" s="601" t="s">
        <v>638</v>
      </c>
      <c r="C221" s="529"/>
      <c r="D221" s="529"/>
      <c r="E221" s="602" t="e">
        <f t="shared" si="51"/>
        <v>#DIV/0!</v>
      </c>
      <c r="F221" s="529"/>
      <c r="G221" s="529"/>
    </row>
    <row r="222" spans="2:9" hidden="1">
      <c r="B222" s="601" t="s">
        <v>638</v>
      </c>
      <c r="E222" s="602">
        <f t="shared" si="51"/>
        <v>0</v>
      </c>
    </row>
    <row r="223" spans="2:9" hidden="1">
      <c r="B223" s="601" t="s">
        <v>638</v>
      </c>
      <c r="E223" s="602" t="e">
        <f t="shared" ca="1" si="51"/>
        <v>#DIV/0!</v>
      </c>
    </row>
    <row r="224" spans="2:9" hidden="1">
      <c r="B224" s="601" t="s">
        <v>638</v>
      </c>
      <c r="E224" s="602" t="e">
        <f t="shared" si="51"/>
        <v>#DIV/0!</v>
      </c>
    </row>
    <row r="225" spans="2:9" hidden="1">
      <c r="B225" s="601" t="s">
        <v>638</v>
      </c>
      <c r="C225" s="8">
        <v>0</v>
      </c>
      <c r="D225" s="6">
        <v>0</v>
      </c>
      <c r="E225" s="602" t="e">
        <f t="shared" ca="1" si="51"/>
        <v>#DIV/0!</v>
      </c>
      <c r="F225" s="124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601" t="s">
        <v>638</v>
      </c>
      <c r="C226" s="8">
        <v>0</v>
      </c>
      <c r="D226" s="6">
        <v>0</v>
      </c>
      <c r="E226" s="602" t="e">
        <f t="shared" ca="1" si="51"/>
        <v>#DIV/0!</v>
      </c>
      <c r="F226" s="124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601" t="s">
        <v>638</v>
      </c>
      <c r="C227" s="8">
        <v>0</v>
      </c>
      <c r="D227" s="6">
        <v>0</v>
      </c>
      <c r="E227" s="602" t="e">
        <f t="shared" si="51"/>
        <v>#DIV/0!</v>
      </c>
      <c r="F227" s="125">
        <f>MIN(F231-F225-F226,D227)</f>
        <v>0</v>
      </c>
      <c r="G227" s="10">
        <f t="shared" ref="G227:G228" si="52">F227*C227/100</f>
        <v>0</v>
      </c>
      <c r="H227" s="6">
        <f t="shared" ref="H227:H228" si="53">D227-F227</f>
        <v>0</v>
      </c>
      <c r="I227" s="10">
        <f t="shared" ref="I227:I228" si="54">H227*C227/100</f>
        <v>0</v>
      </c>
    </row>
    <row r="228" spans="2:9" hidden="1">
      <c r="B228" s="601" t="s">
        <v>638</v>
      </c>
      <c r="C228" s="8">
        <v>0</v>
      </c>
      <c r="D228" s="6">
        <v>0</v>
      </c>
      <c r="E228" s="602" t="e">
        <f t="shared" si="51"/>
        <v>#DIV/0!</v>
      </c>
      <c r="F228" s="125">
        <f>MIN(F231-F225-F226-F227,D228)</f>
        <v>0</v>
      </c>
      <c r="G228" s="10">
        <f t="shared" si="52"/>
        <v>0</v>
      </c>
      <c r="H228" s="6">
        <f t="shared" si="53"/>
        <v>0</v>
      </c>
      <c r="I228" s="10">
        <f t="shared" si="54"/>
        <v>0</v>
      </c>
    </row>
    <row r="229" spans="2:9" hidden="1">
      <c r="B229" s="601" t="s">
        <v>638</v>
      </c>
      <c r="C229" s="8">
        <v>0</v>
      </c>
      <c r="D229" s="6">
        <v>0</v>
      </c>
      <c r="E229" s="602" t="e">
        <f t="shared" ca="1" si="51"/>
        <v>#DIV/0!</v>
      </c>
      <c r="F229" s="125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B230" s="601" t="s">
        <v>638</v>
      </c>
      <c r="D230" s="116"/>
      <c r="E230" s="602" t="e">
        <f t="shared" ca="1" si="51"/>
        <v>#DIV/0!</v>
      </c>
      <c r="F230" s="116"/>
      <c r="G230" s="116"/>
      <c r="H230" s="116"/>
      <c r="I230" s="26"/>
    </row>
    <row r="231" spans="2:9" hidden="1">
      <c r="B231" s="601" t="s">
        <v>638</v>
      </c>
      <c r="D231" s="6">
        <f>D225+D226+D229+D227+D228</f>
        <v>0</v>
      </c>
      <c r="E231" s="602" t="e">
        <f t="shared" ca="1" si="51"/>
        <v>#DIV/0!</v>
      </c>
      <c r="F231" s="545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601" t="s">
        <v>638</v>
      </c>
      <c r="E232" s="602" t="e">
        <f t="shared" ca="1" si="51"/>
        <v>#DIV/0!</v>
      </c>
      <c r="F232" s="8"/>
      <c r="G232" s="8">
        <v>0</v>
      </c>
      <c r="I232" s="8">
        <v>0</v>
      </c>
    </row>
    <row r="233" spans="2:9" hidden="1">
      <c r="B233" s="601" t="s">
        <v>638</v>
      </c>
      <c r="E233" s="602" t="e">
        <f t="shared" ca="1" si="51"/>
        <v>#DIV/0!</v>
      </c>
    </row>
    <row r="234" spans="2:9" hidden="1">
      <c r="B234" s="601" t="s">
        <v>638</v>
      </c>
      <c r="E234" s="602" t="e">
        <f t="shared" ca="1" si="51"/>
        <v>#DIV/0!</v>
      </c>
    </row>
    <row r="235" spans="2:9" hidden="1">
      <c r="B235" s="601" t="s">
        <v>638</v>
      </c>
      <c r="E235" s="602" t="e">
        <f t="shared" ca="1" si="51"/>
        <v>#DIV/0!</v>
      </c>
    </row>
    <row r="236" spans="2:9" hidden="1">
      <c r="B236" s="601" t="s">
        <v>638</v>
      </c>
      <c r="E236" s="602" t="e">
        <f t="shared" ca="1" si="51"/>
        <v>#DIV/0!</v>
      </c>
    </row>
    <row r="237" spans="2:9" hidden="1">
      <c r="B237" s="601" t="s">
        <v>638</v>
      </c>
      <c r="C237" s="8">
        <v>0</v>
      </c>
      <c r="D237" s="6">
        <v>0</v>
      </c>
      <c r="E237" s="602" t="e">
        <f t="shared" ca="1" si="51"/>
        <v>#DIV/0!</v>
      </c>
      <c r="F237" s="124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601" t="s">
        <v>638</v>
      </c>
      <c r="C238" s="8">
        <v>0</v>
      </c>
      <c r="D238" s="6">
        <v>0</v>
      </c>
      <c r="E238" s="602" t="e">
        <f t="shared" ca="1" si="51"/>
        <v>#DIV/0!</v>
      </c>
      <c r="F238" s="124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601" t="s">
        <v>638</v>
      </c>
      <c r="C239" s="8">
        <v>0</v>
      </c>
      <c r="D239" s="28">
        <v>0</v>
      </c>
      <c r="E239" s="602" t="e">
        <f t="shared" ca="1" si="51"/>
        <v>#DIV/0!</v>
      </c>
      <c r="F239" s="125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601" t="s">
        <v>638</v>
      </c>
      <c r="C240" s="8">
        <v>0</v>
      </c>
      <c r="D240" s="28">
        <v>0</v>
      </c>
      <c r="E240" s="602" t="e">
        <f t="shared" ca="1" si="51"/>
        <v>#DIV/0!</v>
      </c>
      <c r="F240" s="125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601" t="s">
        <v>638</v>
      </c>
      <c r="C241" s="8">
        <v>0</v>
      </c>
      <c r="D241" s="28">
        <v>0</v>
      </c>
      <c r="E241" s="602" t="e">
        <f t="shared" ca="1" si="51"/>
        <v>#DIV/0!</v>
      </c>
      <c r="F241" s="125">
        <f>MIN(F243-F237-F238-F239-F240,D241)</f>
        <v>0</v>
      </c>
      <c r="G241" s="19">
        <f t="shared" ref="G241" si="55">F241*C241/100</f>
        <v>0</v>
      </c>
      <c r="H241" s="6">
        <f t="shared" ref="H241" si="56">D241-F241</f>
        <v>0</v>
      </c>
      <c r="I241" s="10">
        <f t="shared" ref="I241" si="57">H241*C241/100</f>
        <v>0</v>
      </c>
    </row>
    <row r="242" spans="2:9" hidden="1">
      <c r="B242" s="601" t="s">
        <v>638</v>
      </c>
      <c r="D242" s="116"/>
      <c r="E242" s="602" t="e">
        <f t="shared" ca="1" si="51"/>
        <v>#DIV/0!</v>
      </c>
      <c r="F242" s="116"/>
      <c r="G242" s="116"/>
      <c r="H242" s="116"/>
      <c r="I242" s="116"/>
    </row>
    <row r="243" spans="2:9" hidden="1">
      <c r="B243" s="601" t="s">
        <v>638</v>
      </c>
      <c r="D243" s="6">
        <f>D237+D238+D239+D240+D241</f>
        <v>0</v>
      </c>
      <c r="E243" s="602" t="e">
        <f t="shared" ca="1" si="51"/>
        <v>#DIV/0!</v>
      </c>
      <c r="F243" s="392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601" t="s">
        <v>638</v>
      </c>
      <c r="E244" s="602" t="e">
        <f t="shared" ca="1" si="51"/>
        <v>#DIV/0!</v>
      </c>
      <c r="F244" s="8"/>
      <c r="G244" s="8">
        <v>0</v>
      </c>
      <c r="I244" s="8">
        <v>0</v>
      </c>
    </row>
    <row r="245" spans="2:9" hidden="1">
      <c r="B245" s="601" t="s">
        <v>638</v>
      </c>
      <c r="D245" s="6"/>
      <c r="E245" s="602" t="e">
        <f t="shared" ca="1" si="51"/>
        <v>#DIV/0!</v>
      </c>
    </row>
    <row r="246" spans="2:9" hidden="1">
      <c r="B246" s="601" t="s">
        <v>638</v>
      </c>
      <c r="E246" s="602" t="e">
        <f t="shared" ca="1" si="51"/>
        <v>#DIV/0!</v>
      </c>
    </row>
    <row r="247" spans="2:9" hidden="1">
      <c r="B247" s="601" t="s">
        <v>638</v>
      </c>
      <c r="E247" s="602" t="e">
        <f t="shared" ca="1" si="51"/>
        <v>#DIV/0!</v>
      </c>
    </row>
    <row r="248" spans="2:9" hidden="1">
      <c r="B248" s="601" t="s">
        <v>638</v>
      </c>
      <c r="E248" s="602" t="e">
        <f t="shared" ca="1" si="51"/>
        <v>#DIV/0!</v>
      </c>
    </row>
    <row r="249" spans="2:9">
      <c r="B249" s="601" t="s">
        <v>639</v>
      </c>
      <c r="E249" s="602">
        <f ca="1">E192/E49</f>
        <v>652.31744029437937</v>
      </c>
      <c r="G249" s="604">
        <f ca="1">G192/G48</f>
        <v>15165.367708333331</v>
      </c>
      <c r="H249" s="604">
        <f t="shared" ref="H249:I249" ca="1" si="58">H192/H48</f>
        <v>10116.809723809523</v>
      </c>
      <c r="I249" s="604">
        <f t="shared" si="58"/>
        <v>34643.483055555553</v>
      </c>
    </row>
    <row r="250" spans="2:9">
      <c r="B250" s="601" t="s">
        <v>496</v>
      </c>
      <c r="E250" s="605">
        <f ca="1">E249-E199</f>
        <v>79.098278698381364</v>
      </c>
      <c r="F250" s="605" t="e">
        <f t="shared" ref="F250:I250" si="59">F249-F199</f>
        <v>#DIV/0!</v>
      </c>
      <c r="G250" s="605">
        <f t="shared" ca="1" si="59"/>
        <v>1845.0187499999975</v>
      </c>
      <c r="H250" s="605">
        <f t="shared" ca="1" si="59"/>
        <v>1226.7659773809537</v>
      </c>
      <c r="I250" s="605">
        <f t="shared" si="59"/>
        <v>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D26" sqref="D26:H32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111</v>
      </c>
    </row>
    <row r="2" spans="1:22">
      <c r="C2" s="51" t="s">
        <v>6</v>
      </c>
      <c r="D2" s="51" t="s">
        <v>149</v>
      </c>
      <c r="E2" s="51" t="s">
        <v>456</v>
      </c>
      <c r="F2" s="51" t="s">
        <v>457</v>
      </c>
      <c r="G2" s="432" t="s">
        <v>525</v>
      </c>
      <c r="H2" s="51" t="s">
        <v>152</v>
      </c>
      <c r="J2" s="67" t="s">
        <v>112</v>
      </c>
      <c r="L2" s="51" t="s">
        <v>149</v>
      </c>
      <c r="M2" s="51" t="s">
        <v>150</v>
      </c>
      <c r="N2" s="51" t="s">
        <v>151</v>
      </c>
      <c r="O2" s="51" t="s">
        <v>153</v>
      </c>
      <c r="P2" s="51" t="s">
        <v>152</v>
      </c>
    </row>
    <row r="3" spans="1:22">
      <c r="B3" s="29" t="s">
        <v>113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417" t="s">
        <v>524</v>
      </c>
      <c r="S6" s="417"/>
      <c r="T6" s="417"/>
      <c r="U6" s="417"/>
      <c r="V6" s="417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/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114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/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55</v>
      </c>
      <c r="D10" s="70"/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0" t="s">
        <v>246</v>
      </c>
      <c r="M11" s="151">
        <f>(M6/100*E6+E5)/M6*100</f>
        <v>65.290000000000006</v>
      </c>
      <c r="N11" s="152">
        <f>(N6/100*F6+F5)/N6*100</f>
        <v>0</v>
      </c>
      <c r="O11" s="149"/>
      <c r="P11" s="149"/>
    </row>
    <row r="12" spans="1:22">
      <c r="A12" s="421"/>
      <c r="B12" s="433" t="s">
        <v>115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95</v>
      </c>
      <c r="M12" s="153">
        <f>M6*M11/100-(M6*E6/100+E5)</f>
        <v>0</v>
      </c>
      <c r="N12" s="154">
        <f>N6*N11/100-(N6*F6/100+F5)</f>
        <v>0</v>
      </c>
    </row>
    <row r="13" spans="1:22">
      <c r="A13" s="421"/>
      <c r="B13" s="421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421">
        <v>1</v>
      </c>
      <c r="B14" s="421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421">
        <v>2</v>
      </c>
      <c r="B15" s="421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421">
        <v>3</v>
      </c>
      <c r="B16" s="421" t="s">
        <v>30</v>
      </c>
      <c r="D16" s="103">
        <f>D6+40.179+30.3089+0.015-0.006+0.587-3.587+5.093+6.079</f>
        <v>129.33790000000002</v>
      </c>
      <c r="E16" s="103">
        <f>E6+39.2+28.68+0.012-0.002+3.987-1.874+2.842+3.022</f>
        <v>75.867000000000004</v>
      </c>
      <c r="F16" s="103">
        <f>F6</f>
        <v>0</v>
      </c>
      <c r="G16" s="103">
        <f>G6+35.949+0.004-0.001-1.267+2.013+2.952</f>
        <v>69.966999999999999</v>
      </c>
      <c r="H16" s="103">
        <f>H6+0.056+0.044-0.002-0.606+0.106</f>
        <v>12.027999999999999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421">
        <v>4</v>
      </c>
      <c r="B17" s="421" t="s">
        <v>31</v>
      </c>
      <c r="D17" s="103">
        <f>D7+40.179+30.3089+0.015-0.006+0.587-3.587+5.093+6.079</f>
        <v>144.52189999999999</v>
      </c>
      <c r="E17" s="103">
        <f t="shared" ref="E17:E20" si="5">E7+39.2+28.68+0.012-0.002+3.987-1.874+2.842+3.022</f>
        <v>114.63100000000001</v>
      </c>
      <c r="F17" s="103">
        <f>F7</f>
        <v>0</v>
      </c>
      <c r="G17" s="103">
        <f t="shared" ref="G17:G19" si="6">G7+35.949+0.004-0.001-1.267+2.013+2.952</f>
        <v>63.986999999999995</v>
      </c>
      <c r="H17" s="103">
        <f t="shared" ref="H17:H20" si="7">H7+0.056+0.044-0.002-0.606+0.106</f>
        <v>10.655999999999999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421">
        <v>5</v>
      </c>
      <c r="B18" s="421" t="s">
        <v>32</v>
      </c>
      <c r="D18" s="103"/>
      <c r="E18" s="103">
        <f t="shared" si="5"/>
        <v>105.414</v>
      </c>
      <c r="F18" s="103">
        <f>F8</f>
        <v>0</v>
      </c>
      <c r="G18" s="103">
        <f t="shared" si="6"/>
        <v>62.518999999999991</v>
      </c>
      <c r="H18" s="103">
        <f t="shared" si="7"/>
        <v>9.5689999999999991</v>
      </c>
      <c r="J18" s="29" t="s">
        <v>116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421">
        <v>6</v>
      </c>
      <c r="B19" s="421" t="s">
        <v>33</v>
      </c>
      <c r="D19" s="103"/>
      <c r="E19" s="103">
        <f t="shared" si="5"/>
        <v>101.07800000000002</v>
      </c>
      <c r="F19" s="103">
        <f>F9</f>
        <v>0</v>
      </c>
      <c r="G19" s="103">
        <f t="shared" si="6"/>
        <v>60.082999999999991</v>
      </c>
      <c r="H19" s="103">
        <f t="shared" si="7"/>
        <v>8.8189999999999991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421">
        <v>7</v>
      </c>
      <c r="B20" s="421" t="s">
        <v>55</v>
      </c>
      <c r="D20" s="103">
        <f>D10</f>
        <v>0</v>
      </c>
      <c r="E20" s="103">
        <f t="shared" si="5"/>
        <v>93.553000000000011</v>
      </c>
      <c r="F20" s="103">
        <f t="shared" ref="F20" si="9">F10</f>
        <v>0</v>
      </c>
      <c r="G20" s="103"/>
      <c r="H20" s="103">
        <f t="shared" si="7"/>
        <v>6.5279999999999996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0" t="s">
        <v>246</v>
      </c>
      <c r="M21" s="151">
        <f>(M16/100*E16+E15)/M16*100</f>
        <v>141.15700000000001</v>
      </c>
      <c r="N21" s="152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95</v>
      </c>
      <c r="M22" s="153">
        <f>M16*M21/100-(M16*E16/100+E15)</f>
        <v>0</v>
      </c>
      <c r="N22" s="154">
        <f>N16*N21/100-(N16*F16/100+F15)</f>
        <v>0</v>
      </c>
    </row>
    <row r="23" spans="1:16">
      <c r="A23" s="29"/>
      <c r="B23" s="29"/>
      <c r="C23" s="29"/>
    </row>
    <row r="24" spans="1:16">
      <c r="A24" s="421"/>
      <c r="B24" s="433" t="s">
        <v>113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421"/>
      <c r="B25" s="421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421">
        <v>1</v>
      </c>
      <c r="B26" s="421" t="s">
        <v>28</v>
      </c>
      <c r="D26" s="104">
        <f>IF(D4&gt;0,ROUND(D63,2),0)</f>
        <v>15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850</v>
      </c>
    </row>
    <row r="27" spans="1:16">
      <c r="A27" s="421">
        <v>2</v>
      </c>
      <c r="B27" s="421" t="s">
        <v>29</v>
      </c>
      <c r="D27" s="104">
        <f>IF(D5&gt;0,ROUND(D63,2),0)</f>
        <v>0</v>
      </c>
      <c r="E27" s="104">
        <f>IF(E5&gt;0,ROUND(E63,2),0)</f>
        <v>139.16999999999999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421">
        <v>2</v>
      </c>
      <c r="B28" s="421" t="s">
        <v>30</v>
      </c>
      <c r="D28" s="102">
        <f>ROUND(D82,3)</f>
        <v>51.963000000000001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34.515999999999998</v>
      </c>
      <c r="H28" s="102">
        <f t="shared" si="10"/>
        <v>14.064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421">
        <v>3</v>
      </c>
      <c r="B29" s="421" t="s">
        <v>31</v>
      </c>
      <c r="D29" s="102">
        <f>ROUND(D83,3)</f>
        <v>67.533000000000001</v>
      </c>
      <c r="E29" s="102">
        <f t="shared" si="10"/>
        <v>44.938000000000002</v>
      </c>
      <c r="F29" s="102">
        <v>0</v>
      </c>
      <c r="G29" s="102">
        <f t="shared" si="10"/>
        <v>27.707999999999998</v>
      </c>
      <c r="H29" s="102">
        <f t="shared" si="10"/>
        <v>12.512</v>
      </c>
      <c r="I29" s="297">
        <f>H29/H28-1</f>
        <v>-0.11035267349260525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421">
        <v>4</v>
      </c>
      <c r="B30" s="421" t="s">
        <v>32</v>
      </c>
      <c r="D30" s="102">
        <f t="shared" si="10"/>
        <v>0</v>
      </c>
      <c r="E30" s="102">
        <f>ROUND(E84,3)</f>
        <v>34.253999999999998</v>
      </c>
      <c r="F30" s="102">
        <v>0</v>
      </c>
      <c r="G30" s="102">
        <f t="shared" si="10"/>
        <v>26.036999999999999</v>
      </c>
      <c r="H30" s="102">
        <f t="shared" si="10"/>
        <v>11.282</v>
      </c>
      <c r="I30" s="297">
        <f t="shared" ref="I30:I31" si="11">H30/H29-1</f>
        <v>-9.8305626598465534E-2</v>
      </c>
      <c r="J30" s="29" t="s">
        <v>117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421">
        <v>5</v>
      </c>
      <c r="B31" s="421" t="s">
        <v>33</v>
      </c>
      <c r="D31" s="102">
        <f t="shared" ref="D31:H32" si="12">ROUND(D85,3)</f>
        <v>0</v>
      </c>
      <c r="E31" s="102">
        <f>ROUND(E85,3)</f>
        <v>29.227</v>
      </c>
      <c r="F31" s="102">
        <v>0</v>
      </c>
      <c r="G31" s="102">
        <f t="shared" si="12"/>
        <v>23.263000000000002</v>
      </c>
      <c r="H31" s="102">
        <f t="shared" si="12"/>
        <v>10.433</v>
      </c>
      <c r="I31" s="297">
        <f t="shared" si="11"/>
        <v>-7.5252614784612648E-2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421">
        <v>6</v>
      </c>
      <c r="B32" s="421" t="s">
        <v>55</v>
      </c>
      <c r="D32" s="102">
        <f t="shared" si="12"/>
        <v>0</v>
      </c>
      <c r="E32" s="102">
        <f t="shared" si="12"/>
        <v>20.503</v>
      </c>
      <c r="F32" s="102">
        <v>0</v>
      </c>
      <c r="G32" s="102">
        <f t="shared" si="12"/>
        <v>0</v>
      </c>
      <c r="H32" s="102">
        <f t="shared" si="12"/>
        <v>7.8410000000000002</v>
      </c>
      <c r="I32" s="297">
        <f>H32/H31-1</f>
        <v>-0.24844244225055112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421"/>
      <c r="B33" s="421"/>
      <c r="D33" s="71"/>
      <c r="E33" s="71"/>
      <c r="F33" s="71"/>
      <c r="G33" s="71"/>
      <c r="H33" s="71"/>
      <c r="L33" s="150" t="s">
        <v>246</v>
      </c>
      <c r="M33" s="151">
        <f>(M28/100*E28+E27)/M28*100</f>
        <v>69.584999999999994</v>
      </c>
      <c r="N33" s="152">
        <f>(N28/100*F28+F27)/N28*100</f>
        <v>0</v>
      </c>
      <c r="O33" s="149"/>
      <c r="P33" s="149"/>
    </row>
    <row r="34" spans="1:22">
      <c r="A34" s="421"/>
      <c r="B34" s="433" t="s">
        <v>115</v>
      </c>
      <c r="C34" s="434"/>
      <c r="D34" s="435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95</v>
      </c>
      <c r="M34" s="153">
        <f>M28*M33/100-(M28*E28/100+E27)</f>
        <v>0</v>
      </c>
      <c r="N34" s="154">
        <f>N28*N33/100-(N28*F28/100+F27)</f>
        <v>0</v>
      </c>
    </row>
    <row r="35" spans="1:22">
      <c r="A35" s="421"/>
      <c r="B35" s="421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277</v>
      </c>
      <c r="M35" s="206">
        <f>E5+(D26-D4)+(((D28/100)-(D6/100))*70)+(((D29/100)-(D7/100))*130)</f>
        <v>139.16980000000001</v>
      </c>
      <c r="N35" s="206">
        <f>F5+(D26-D4)+(70*((D28/100)-(D6/100)))+(430*((D29/100)-(D7/100)))</f>
        <v>13.629800000000021</v>
      </c>
      <c r="S35">
        <v>100</v>
      </c>
    </row>
    <row r="36" spans="1:22">
      <c r="A36" s="421">
        <v>1</v>
      </c>
      <c r="B36" s="421" t="s">
        <v>28</v>
      </c>
      <c r="D36" s="105">
        <f t="shared" ref="D36:H37" si="13">D26</f>
        <v>15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850</v>
      </c>
      <c r="S36" s="135" t="s">
        <v>267</v>
      </c>
    </row>
    <row r="37" spans="1:22">
      <c r="A37" s="421">
        <v>2</v>
      </c>
      <c r="B37" s="421" t="s">
        <v>29</v>
      </c>
      <c r="D37" s="105">
        <f t="shared" si="13"/>
        <v>0</v>
      </c>
      <c r="E37" s="105">
        <f t="shared" si="13"/>
        <v>139.16999999999999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421">
        <v>2</v>
      </c>
      <c r="B38" s="421" t="s">
        <v>30</v>
      </c>
      <c r="D38" s="103">
        <f>D28+40.179+30.3089+0.015-0.006+0.587-3.587+5.093+6.079</f>
        <v>130.6319</v>
      </c>
      <c r="E38" s="103">
        <f>E28+39.2+28.68+0.012-0.002+3.987-1.874+2.842+3.022</f>
        <v>75.867000000000004</v>
      </c>
      <c r="F38" s="103">
        <f>F28</f>
        <v>0</v>
      </c>
      <c r="G38" s="103">
        <f>G28+35.949+0.004-0.001-1.267+2.013+2.952</f>
        <v>74.166000000000011</v>
      </c>
      <c r="H38" s="103">
        <f>H28+0.056+0.044-0.002-0.606+0.106</f>
        <v>13.661999999999999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421">
        <v>3</v>
      </c>
      <c r="B39" s="421" t="s">
        <v>31</v>
      </c>
      <c r="D39" s="103">
        <f>D29+40.179+30.3089+0.015-0.006+0.587-3.587+5.093+6.079</f>
        <v>146.20189999999999</v>
      </c>
      <c r="E39" s="103">
        <f t="shared" ref="E39:E42" si="15">E29+39.2+28.68+0.012-0.002+3.987-1.874+2.842+3.022</f>
        <v>120.80500000000002</v>
      </c>
      <c r="F39" s="103">
        <f>F29</f>
        <v>0</v>
      </c>
      <c r="G39" s="103">
        <f t="shared" ref="G39:G41" si="16">G29+35.949+0.004-0.001-1.267+2.013+2.952</f>
        <v>67.35799999999999</v>
      </c>
      <c r="H39" s="103">
        <f t="shared" ref="H39:H42" si="17">H29+0.056+0.044-0.002-0.606+0.106</f>
        <v>12.11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49">
        <f>S$38</f>
        <v>0</v>
      </c>
      <c r="T39" s="149">
        <f>T$38</f>
        <v>0</v>
      </c>
      <c r="U39" s="149">
        <f>U$38</f>
        <v>0</v>
      </c>
      <c r="V39" s="149">
        <f>V$38</f>
        <v>0</v>
      </c>
    </row>
    <row r="40" spans="1:22">
      <c r="A40" s="421">
        <v>4</v>
      </c>
      <c r="B40" s="421" t="s">
        <v>32</v>
      </c>
      <c r="D40" s="103"/>
      <c r="E40" s="103">
        <f t="shared" si="15"/>
        <v>110.12100000000002</v>
      </c>
      <c r="F40" s="103">
        <f>F30</f>
        <v>0</v>
      </c>
      <c r="G40" s="103">
        <f t="shared" si="16"/>
        <v>65.686999999999998</v>
      </c>
      <c r="H40" s="103">
        <f t="shared" si="17"/>
        <v>10.879999999999999</v>
      </c>
      <c r="J40" s="29" t="s">
        <v>118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49">
        <f t="shared" ref="S40:V42" si="18">S$38</f>
        <v>0</v>
      </c>
      <c r="T40" s="149">
        <f t="shared" si="18"/>
        <v>0</v>
      </c>
      <c r="U40" s="149">
        <f t="shared" si="18"/>
        <v>0</v>
      </c>
      <c r="V40" s="149">
        <f t="shared" si="18"/>
        <v>0</v>
      </c>
    </row>
    <row r="41" spans="1:22">
      <c r="A41" s="421">
        <v>5</v>
      </c>
      <c r="B41" s="421" t="s">
        <v>33</v>
      </c>
      <c r="D41" s="103"/>
      <c r="E41" s="103">
        <f t="shared" si="15"/>
        <v>105.09400000000001</v>
      </c>
      <c r="F41" s="103">
        <f>F31</f>
        <v>0</v>
      </c>
      <c r="G41" s="103">
        <f t="shared" si="16"/>
        <v>62.912999999999997</v>
      </c>
      <c r="H41" s="103">
        <f t="shared" si="17"/>
        <v>10.030999999999999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49">
        <f t="shared" si="18"/>
        <v>0</v>
      </c>
      <c r="T41" s="149">
        <f t="shared" si="18"/>
        <v>0</v>
      </c>
      <c r="U41" s="149">
        <f t="shared" si="18"/>
        <v>0</v>
      </c>
      <c r="V41" s="149">
        <f t="shared" si="18"/>
        <v>0</v>
      </c>
    </row>
    <row r="42" spans="1:22">
      <c r="A42" s="421">
        <v>6</v>
      </c>
      <c r="B42" s="421" t="s">
        <v>55</v>
      </c>
      <c r="D42" s="103">
        <f>D32</f>
        <v>0</v>
      </c>
      <c r="E42" s="103">
        <f t="shared" si="15"/>
        <v>96.370000000000019</v>
      </c>
      <c r="F42" s="103">
        <f t="shared" ref="F42" si="19">F32</f>
        <v>0</v>
      </c>
      <c r="G42" s="103"/>
      <c r="H42" s="103">
        <f t="shared" si="17"/>
        <v>7.4390000000000001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49">
        <f t="shared" si="18"/>
        <v>0</v>
      </c>
      <c r="T42" s="149">
        <f t="shared" si="18"/>
        <v>0</v>
      </c>
      <c r="U42" s="149">
        <f t="shared" si="18"/>
        <v>0</v>
      </c>
      <c r="V42" s="149">
        <f t="shared" si="18"/>
        <v>0</v>
      </c>
    </row>
    <row r="43" spans="1:22">
      <c r="D43" s="103"/>
      <c r="E43" s="103"/>
      <c r="F43" s="103"/>
      <c r="G43" s="103"/>
      <c r="H43" s="103"/>
      <c r="L43" s="150" t="s">
        <v>246</v>
      </c>
      <c r="M43" s="151">
        <f>(M38/100*E38+E37)/M38*100</f>
        <v>145.452</v>
      </c>
      <c r="N43" s="152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95</v>
      </c>
      <c r="M44" s="153">
        <f>M38*M43/100-(M38*E38/100+E37)</f>
        <v>0</v>
      </c>
      <c r="N44" s="154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119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54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120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187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121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123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127</v>
      </c>
      <c r="J58" s="76"/>
    </row>
    <row r="59" spans="2:21">
      <c r="I59" s="72" t="s">
        <v>122</v>
      </c>
      <c r="J59" s="72"/>
      <c r="K59" s="72"/>
    </row>
    <row r="60" spans="2:21">
      <c r="B60" s="29" t="s">
        <v>62</v>
      </c>
      <c r="C60" s="133">
        <f ca="1">SUM(D60:H60)</f>
        <v>142610278.20289764</v>
      </c>
      <c r="D60" s="133">
        <f ca="1">'Rate Spread'!H13*1000</f>
        <v>110510583.37359233</v>
      </c>
      <c r="E60" s="133">
        <f ca="1">('Rate Spread'!H14+'Rate Spread'!H15)*1000</f>
        <v>27122811.322713446</v>
      </c>
      <c r="F60" s="133">
        <v>0</v>
      </c>
      <c r="G60" s="133">
        <f ca="1">'Rate Spread'!H16*1000</f>
        <v>727820.68940591824</v>
      </c>
      <c r="H60" s="133">
        <f ca="1">'Rate Spread'!H17*1000</f>
        <v>4249062.8171859318</v>
      </c>
      <c r="I60" s="51" t="s">
        <v>124</v>
      </c>
      <c r="J60" s="51" t="s">
        <v>125</v>
      </c>
      <c r="K60" s="51" t="s">
        <v>126</v>
      </c>
      <c r="N60" s="51"/>
      <c r="O60" s="51"/>
      <c r="P60" s="51"/>
      <c r="Q60" s="51"/>
      <c r="R60" s="51"/>
    </row>
    <row r="61" spans="2:21">
      <c r="B61" s="29" t="s">
        <v>186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1"/>
      <c r="O61" s="211"/>
      <c r="P61" s="211"/>
      <c r="Q61" s="213"/>
      <c r="R61" s="213"/>
      <c r="S61" s="213"/>
      <c r="T61" s="213"/>
      <c r="U61" s="206"/>
    </row>
    <row r="62" spans="2:21">
      <c r="B62" s="77" t="s">
        <v>155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1"/>
      <c r="O62" s="211"/>
      <c r="P62" s="211"/>
      <c r="Q62" s="213"/>
      <c r="R62" s="213"/>
      <c r="S62" s="212"/>
      <c r="T62" s="213"/>
      <c r="U62" s="206"/>
    </row>
    <row r="63" spans="2:21">
      <c r="B63" s="80" t="s">
        <v>160</v>
      </c>
      <c r="C63" s="81"/>
      <c r="D63" s="101">
        <v>15</v>
      </c>
      <c r="E63" s="101">
        <f>ROUND(('JDM-7 pg 3'!D15*70)+('JDM-7 pg 3'!D16*130)+D62+(70*'JDM-7 pg 3'!G15)+(130*'JDM-7 pg 3'!G16)+'JDM-7 pg 3'!G13,2)</f>
        <v>139.16999999999999</v>
      </c>
      <c r="F63" s="101">
        <v>0</v>
      </c>
      <c r="G63" s="101">
        <v>0</v>
      </c>
      <c r="H63" s="101">
        <v>850</v>
      </c>
      <c r="I63" s="80">
        <f>FLOOR(I62*(1+I$61),$I64)</f>
        <v>0</v>
      </c>
      <c r="J63">
        <f>CEILING(J62*(1+J$61),$J64)</f>
        <v>0</v>
      </c>
      <c r="K63" s="131">
        <v>1.05</v>
      </c>
    </row>
    <row r="64" spans="2:21">
      <c r="B64" s="82" t="s">
        <v>147</v>
      </c>
      <c r="C64" s="83"/>
      <c r="D64" s="84">
        <f>IF(D62,D63/D62-1,0)</f>
        <v>0.57894736842105265</v>
      </c>
      <c r="E64" s="84">
        <f>IF(E62,E63/E62-1,0)</f>
        <v>6.5783427783733917E-2</v>
      </c>
      <c r="F64" s="84">
        <f>IF(F62,F63/F62-1,0)</f>
        <v>0</v>
      </c>
      <c r="G64" s="84">
        <f>IF(G62,G63/G62-1,0)</f>
        <v>0</v>
      </c>
      <c r="H64" s="84">
        <f>IF(H62,H63/H62-1,0)</f>
        <v>0.21428571428571419</v>
      </c>
      <c r="I64" s="114">
        <v>0.05</v>
      </c>
      <c r="J64" s="43">
        <v>0.05</v>
      </c>
    </row>
    <row r="65" spans="1:12">
      <c r="B65" s="35" t="s">
        <v>128</v>
      </c>
      <c r="C65" s="85">
        <f>SUM(D65:H65)</f>
        <v>37359327.693999998</v>
      </c>
      <c r="D65" s="85">
        <f>D58*D63</f>
        <v>31159590</v>
      </c>
      <c r="E65" s="85">
        <f>E58*E63</f>
        <v>5786549.4299999997</v>
      </c>
      <c r="F65" s="85">
        <f>F58*F63</f>
        <v>0</v>
      </c>
      <c r="G65" s="85">
        <f>G58*G63</f>
        <v>0</v>
      </c>
      <c r="H65" s="85">
        <f>(H58*H63)+'Pres &amp; Prop Rev'!H156</f>
        <v>413188.26400000002</v>
      </c>
    </row>
    <row r="66" spans="1:12">
      <c r="B66" s="35"/>
      <c r="C66" s="35"/>
      <c r="D66" s="161">
        <v>0</v>
      </c>
      <c r="E66" s="73"/>
      <c r="F66" s="73"/>
      <c r="G66" s="73"/>
    </row>
    <row r="67" spans="1:12">
      <c r="B67" s="53" t="s">
        <v>129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239.46198575889821</v>
      </c>
      <c r="L67" s="161"/>
    </row>
    <row r="68" spans="1:12">
      <c r="B68" s="53" t="s">
        <v>130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2"/>
    </row>
    <row r="69" spans="1:12">
      <c r="B69" s="53" t="s">
        <v>131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156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157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132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133</v>
      </c>
      <c r="C74" s="53"/>
      <c r="D74" s="88">
        <v>2.5530165370145155E-2</v>
      </c>
      <c r="E74" s="88">
        <v>0.15929632049101219</v>
      </c>
      <c r="F74" s="88">
        <v>0</v>
      </c>
      <c r="G74" s="88">
        <v>0.13850633883149996</v>
      </c>
      <c r="H74" s="88">
        <v>0.13147312429460445</v>
      </c>
      <c r="K74">
        <f>K$61</f>
        <v>0</v>
      </c>
      <c r="L74" s="160"/>
    </row>
    <row r="75" spans="1:12">
      <c r="B75" s="53" t="s">
        <v>134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59"/>
    </row>
    <row r="77" spans="1:12">
      <c r="A77" t="s">
        <v>135</v>
      </c>
      <c r="B77" t="s">
        <v>30</v>
      </c>
      <c r="D77" s="86">
        <f>CHOOSE(D$75,D67+D$73,D67*(1+D$74))</f>
        <v>51.962587949139881</v>
      </c>
      <c r="E77" s="366">
        <f>E67</f>
        <v>0</v>
      </c>
      <c r="F77" s="366">
        <f>F67</f>
        <v>0</v>
      </c>
      <c r="G77" s="86">
        <f t="shared" ref="D77:H81" si="23">CHOOSE(G$75,G67+G$73,G67*(1+G$74))</f>
        <v>34.516096674354586</v>
      </c>
      <c r="H77" s="86">
        <f t="shared" si="23"/>
        <v>14.064210934981935</v>
      </c>
      <c r="J77" s="213"/>
      <c r="L77" s="160"/>
    </row>
    <row r="78" spans="1:12">
      <c r="B78" t="s">
        <v>31</v>
      </c>
      <c r="D78" s="275">
        <f>CHOOSE(D$75,D68+D$73,D68*(1+D$74))</f>
        <v>67.534237980120167</v>
      </c>
      <c r="E78" s="86">
        <f>CHOOSE(E$75,E68+E$73,E68*(1+E$74))</f>
        <v>44.938962567513606</v>
      </c>
      <c r="F78" s="86"/>
      <c r="G78" s="86">
        <f t="shared" si="23"/>
        <v>27.707828768142214</v>
      </c>
      <c r="H78" s="86">
        <f t="shared" si="23"/>
        <v>12.511829808449738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34.253728381547937</v>
      </c>
      <c r="F79" s="86"/>
      <c r="G79" s="86">
        <f>CHOOSE(G$75,G69+G$73,G69*(1+G$74))</f>
        <v>26.036501462737572</v>
      </c>
      <c r="H79" s="86">
        <f t="shared" si="23"/>
        <v>11.281918522341503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29.227019535898908</v>
      </c>
      <c r="F80" s="86"/>
      <c r="G80" s="275">
        <f>CHOOSE(G$75,G70+G$73,G70*(1+G$74))</f>
        <v>23.263100021344037</v>
      </c>
      <c r="H80" s="86">
        <f t="shared" si="23"/>
        <v>10.433313679120548</v>
      </c>
    </row>
    <row r="81" spans="1:16">
      <c r="B81" t="s">
        <v>55</v>
      </c>
      <c r="D81" s="86">
        <f t="shared" si="23"/>
        <v>0</v>
      </c>
      <c r="E81" s="275">
        <f t="shared" si="23"/>
        <v>20.503314724204042</v>
      </c>
      <c r="F81" s="275"/>
      <c r="G81" s="86">
        <f t="shared" si="23"/>
        <v>0</v>
      </c>
      <c r="H81" s="86">
        <f>CHOOSE(H$75,H71+H$73,H71*(1+H$74))</f>
        <v>7.8411087513616096</v>
      </c>
    </row>
    <row r="82" spans="1:16">
      <c r="A82" t="s">
        <v>136</v>
      </c>
      <c r="B82" s="77" t="s">
        <v>30</v>
      </c>
      <c r="C82" s="78"/>
      <c r="D82" s="194">
        <f>D77</f>
        <v>51.962587949139881</v>
      </c>
      <c r="E82" s="90">
        <f>E77</f>
        <v>0</v>
      </c>
      <c r="F82" s="90">
        <f>F77</f>
        <v>0</v>
      </c>
      <c r="G82" s="90">
        <f>G77</f>
        <v>34.516096674354586</v>
      </c>
      <c r="H82" s="208">
        <f>H77</f>
        <v>14.064210934981935</v>
      </c>
      <c r="I82" s="80"/>
      <c r="J82" s="226">
        <f>F82-F67</f>
        <v>0</v>
      </c>
      <c r="K82" s="226">
        <f>H82-H67</f>
        <v>1.6342109349819349</v>
      </c>
      <c r="L82" s="213">
        <f>D63+((D77/100)*200)</f>
        <v>118.92517589827976</v>
      </c>
      <c r="M82" s="213">
        <f>E63+((E82/100)*200)</f>
        <v>139.16999999999999</v>
      </c>
      <c r="N82" s="213"/>
      <c r="O82" s="213"/>
      <c r="P82" s="213">
        <f>F63+((F82/100)*500)</f>
        <v>0</v>
      </c>
    </row>
    <row r="83" spans="1:16">
      <c r="B83" s="80" t="s">
        <v>31</v>
      </c>
      <c r="C83" s="81"/>
      <c r="D83" s="91">
        <f>D78-0.001</f>
        <v>67.533237980120163</v>
      </c>
      <c r="E83" s="91">
        <f>E78-0.001</f>
        <v>44.937962567513608</v>
      </c>
      <c r="F83" s="91">
        <f>F78</f>
        <v>0</v>
      </c>
      <c r="G83" s="91">
        <f t="shared" ref="G83:G84" si="24">G78</f>
        <v>27.707828768142214</v>
      </c>
      <c r="H83" s="209">
        <f t="shared" ref="H83:H84" si="25">H78</f>
        <v>12.511829808449738</v>
      </c>
      <c r="I83" s="80"/>
      <c r="J83" s="226">
        <f>F83-F68</f>
        <v>0</v>
      </c>
      <c r="K83" s="226">
        <f>H83-H68</f>
        <v>1.4538298084497381</v>
      </c>
    </row>
    <row r="84" spans="1:16">
      <c r="B84" s="80" t="s">
        <v>32</v>
      </c>
      <c r="C84" s="81"/>
      <c r="D84" s="91"/>
      <c r="E84" s="91">
        <f>E79</f>
        <v>34.253728381547937</v>
      </c>
      <c r="F84" s="91">
        <f>F79</f>
        <v>0</v>
      </c>
      <c r="G84" s="91">
        <f t="shared" si="24"/>
        <v>26.036501462737572</v>
      </c>
      <c r="H84" s="209">
        <f t="shared" si="25"/>
        <v>11.281918522341503</v>
      </c>
      <c r="I84" s="80"/>
      <c r="J84" s="226">
        <f>F84-F69</f>
        <v>0</v>
      </c>
      <c r="K84" s="226">
        <f t="shared" ref="K84:K86" si="26">H84-H69</f>
        <v>1.3109185223415025</v>
      </c>
    </row>
    <row r="85" spans="1:16">
      <c r="B85" s="80" t="s">
        <v>33</v>
      </c>
      <c r="C85" s="81"/>
      <c r="D85" s="91"/>
      <c r="E85" s="91">
        <f>E80</f>
        <v>29.227019535898908</v>
      </c>
      <c r="F85" s="91">
        <f>F80</f>
        <v>0</v>
      </c>
      <c r="G85" s="91">
        <f>G80</f>
        <v>23.263100021344037</v>
      </c>
      <c r="H85" s="209">
        <f t="shared" ref="G85:H86" si="27">H80</f>
        <v>10.433313679120548</v>
      </c>
      <c r="I85" s="80"/>
      <c r="J85" s="226">
        <f t="shared" ref="J85:J86" si="28">F85-F70</f>
        <v>0</v>
      </c>
      <c r="K85" s="226">
        <f t="shared" si="26"/>
        <v>1.2123136791205482</v>
      </c>
    </row>
    <row r="86" spans="1:16">
      <c r="B86" s="92" t="s">
        <v>55</v>
      </c>
      <c r="C86" s="93"/>
      <c r="D86" s="94"/>
      <c r="E86" s="94">
        <f>E81</f>
        <v>20.503314724204042</v>
      </c>
      <c r="F86" s="94">
        <f>F81</f>
        <v>0</v>
      </c>
      <c r="G86" s="94">
        <f t="shared" si="27"/>
        <v>0</v>
      </c>
      <c r="H86" s="210">
        <f>H81</f>
        <v>7.8411087513616096</v>
      </c>
      <c r="I86" s="80"/>
      <c r="J86" s="226">
        <f t="shared" si="28"/>
        <v>0</v>
      </c>
      <c r="K86" s="226">
        <f t="shared" si="26"/>
        <v>0.91110875136160985</v>
      </c>
    </row>
    <row r="87" spans="1:16">
      <c r="B87" t="s">
        <v>158</v>
      </c>
      <c r="C87" s="85">
        <f>SUM(D87:H87)</f>
        <v>105482377.20269947</v>
      </c>
      <c r="D87" s="73">
        <f>SUMPRODUCT(D50:D54,D82:D86)/100</f>
        <v>79600854.207454219</v>
      </c>
      <c r="E87" s="73">
        <f>SUMPRODUCT(E50:E54,E82:E86)/100</f>
        <v>21317713.95325578</v>
      </c>
      <c r="F87" s="73">
        <f>SUMPRODUCT(F50:F54,F82:F86)/100</f>
        <v>0</v>
      </c>
      <c r="G87" s="73">
        <f>SUMPRODUCT(G50:G54,G82:G86)/100</f>
        <v>727934.48880353558</v>
      </c>
      <c r="H87" s="73">
        <f>SUMPRODUCT(H50:H54,H82:H86)/100</f>
        <v>3835874.5531859319</v>
      </c>
      <c r="K87" s="305"/>
      <c r="L87" s="237">
        <v>101</v>
      </c>
      <c r="M87" s="242" t="s">
        <v>299</v>
      </c>
      <c r="N87" s="237">
        <v>101</v>
      </c>
      <c r="O87" s="234">
        <v>111</v>
      </c>
      <c r="P87" s="227">
        <v>121</v>
      </c>
    </row>
    <row r="88" spans="1:16">
      <c r="B88" t="s">
        <v>137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302</v>
      </c>
      <c r="L88" s="238"/>
      <c r="M88" s="306">
        <v>200</v>
      </c>
      <c r="N88" s="238">
        <v>500</v>
      </c>
      <c r="O88" s="187"/>
      <c r="P88" s="229"/>
    </row>
    <row r="89" spans="1:16">
      <c r="B89" t="s">
        <v>138</v>
      </c>
      <c r="C89" s="85">
        <f ca="1">SUM(D89:H89)</f>
        <v>-232049.99</v>
      </c>
      <c r="D89" s="73">
        <f ca="1">'Pres &amp; Prop Rev'!D190</f>
        <v>-250414.82</v>
      </c>
      <c r="E89" s="73">
        <f ca="1">'Pres &amp; Prop Rev'!E190</f>
        <v>18364.830000000002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296</v>
      </c>
      <c r="L89" s="239">
        <f>D63</f>
        <v>15</v>
      </c>
      <c r="M89" s="231">
        <f>E63</f>
        <v>139.16999999999999</v>
      </c>
      <c r="N89" s="239">
        <f>D63</f>
        <v>15</v>
      </c>
      <c r="O89" s="230">
        <f>E63</f>
        <v>139.16999999999999</v>
      </c>
      <c r="P89" s="231">
        <f>F63</f>
        <v>0</v>
      </c>
    </row>
    <row r="90" spans="1:16">
      <c r="K90" s="228" t="s">
        <v>297</v>
      </c>
      <c r="L90" s="277">
        <f>D82/100</f>
        <v>0.51962587949139882</v>
      </c>
      <c r="M90" s="233"/>
      <c r="N90" s="240">
        <f>D82/100</f>
        <v>0.51962587949139882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139</v>
      </c>
      <c r="C91" s="73">
        <f ca="1">IF(ROUND(C60-C65-SUM(C87:C89),3)&lt;&gt;ROUND(SUM(D91:H91),3),#VALUE!,SUM(D91:H91))</f>
        <v>623.29619815596379</v>
      </c>
      <c r="D91" s="73">
        <f ca="1">D60-D65-SUM(D87:D89)</f>
        <v>553.98613810539246</v>
      </c>
      <c r="E91" s="73">
        <f ca="1">E60-E65-SUM(E87:E89)</f>
        <v>183.10945766791701</v>
      </c>
      <c r="F91" s="73">
        <f>F60-F65-SUM(F87:F89)</f>
        <v>0</v>
      </c>
      <c r="G91" s="73">
        <f ca="1">G60-G65-SUM(G87:G89)</f>
        <v>-113.79939761734568</v>
      </c>
      <c r="H91" s="73">
        <f ca="1">H60-H65-SUM(H87:H89)</f>
        <v>0</v>
      </c>
      <c r="K91" s="228" t="s">
        <v>297</v>
      </c>
      <c r="L91" s="277">
        <f>D83/100</f>
        <v>0.67533237980120164</v>
      </c>
      <c r="M91" s="229"/>
      <c r="N91" s="298">
        <f>L91</f>
        <v>0.67533237980120164</v>
      </c>
      <c r="O91" s="232">
        <f>'JDM-7 pg 3'!D20</f>
        <v>0.38764000000000004</v>
      </c>
      <c r="P91" s="229"/>
    </row>
    <row r="92" spans="1:16">
      <c r="B92" s="53" t="s">
        <v>162</v>
      </c>
      <c r="C92" s="96">
        <f t="shared" ref="C92:H92" ca="1" si="29">C91/C57*100</f>
        <v>2.6306219175992787E-4</v>
      </c>
      <c r="D92" s="96">
        <f t="shared" ca="1" si="29"/>
        <v>4.0702331653546338E-4</v>
      </c>
      <c r="E92" s="96">
        <f t="shared" ca="1" si="29"/>
        <v>2.7766671423609885E-4</v>
      </c>
      <c r="F92" s="96" t="e">
        <f t="shared" si="29"/>
        <v>#DIV/0!</v>
      </c>
      <c r="G92" s="96">
        <f t="shared" ca="1" si="29"/>
        <v>-4.2259576691978202E-3</v>
      </c>
      <c r="H92" s="96">
        <f t="shared" ca="1" si="29"/>
        <v>0</v>
      </c>
      <c r="K92" s="82" t="s">
        <v>298</v>
      </c>
      <c r="L92" s="241">
        <f>(70*L90)+(130*L91)+L89</f>
        <v>139.16702093855415</v>
      </c>
      <c r="M92" s="236">
        <f>(M88*M90)+M89</f>
        <v>139.16999999999999</v>
      </c>
      <c r="N92" s="241">
        <f>((70*N90)+(430*N91))+N89</f>
        <v>341.76673487891458</v>
      </c>
      <c r="O92" s="235">
        <f>O89+(200*O90)+((N88-200)*O91)</f>
        <v>255.46199999999999</v>
      </c>
      <c r="P92" s="236">
        <f>P89+(N88*P90)</f>
        <v>0</v>
      </c>
    </row>
    <row r="93" spans="1:16">
      <c r="B93" s="53" t="s">
        <v>140</v>
      </c>
      <c r="C93" s="73">
        <f ca="1">SUM(D93:H93)</f>
        <v>-280.60730053263251</v>
      </c>
      <c r="D93" s="73">
        <f ca="1">D60-'Pres &amp; Prop Rev'!D192-D91</f>
        <v>-201.54254578053951</v>
      </c>
      <c r="E93" s="73">
        <f ca="1">E60-'Pres &amp; Prop Rev'!E192-E91</f>
        <v>-78.636744219809771</v>
      </c>
      <c r="F93" s="73">
        <f ca="1">F60-'Pres &amp; Prop Rev'!F192-F91</f>
        <v>0</v>
      </c>
      <c r="G93" s="73">
        <f ca="1">G60-'Pres &amp; Prop Rev'!G192-G91</f>
        <v>-3.1611964643234387</v>
      </c>
      <c r="H93" s="73">
        <f ca="1">H60-'Pres &amp; Prop Rev'!H192-H91</f>
        <v>2.7331859320402145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349</v>
      </c>
      <c r="L94" s="354">
        <v>0</v>
      </c>
      <c r="M94" s="348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188</v>
      </c>
      <c r="C95" s="133">
        <f ca="1">SUM(D95:H95)</f>
        <v>142610278.20289764</v>
      </c>
      <c r="D95" s="34">
        <f ca="1">D60</f>
        <v>110510583.37359233</v>
      </c>
      <c r="E95" s="34">
        <f ca="1">E60</f>
        <v>27122811.322713446</v>
      </c>
      <c r="F95" s="34">
        <f>F60</f>
        <v>0</v>
      </c>
      <c r="G95" s="34">
        <f ca="1">G60</f>
        <v>727820.68940591824</v>
      </c>
      <c r="H95" s="34">
        <f ca="1">H60</f>
        <v>4249062.8171859318</v>
      </c>
      <c r="K95" s="187" t="s">
        <v>351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0">$N$88*O94</f>
        <v>0</v>
      </c>
      <c r="P95">
        <f t="shared" si="30"/>
        <v>0</v>
      </c>
    </row>
    <row r="96" spans="1:16">
      <c r="B96" s="95" t="s">
        <v>189</v>
      </c>
      <c r="C96" s="133">
        <f ca="1">'Pres &amp; Prop Rev'!C192-SUM('Pres &amp; Prop Rev'!I192:J192)</f>
        <v>142609935.514</v>
      </c>
      <c r="D96" s="34">
        <f ca="1">'Pres &amp; Prop Rev'!D192</f>
        <v>110510230.93000001</v>
      </c>
      <c r="E96" s="34">
        <f ca="1">'Pres &amp; Prop Rev'!E192</f>
        <v>27122706.849999998</v>
      </c>
      <c r="F96" s="202">
        <f ca="1">'Pres &amp; Prop Rev'!F192</f>
        <v>0</v>
      </c>
      <c r="G96" s="202">
        <f ca="1">'Pres &amp; Prop Rev'!G192</f>
        <v>727937.64999999991</v>
      </c>
      <c r="H96" s="202">
        <f ca="1">'Pres &amp; Prop Rev'!H192</f>
        <v>4249060.0839999998</v>
      </c>
      <c r="K96" t="s">
        <v>350</v>
      </c>
      <c r="M96">
        <f>L95-M95</f>
        <v>0</v>
      </c>
      <c r="P96">
        <f>N95-P95</f>
        <v>0</v>
      </c>
    </row>
    <row r="97" spans="2:16">
      <c r="B97" s="53"/>
      <c r="C97" s="158">
        <f ca="1">SUM(D97:H97)</f>
        <v>-342.68889762333129</v>
      </c>
      <c r="D97" s="158">
        <f ca="1">D96-D95</f>
        <v>-352.44359232485294</v>
      </c>
      <c r="E97" s="158">
        <f ca="1">E96-E95</f>
        <v>-104.47271344810724</v>
      </c>
      <c r="F97" s="158">
        <f ca="1">F96-F95</f>
        <v>0</v>
      </c>
      <c r="G97" s="158">
        <f ca="1">G96-G95</f>
        <v>116.96059408166911</v>
      </c>
      <c r="H97" s="158">
        <f ca="1">H96-H95</f>
        <v>-2.7331859320402145</v>
      </c>
    </row>
    <row r="98" spans="2:16" ht="13.5" thickBot="1">
      <c r="B98" s="50" t="s">
        <v>148</v>
      </c>
      <c r="C98" s="50"/>
      <c r="M98" s="322">
        <f>L92-M92-M96</f>
        <v>-2.979061445842035E-3</v>
      </c>
      <c r="P98" s="322">
        <f>N92-P92-P96</f>
        <v>341.76673487891458</v>
      </c>
    </row>
    <row r="99" spans="2:16" ht="13.5" thickTop="1">
      <c r="B99" s="35" t="s">
        <v>161</v>
      </c>
      <c r="C99" s="97">
        <f ca="1">SUM('Pres &amp; Prop Rev'!C155:C156)/SUM('Pres &amp; Prop Rev'!C106:C107)-1</f>
        <v>0.45883021906794297</v>
      </c>
      <c r="D99" s="97">
        <f ca="1">SUM('Pres &amp; Prop Rev'!D155:D156)/SUM('Pres &amp; Prop Rev'!D106:D107)-1</f>
        <v>0.57894736842105265</v>
      </c>
      <c r="E99" s="97">
        <f ca="1">SUM('Pres &amp; Prop Rev'!E155:E156)/SUM('Pres &amp; Prop Rev'!E106:E107)-1</f>
        <v>6.5783427783733917E-2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0.2023215119205759</v>
      </c>
    </row>
    <row r="100" spans="2:16">
      <c r="B100" s="35" t="s">
        <v>137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138</v>
      </c>
      <c r="C101" s="97">
        <f ca="1">'Pres &amp; Prop Rev'!C190/'Pres &amp; Prop Rev'!C142-1</f>
        <v>1.624730095566207E-2</v>
      </c>
      <c r="D101" s="97">
        <f ca="1">'Pres &amp; Prop Rev'!D190/'Pres &amp; Prop Rev'!D142-1</f>
        <v>2.5527320822640309E-2</v>
      </c>
      <c r="E101" s="97">
        <f ca="1">'Pres &amp; Prop Rev'!E190/'Pres &amp; Prop Rev'!E142-1</f>
        <v>0.15929044329303399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159</v>
      </c>
      <c r="C102" s="97">
        <f ca="1">SUM('Pres &amp; Prop Rev'!C157:C161)/SUM('Pres &amp; Prop Rev'!C108:C112)-1</f>
        <v>5.3708982867189281E-2</v>
      </c>
      <c r="D102" s="97">
        <f ca="1">SUM('Pres &amp; Prop Rev'!D157:D161)/SUM('Pres &amp; Prop Rev'!D108:D112)-1</f>
        <v>2.5525605345216418E-2</v>
      </c>
      <c r="E102" s="97">
        <f ca="1">SUM('Pres &amp; Prop Rev'!E157:E161)/SUM('Pres &amp; Prop Rev'!E108:E112)-1</f>
        <v>0.15929064776387247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0.13851129244221028</v>
      </c>
      <c r="H102" s="97">
        <f ca="1">SUM('Pres &amp; Prop Rev'!H157:H161)/SUM('Pres &amp; Prop Rev'!H108:H112)-1</f>
        <v>0.13147232127704567</v>
      </c>
    </row>
    <row r="103" spans="2:16">
      <c r="B103" s="134" t="s">
        <v>141</v>
      </c>
      <c r="C103" s="75">
        <f ca="1">'Pres &amp; Prop Rev'!C192/'Pres &amp; Prop Rev'!C193-1</f>
        <v>0.13618955096591323</v>
      </c>
      <c r="D103" s="75">
        <f ca="1">'Pres &amp; Prop Rev'!D192/'Pres &amp; Prop Rev'!D193-1</f>
        <v>0.13799034685430089</v>
      </c>
      <c r="E103" s="75">
        <f ca="1">'Pres &amp; Prop Rev'!E192/'Pres &amp; Prop Rev'!E193-1</f>
        <v>0.13798959280801104</v>
      </c>
      <c r="F103" s="75" t="e">
        <f ca="1">'Pres &amp; Prop Rev'!F192/'Pres &amp; Prop Rev'!F193-1</f>
        <v>#DIV/0!</v>
      </c>
      <c r="G103" s="75">
        <f ca="1">'Pres &amp; Prop Rev'!G192/'Pres &amp; Prop Rev'!G193-1</f>
        <v>0.13851129244221028</v>
      </c>
      <c r="H103" s="75">
        <f ca="1">'Pres &amp; Prop Rev'!H192/'Pres &amp; Prop Rev'!H193-1</f>
        <v>0.13799324416978109</v>
      </c>
    </row>
    <row r="105" spans="2:16">
      <c r="B105" t="s">
        <v>142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143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144</v>
      </c>
      <c r="D107" s="51" t="s">
        <v>145</v>
      </c>
      <c r="E107" s="51" t="s">
        <v>146</v>
      </c>
      <c r="F107" s="51" t="s">
        <v>144</v>
      </c>
      <c r="G107" s="51" t="s">
        <v>145</v>
      </c>
      <c r="H107" s="51" t="s">
        <v>146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15</v>
      </c>
      <c r="E108" s="97">
        <f t="shared" ref="E108:E122" si="31">D108/C108-1</f>
        <v>0.57894736842105265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139.16999999999999</v>
      </c>
      <c r="H108" s="97">
        <f t="shared" ref="H108:H122" si="32">G108/F108-1</f>
        <v>6.5783427783733917E-2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15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139.16999999999999</v>
      </c>
    </row>
    <row r="109" spans="2:16">
      <c r="B109" s="42">
        <v>65</v>
      </c>
      <c r="C109" s="73">
        <f t="shared" ref="C109:C122" si="33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4">J$108+MIN($B109,N$109)*J$109/100+MAX(0,MIN($B109-N$109,N$110-N$109))*J$110/100+MAX(0,MIN($B109-N$110,N$111-N$110))*J$111/100+MAX(0,MIN($B109-N$111,N$112-N$111))*J$112/100+MAX(0,C109-N$113)*J$113/100</f>
        <v>48.775950000000002</v>
      </c>
      <c r="E109" s="97">
        <f t="shared" si="31"/>
        <v>0.14943142252181896</v>
      </c>
      <c r="F109" s="73">
        <f t="shared" ref="F109:F122" si="35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6">L$108+MIN($B109,P$109)*L$109/100+MAX(0,MIN($B109-P$109,P$110-P$109))*L$110/100+MAX(0,MIN($B109-P$110,P$111-P$110))*L$111/100+MAX(0,MIN($B109-P$111,P$112-P$111))*L$112/100+MAX(0,F109-P$113)*L$113/100</f>
        <v>139.16999999999999</v>
      </c>
      <c r="H109" s="97">
        <f t="shared" si="32"/>
        <v>6.5783427783733917E-2</v>
      </c>
      <c r="I109">
        <f>INDEX(CHOOSE(Base1_Billing2,$D6:$H6,$D16:$H16),$I$106)</f>
        <v>50.668999999999997</v>
      </c>
      <c r="J109">
        <f>INDEX(CHOOSE(Base1_Billing2,$D28:$H28,$D38:$H38),$I$106)</f>
        <v>51.963000000000001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3"/>
        <v>1022.88</v>
      </c>
      <c r="D110" s="73">
        <f t="shared" si="34"/>
        <v>1054.26</v>
      </c>
      <c r="E110" s="97">
        <f t="shared" si="31"/>
        <v>3.0678085405912769E-2</v>
      </c>
      <c r="F110" s="73">
        <f t="shared" si="35"/>
        <v>736.16200000000003</v>
      </c>
      <c r="G110" s="73">
        <f t="shared" si="36"/>
        <v>841.21399999999994</v>
      </c>
      <c r="H110" s="97">
        <f t="shared" si="32"/>
        <v>0.14270228563821541</v>
      </c>
      <c r="I110">
        <f>INDEX(CHOOSE(Base1_Billing2,$D7:$H7,$D17:$H17),$I$106)</f>
        <v>65.852999999999994</v>
      </c>
      <c r="J110">
        <f>INDEX(CHOOSE(Base1_Billing2,$D29:$H29,$D39:$H39),$I$106)</f>
        <v>67.533000000000001</v>
      </c>
      <c r="K110">
        <f>INDEX(CHOOSE(Base1_Billing2,$D7:$H7,$D17:$H17),$J$106)</f>
        <v>38.764000000000003</v>
      </c>
      <c r="L110">
        <f>INDEX(CHOOSE(Base1_Billing2,$D29:$H29,$D39:$H39),$J$106)</f>
        <v>44.938000000000002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3"/>
        <v>1529.57</v>
      </c>
      <c r="D111" s="73">
        <f t="shared" si="34"/>
        <v>1573.89</v>
      </c>
      <c r="E111" s="97">
        <f t="shared" si="31"/>
        <v>2.8975463692410441E-2</v>
      </c>
      <c r="F111" s="73">
        <f t="shared" si="35"/>
        <v>1031.6320000000001</v>
      </c>
      <c r="G111" s="73">
        <f t="shared" si="36"/>
        <v>1183.7539999999999</v>
      </c>
      <c r="H111" s="97">
        <f t="shared" si="32"/>
        <v>0.1474576205468614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34.253999999999998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3"/>
        <v>2036.26</v>
      </c>
      <c r="D112" s="73">
        <f t="shared" si="34"/>
        <v>2093.52</v>
      </c>
      <c r="E112" s="97">
        <f t="shared" si="31"/>
        <v>2.8120181116360277E-2</v>
      </c>
      <c r="F112" s="73">
        <f t="shared" si="35"/>
        <v>1327.1019999999999</v>
      </c>
      <c r="G112" s="73">
        <f t="shared" si="36"/>
        <v>1526.2939999999999</v>
      </c>
      <c r="H112" s="97">
        <f t="shared" si="32"/>
        <v>0.15009547118458122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29.227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3"/>
        <v>2542.9499999999998</v>
      </c>
      <c r="D113" s="73">
        <f t="shared" si="34"/>
        <v>2613.15</v>
      </c>
      <c r="E113" s="97">
        <f t="shared" si="31"/>
        <v>2.7605733498496043E-2</v>
      </c>
      <c r="F113" s="73">
        <f t="shared" si="35"/>
        <v>1622.5720000000001</v>
      </c>
      <c r="G113" s="73">
        <f t="shared" si="36"/>
        <v>1868.8340000000001</v>
      </c>
      <c r="H113" s="97">
        <f t="shared" si="32"/>
        <v>0.15177261779446449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20.503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3"/>
        <v>3049.64</v>
      </c>
      <c r="D114" s="73">
        <f t="shared" si="34"/>
        <v>3132.78</v>
      </c>
      <c r="E114" s="97">
        <f t="shared" si="31"/>
        <v>2.7262234230925664E-2</v>
      </c>
      <c r="F114" s="73">
        <f t="shared" si="35"/>
        <v>1918.0419999999999</v>
      </c>
      <c r="G114" s="73">
        <f t="shared" si="36"/>
        <v>2211.3739999999998</v>
      </c>
      <c r="H114" s="97">
        <f t="shared" si="32"/>
        <v>0.1529330431763225</v>
      </c>
    </row>
    <row r="115" spans="2:16">
      <c r="B115" s="42">
        <v>7000</v>
      </c>
      <c r="C115" s="73">
        <f t="shared" si="33"/>
        <v>3556.33</v>
      </c>
      <c r="D115" s="73">
        <f t="shared" si="34"/>
        <v>3652.41</v>
      </c>
      <c r="E115" s="97">
        <f t="shared" si="31"/>
        <v>2.7016615443448799E-2</v>
      </c>
      <c r="F115" s="73">
        <f t="shared" si="35"/>
        <v>2213.5119999999997</v>
      </c>
      <c r="G115" s="73">
        <f t="shared" si="36"/>
        <v>2553.9139999999998</v>
      </c>
      <c r="H115" s="97">
        <f t="shared" si="32"/>
        <v>0.15378367047479302</v>
      </c>
    </row>
    <row r="116" spans="2:16">
      <c r="B116" s="42">
        <v>8000</v>
      </c>
      <c r="C116" s="73">
        <f t="shared" si="33"/>
        <v>4063.02</v>
      </c>
      <c r="D116" s="73">
        <f t="shared" si="34"/>
        <v>4172.04</v>
      </c>
      <c r="E116" s="97">
        <f t="shared" si="31"/>
        <v>2.6832257778696578E-2</v>
      </c>
      <c r="F116" s="73">
        <f t="shared" si="35"/>
        <v>2508.982</v>
      </c>
      <c r="G116" s="73">
        <f t="shared" si="36"/>
        <v>2896.4539999999997</v>
      </c>
      <c r="H116" s="97">
        <f t="shared" si="32"/>
        <v>0.15443394970549806</v>
      </c>
    </row>
    <row r="117" spans="2:16">
      <c r="B117" s="42">
        <v>9000</v>
      </c>
      <c r="C117" s="73">
        <f t="shared" si="33"/>
        <v>4569.71</v>
      </c>
      <c r="D117" s="73">
        <f t="shared" si="34"/>
        <v>4691.67</v>
      </c>
      <c r="E117" s="97">
        <f t="shared" si="31"/>
        <v>2.6688783314477327E-2</v>
      </c>
      <c r="F117" s="73">
        <f t="shared" si="35"/>
        <v>2804.4520000000002</v>
      </c>
      <c r="G117" s="73">
        <f t="shared" si="36"/>
        <v>3238.9940000000001</v>
      </c>
      <c r="H117" s="97">
        <f t="shared" si="32"/>
        <v>0.15494720537202977</v>
      </c>
    </row>
    <row r="118" spans="2:16">
      <c r="B118" s="42">
        <v>10000</v>
      </c>
      <c r="C118" s="73">
        <f t="shared" si="33"/>
        <v>5076.3999999999996</v>
      </c>
      <c r="D118" s="73">
        <f t="shared" si="34"/>
        <v>5211.3</v>
      </c>
      <c r="E118" s="97">
        <f t="shared" si="31"/>
        <v>2.6573950043337957E-2</v>
      </c>
      <c r="F118" s="73">
        <f t="shared" si="35"/>
        <v>3099.922</v>
      </c>
      <c r="G118" s="73">
        <f t="shared" si="36"/>
        <v>3581.5340000000001</v>
      </c>
      <c r="H118" s="97">
        <f t="shared" si="32"/>
        <v>0.15536261880137636</v>
      </c>
    </row>
    <row r="119" spans="2:16">
      <c r="B119" s="42">
        <v>11000</v>
      </c>
      <c r="C119" s="73">
        <f t="shared" si="33"/>
        <v>5583.09</v>
      </c>
      <c r="D119" s="73">
        <f t="shared" si="34"/>
        <v>5730.93</v>
      </c>
      <c r="E119" s="97">
        <f t="shared" si="31"/>
        <v>2.6479960022138371E-2</v>
      </c>
      <c r="F119" s="73">
        <f t="shared" si="35"/>
        <v>3395.3919999999998</v>
      </c>
      <c r="G119" s="73">
        <f t="shared" si="36"/>
        <v>3924.0740000000001</v>
      </c>
      <c r="H119" s="97">
        <f t="shared" si="32"/>
        <v>0.15570573294629897</v>
      </c>
    </row>
    <row r="120" spans="2:16">
      <c r="B120" s="42">
        <v>12000</v>
      </c>
      <c r="C120" s="73">
        <f t="shared" si="33"/>
        <v>6089.78</v>
      </c>
      <c r="D120" s="73">
        <f t="shared" si="34"/>
        <v>6250.56</v>
      </c>
      <c r="E120" s="97">
        <f t="shared" si="31"/>
        <v>2.6401610567212686E-2</v>
      </c>
      <c r="F120" s="73">
        <f t="shared" si="35"/>
        <v>3690.8620000000001</v>
      </c>
      <c r="G120" s="73">
        <f t="shared" si="36"/>
        <v>4266.6139999999996</v>
      </c>
      <c r="H120" s="97">
        <f t="shared" si="32"/>
        <v>0.15599391144941199</v>
      </c>
    </row>
    <row r="121" spans="2:16">
      <c r="B121" s="42">
        <v>13000</v>
      </c>
      <c r="C121" s="73">
        <f t="shared" si="33"/>
        <v>6596.47</v>
      </c>
      <c r="D121" s="73">
        <f t="shared" si="34"/>
        <v>6770.19</v>
      </c>
      <c r="E121" s="97">
        <f t="shared" si="31"/>
        <v>2.633529751518604E-2</v>
      </c>
      <c r="F121" s="73">
        <f t="shared" si="35"/>
        <v>3986.3319999999999</v>
      </c>
      <c r="G121" s="73">
        <f t="shared" si="36"/>
        <v>4609.1539999999995</v>
      </c>
      <c r="H121" s="97">
        <f t="shared" si="32"/>
        <v>0.15623936992704057</v>
      </c>
    </row>
    <row r="122" spans="2:16">
      <c r="B122" s="42">
        <v>14000</v>
      </c>
      <c r="C122" s="73">
        <f t="shared" si="33"/>
        <v>7103.16</v>
      </c>
      <c r="D122" s="73">
        <f t="shared" si="34"/>
        <v>7289.82</v>
      </c>
      <c r="E122" s="97">
        <f t="shared" si="31"/>
        <v>2.6278445086412194E-2</v>
      </c>
      <c r="F122" s="73">
        <f t="shared" si="35"/>
        <v>4281.8019999999997</v>
      </c>
      <c r="G122" s="73">
        <f t="shared" si="36"/>
        <v>4951.6940000000004</v>
      </c>
      <c r="H122" s="97">
        <f t="shared" si="32"/>
        <v>0.15645095219255833</v>
      </c>
    </row>
  </sheetData>
  <phoneticPr fontId="17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H39:H42 G39:G41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H17:H20 G17:G19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pageSetUpPr fitToPage="1"/>
  </sheetPr>
  <dimension ref="A1:Z64"/>
  <sheetViews>
    <sheetView showGridLines="0" view="pageBreakPreview" zoomScaleNormal="100" zoomScaleSheetLayoutView="100" workbookViewId="0">
      <selection activeCell="I17" sqref="I17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2" customWidth="1"/>
    <col min="8" max="9" width="12.85546875" style="192" customWidth="1"/>
    <col min="10" max="10" width="12.85546875" style="349" hidden="1" customWidth="1"/>
    <col min="11" max="11" width="12.85546875" style="192" hidden="1" customWidth="1"/>
    <col min="12" max="12" width="12.85546875" style="419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6" s="245" customFormat="1">
      <c r="A1" s="145" t="s">
        <v>96</v>
      </c>
      <c r="B1" s="243"/>
      <c r="C1" s="243"/>
      <c r="D1" s="244"/>
      <c r="E1" s="243"/>
      <c r="F1" s="243"/>
      <c r="G1" s="143"/>
      <c r="H1" s="243"/>
      <c r="I1" s="243"/>
      <c r="J1" s="243"/>
      <c r="K1" s="243"/>
      <c r="L1" s="533"/>
      <c r="M1" s="192"/>
      <c r="O1" s="607" t="s">
        <v>229</v>
      </c>
      <c r="P1" s="607"/>
    </row>
    <row r="2" spans="1:26" s="245" customFormat="1">
      <c r="A2" s="145" t="s">
        <v>284</v>
      </c>
      <c r="B2" s="243"/>
      <c r="C2" s="243"/>
      <c r="D2" s="244"/>
      <c r="E2" s="243"/>
      <c r="F2" s="243"/>
      <c r="G2" s="143"/>
      <c r="H2" s="243"/>
      <c r="I2" s="243"/>
      <c r="J2" s="243"/>
      <c r="K2" s="243"/>
      <c r="L2" s="533"/>
      <c r="M2" s="192"/>
      <c r="O2" s="607"/>
      <c r="P2" s="607"/>
    </row>
    <row r="3" spans="1:26" s="245" customFormat="1">
      <c r="A3" s="145" t="s">
        <v>230</v>
      </c>
      <c r="B3" s="243"/>
      <c r="C3" s="243"/>
      <c r="D3" s="244"/>
      <c r="E3" s="243"/>
      <c r="F3" s="243"/>
      <c r="G3" s="143"/>
      <c r="H3" s="243"/>
      <c r="I3" s="243"/>
      <c r="J3" s="243"/>
      <c r="K3" s="243"/>
      <c r="L3" s="533"/>
      <c r="M3" s="192"/>
      <c r="O3" s="607"/>
      <c r="P3" s="607"/>
    </row>
    <row r="4" spans="1:26" s="245" customFormat="1">
      <c r="A4" s="145" t="s">
        <v>522</v>
      </c>
      <c r="B4" s="243"/>
      <c r="C4" s="243"/>
      <c r="D4" s="244"/>
      <c r="E4" s="243"/>
      <c r="F4" s="243"/>
      <c r="G4" s="143"/>
      <c r="H4" s="243"/>
      <c r="I4" s="243"/>
      <c r="J4" s="243"/>
      <c r="K4" s="243"/>
      <c r="L4" s="533"/>
      <c r="M4" s="192"/>
    </row>
    <row r="5" spans="1:26" s="245" customFormat="1">
      <c r="A5" s="145" t="s">
        <v>213</v>
      </c>
      <c r="B5" s="243"/>
      <c r="C5" s="243"/>
      <c r="D5" s="244"/>
      <c r="E5" s="243"/>
      <c r="F5" s="243"/>
      <c r="G5" s="143"/>
      <c r="H5" s="243"/>
      <c r="I5" s="243"/>
      <c r="J5" s="243"/>
      <c r="K5" s="243"/>
      <c r="L5" s="533"/>
      <c r="M5" s="192"/>
    </row>
    <row r="6" spans="1:26" s="245" customFormat="1">
      <c r="A6" s="299"/>
      <c r="C6" s="192"/>
      <c r="D6" s="246"/>
      <c r="E6" s="146"/>
      <c r="F6" s="146"/>
      <c r="G6" s="140"/>
      <c r="J6" s="351"/>
      <c r="L6" s="407"/>
      <c r="M6" s="30"/>
    </row>
    <row r="7" spans="1:26" s="245" customFormat="1">
      <c r="C7" s="192"/>
      <c r="D7" s="246"/>
      <c r="E7" s="146"/>
      <c r="F7" s="146"/>
      <c r="G7" s="140"/>
      <c r="J7" s="351"/>
      <c r="L7" s="407"/>
      <c r="M7" s="30"/>
    </row>
    <row r="8" spans="1:26" s="245" customFormat="1">
      <c r="C8" s="247"/>
      <c r="D8" s="246" t="s">
        <v>166</v>
      </c>
      <c r="E8" s="248"/>
      <c r="F8" s="246" t="s">
        <v>166</v>
      </c>
      <c r="G8" s="147" t="s">
        <v>223</v>
      </c>
      <c r="H8" s="245" t="s">
        <v>231</v>
      </c>
      <c r="J8" s="351"/>
      <c r="L8" s="534" t="s">
        <v>232</v>
      </c>
      <c r="M8" s="350"/>
      <c r="P8" s="351"/>
      <c r="Q8" s="351"/>
      <c r="R8" s="351"/>
      <c r="S8" s="351"/>
      <c r="T8" s="351"/>
      <c r="U8" s="351"/>
      <c r="V8" s="351"/>
      <c r="W8" s="351"/>
    </row>
    <row r="9" spans="1:26" s="245" customFormat="1">
      <c r="C9" s="247"/>
      <c r="D9" s="351" t="s">
        <v>377</v>
      </c>
      <c r="E9" s="246" t="s">
        <v>514</v>
      </c>
      <c r="F9" s="351" t="s">
        <v>377</v>
      </c>
      <c r="G9" s="147" t="s">
        <v>224</v>
      </c>
      <c r="H9" s="245" t="s">
        <v>214</v>
      </c>
      <c r="I9" s="246" t="s">
        <v>514</v>
      </c>
      <c r="J9" s="246" t="s">
        <v>508</v>
      </c>
      <c r="K9" s="351" t="s">
        <v>499</v>
      </c>
      <c r="L9" s="534" t="s">
        <v>210</v>
      </c>
      <c r="M9" s="350" t="s">
        <v>493</v>
      </c>
      <c r="N9" s="245" t="s">
        <v>214</v>
      </c>
      <c r="P9" s="351"/>
      <c r="Q9" s="351"/>
      <c r="R9" s="351"/>
      <c r="S9" s="351"/>
      <c r="T9" s="351"/>
      <c r="U9" s="351"/>
      <c r="V9" s="351"/>
      <c r="W9" s="351" t="s">
        <v>465</v>
      </c>
    </row>
    <row r="10" spans="1:26" s="245" customFormat="1">
      <c r="A10" s="245" t="s">
        <v>190</v>
      </c>
      <c r="B10" s="245" t="s">
        <v>215</v>
      </c>
      <c r="C10" s="245" t="s">
        <v>192</v>
      </c>
      <c r="D10" s="246" t="s">
        <v>233</v>
      </c>
      <c r="E10" s="246" t="s">
        <v>234</v>
      </c>
      <c r="F10" s="246" t="s">
        <v>235</v>
      </c>
      <c r="G10" s="140" t="s">
        <v>217</v>
      </c>
      <c r="H10" s="245" t="s">
        <v>236</v>
      </c>
      <c r="I10" s="246" t="s">
        <v>234</v>
      </c>
      <c r="J10" s="246" t="s">
        <v>491</v>
      </c>
      <c r="K10" s="351" t="s">
        <v>500</v>
      </c>
      <c r="L10" s="534" t="s">
        <v>237</v>
      </c>
      <c r="M10" s="350" t="s">
        <v>496</v>
      </c>
      <c r="N10" s="245" t="s">
        <v>473</v>
      </c>
      <c r="P10" s="351"/>
      <c r="Q10" s="351" t="s">
        <v>204</v>
      </c>
      <c r="R10" s="351"/>
      <c r="S10" s="351" t="s">
        <v>466</v>
      </c>
      <c r="T10" s="351" t="s">
        <v>467</v>
      </c>
      <c r="U10" s="351" t="s">
        <v>467</v>
      </c>
      <c r="V10" s="351"/>
      <c r="W10" s="351" t="s">
        <v>468</v>
      </c>
    </row>
    <row r="11" spans="1:26" s="249" customFormat="1">
      <c r="A11" s="249" t="s">
        <v>191</v>
      </c>
      <c r="B11" s="249" t="s">
        <v>218</v>
      </c>
      <c r="C11" s="249" t="s">
        <v>219</v>
      </c>
      <c r="D11" s="250" t="s">
        <v>239</v>
      </c>
      <c r="E11" s="250" t="s">
        <v>210</v>
      </c>
      <c r="F11" s="250" t="s">
        <v>239</v>
      </c>
      <c r="G11" s="141" t="s">
        <v>210</v>
      </c>
      <c r="H11" s="249" t="s">
        <v>378</v>
      </c>
      <c r="I11" s="250" t="s">
        <v>210</v>
      </c>
      <c r="J11" s="250" t="s">
        <v>210</v>
      </c>
      <c r="K11" s="249" t="s">
        <v>501</v>
      </c>
      <c r="L11" s="535" t="s">
        <v>214</v>
      </c>
      <c r="M11" s="148" t="s">
        <v>358</v>
      </c>
      <c r="N11" s="249" t="s">
        <v>474</v>
      </c>
      <c r="P11" s="249" t="s">
        <v>469</v>
      </c>
      <c r="Q11" s="249" t="s">
        <v>470</v>
      </c>
      <c r="S11" s="249" t="s">
        <v>471</v>
      </c>
      <c r="T11" s="249" t="s">
        <v>472</v>
      </c>
      <c r="U11" s="249" t="s">
        <v>214</v>
      </c>
      <c r="W11" s="249" t="s">
        <v>467</v>
      </c>
    </row>
    <row r="12" spans="1:26" s="245" customFormat="1">
      <c r="B12" s="245" t="s">
        <v>193</v>
      </c>
      <c r="C12" s="245" t="s">
        <v>194</v>
      </c>
      <c r="D12" s="246" t="s">
        <v>195</v>
      </c>
      <c r="E12" s="245" t="s">
        <v>196</v>
      </c>
      <c r="F12" s="245" t="s">
        <v>197</v>
      </c>
      <c r="G12" s="140" t="s">
        <v>198</v>
      </c>
      <c r="H12" s="245" t="s">
        <v>211</v>
      </c>
      <c r="I12" s="245" t="s">
        <v>220</v>
      </c>
      <c r="J12" s="351"/>
      <c r="K12" s="245" t="s">
        <v>502</v>
      </c>
      <c r="L12" s="534" t="s">
        <v>266</v>
      </c>
      <c r="M12" s="357"/>
      <c r="P12" s="351"/>
      <c r="Q12" s="351"/>
      <c r="R12" s="351"/>
      <c r="S12" s="351"/>
      <c r="T12" s="351"/>
      <c r="U12" s="351"/>
      <c r="V12" s="351"/>
      <c r="W12" s="351"/>
    </row>
    <row r="13" spans="1:26" ht="6" customHeight="1">
      <c r="D13" s="251"/>
      <c r="L13" s="433"/>
      <c r="N13" s="192"/>
      <c r="P13" s="349"/>
      <c r="Q13" s="349"/>
      <c r="R13" s="349"/>
      <c r="S13" s="349"/>
      <c r="T13" s="349"/>
      <c r="U13" s="349"/>
      <c r="V13" s="349"/>
      <c r="W13" s="349"/>
    </row>
    <row r="14" spans="1:26" ht="24.95" customHeight="1">
      <c r="A14" s="245">
        <v>1</v>
      </c>
      <c r="B14" s="192" t="s">
        <v>199</v>
      </c>
      <c r="C14" s="253" t="s">
        <v>226</v>
      </c>
      <c r="D14" s="246">
        <f ca="1">'Pres &amp; Prop Rev'!$D$145/1000</f>
        <v>97109.989760000011</v>
      </c>
      <c r="E14" s="246">
        <f ca="1">'Pres &amp; Prop Rev'!$D$195/1000</f>
        <v>13400.241170000001</v>
      </c>
      <c r="F14" s="246">
        <f ca="1">'Pres &amp; Prop Rev'!$D$192/1000</f>
        <v>110510.23093000001</v>
      </c>
      <c r="G14" s="215">
        <f ca="1">E14/D14</f>
        <v>0.13799034685430081</v>
      </c>
      <c r="H14" s="532">
        <f>204183.65933-9606.154</f>
        <v>194577.50532999999</v>
      </c>
      <c r="I14" s="246">
        <f ca="1">E14</f>
        <v>13400.241170000001</v>
      </c>
      <c r="J14" s="246">
        <f>Open!F13/1000</f>
        <v>0</v>
      </c>
      <c r="K14" s="246">
        <v>0</v>
      </c>
      <c r="L14" s="536">
        <f ca="1">(I14+J14+K14)/H14</f>
        <v>6.8868398468124203E-2</v>
      </c>
      <c r="M14" s="75">
        <f ca="1">I14/H14</f>
        <v>6.8868398468124203E-2</v>
      </c>
      <c r="N14" s="324">
        <f ca="1">(D14*1000)/(P14/12)</f>
        <v>560.97651338801313</v>
      </c>
      <c r="O14" s="254"/>
      <c r="P14" s="386">
        <f>'Bill Determ'!C7</f>
        <v>2077306</v>
      </c>
      <c r="Q14" s="325">
        <f>'Bill Impact'!E15</f>
        <v>94.86</v>
      </c>
      <c r="R14" s="349"/>
      <c r="S14" s="386">
        <f>'Pres &amp; Prop Rev'!D23</f>
        <v>136106732.85768002</v>
      </c>
      <c r="T14" s="387">
        <v>0.40178999999999998</v>
      </c>
      <c r="U14" s="358">
        <f t="shared" ref="U14:U19" si="0">(S14*T14)/1000</f>
        <v>54686.324194887253</v>
      </c>
      <c r="V14" s="349"/>
      <c r="W14" s="252">
        <f ca="1">D14+U14</f>
        <v>151796.31395488727</v>
      </c>
      <c r="Y14" s="292">
        <f ca="1">I14/W14</f>
        <v>8.8277777113760836E-2</v>
      </c>
      <c r="Z14" s="192" t="s">
        <v>509</v>
      </c>
    </row>
    <row r="15" spans="1:26" ht="24.95" customHeight="1">
      <c r="A15" s="245">
        <v>2</v>
      </c>
      <c r="B15" s="192" t="s">
        <v>200</v>
      </c>
      <c r="C15" s="253" t="s">
        <v>458</v>
      </c>
      <c r="D15" s="246">
        <f ca="1">'Pres &amp; Prop Rev'!$E$145/1000</f>
        <v>23833.879520000002</v>
      </c>
      <c r="E15" s="246">
        <f ca="1">'Pres &amp; Prop Rev'!$E$195/1000</f>
        <v>3288.8273299999946</v>
      </c>
      <c r="F15" s="246">
        <f ca="1">'Pres &amp; Prop Rev'!$E$192/1000</f>
        <v>27122.706849999999</v>
      </c>
      <c r="G15" s="215">
        <f t="shared" ref="G15:G19" ca="1" si="1">E15/D15</f>
        <v>0.13798959280801107</v>
      </c>
      <c r="H15" s="345">
        <f>73864.958-126</f>
        <v>73738.957999999999</v>
      </c>
      <c r="I15" s="246">
        <f t="shared" ref="I15:I19" ca="1" si="2">E15</f>
        <v>3288.8273299999946</v>
      </c>
      <c r="J15" s="246">
        <f>Open!F14/1000</f>
        <v>0</v>
      </c>
      <c r="K15" s="246">
        <v>0</v>
      </c>
      <c r="L15" s="536">
        <f t="shared" ref="L15:L19" ca="1" si="3">(I15+J15+K15)/H15</f>
        <v>4.4600946625798464E-2</v>
      </c>
      <c r="M15" s="75">
        <f t="shared" ref="M15:M20" ca="1" si="4">I15/H15</f>
        <v>4.4600946625798464E-2</v>
      </c>
      <c r="N15" s="358">
        <f ca="1">((D15+D16+D17)*1000)/((P15+P16+P17)/12)</f>
        <v>7055.0430067023817</v>
      </c>
      <c r="O15" s="254"/>
      <c r="P15" s="386">
        <f>'Bill Determ'!H17</f>
        <v>41579</v>
      </c>
      <c r="Q15" s="325">
        <f>(H15*1000)/P15</f>
        <v>1773.4663652324491</v>
      </c>
      <c r="R15" s="349"/>
      <c r="S15" s="386">
        <f>'Pres &amp; Prop Rev'!E23</f>
        <v>65945771.77595</v>
      </c>
      <c r="T15" s="387">
        <v>0.39200000000000002</v>
      </c>
      <c r="U15" s="358">
        <f t="shared" si="0"/>
        <v>25850.742536172402</v>
      </c>
      <c r="V15" s="349"/>
      <c r="W15" s="252">
        <f t="shared" ref="W15:W20" ca="1" si="5">D15+U15</f>
        <v>49684.622056172404</v>
      </c>
    </row>
    <row r="16" spans="1:26" ht="31.5" hidden="1" customHeight="1">
      <c r="A16" s="245">
        <v>3</v>
      </c>
      <c r="B16" s="255" t="s">
        <v>477</v>
      </c>
      <c r="C16" s="253" t="s">
        <v>459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345">
        <v>0</v>
      </c>
      <c r="I16" s="246">
        <f t="shared" si="2"/>
        <v>0</v>
      </c>
      <c r="J16" s="246"/>
      <c r="K16" s="246">
        <f t="shared" ref="K16" si="6">-I16-J16</f>
        <v>0</v>
      </c>
      <c r="L16" s="536" t="e">
        <f t="shared" si="3"/>
        <v>#DIV/0!</v>
      </c>
      <c r="M16" s="75" t="e">
        <f t="shared" si="4"/>
        <v>#DIV/0!</v>
      </c>
      <c r="N16" s="358"/>
      <c r="O16" s="254"/>
      <c r="P16" s="386">
        <f>'Bill Determ'!H31</f>
        <v>0</v>
      </c>
      <c r="Q16" s="325" t="e">
        <f>(H16*1000)/P16</f>
        <v>#DIV/0!</v>
      </c>
      <c r="R16" s="349"/>
      <c r="S16" s="386">
        <f>'Pres &amp; Prop Rev'!F23</f>
        <v>0</v>
      </c>
      <c r="T16" s="387">
        <v>0.27573999999999999</v>
      </c>
      <c r="U16" s="358">
        <f t="shared" si="0"/>
        <v>0</v>
      </c>
      <c r="V16" s="349"/>
      <c r="W16" s="252">
        <f t="shared" si="5"/>
        <v>0</v>
      </c>
    </row>
    <row r="17" spans="1:23" ht="24.95" customHeight="1">
      <c r="A17" s="351">
        <v>3</v>
      </c>
      <c r="B17" s="192" t="s">
        <v>221</v>
      </c>
      <c r="C17" s="245" t="s">
        <v>301</v>
      </c>
      <c r="D17" s="246">
        <f ca="1">'Pres &amp; Prop Rev'!$G$145/1000+0.1</f>
        <v>639.47675000000004</v>
      </c>
      <c r="E17" s="246">
        <f ca="1">'Pres &amp; Prop Rev'!$G$195/1000</f>
        <v>88.560899999999904</v>
      </c>
      <c r="F17" s="246">
        <f ca="1">'Pres &amp; Prop Rev'!$G$192/1000</f>
        <v>727.93764999999996</v>
      </c>
      <c r="G17" s="215">
        <f ca="1">E17/D17</f>
        <v>0.13848963234394354</v>
      </c>
      <c r="H17" s="345">
        <v>1707.0983199999998</v>
      </c>
      <c r="I17" s="246">
        <f ca="1">E17</f>
        <v>88.560899999999904</v>
      </c>
      <c r="J17" s="246">
        <f>Open!F15/1000</f>
        <v>0</v>
      </c>
      <c r="K17" s="246">
        <v>0</v>
      </c>
      <c r="L17" s="536">
        <f t="shared" ca="1" si="3"/>
        <v>5.1878031254813675E-2</v>
      </c>
      <c r="M17" s="75">
        <f t="shared" ca="1" si="4"/>
        <v>5.1878031254813675E-2</v>
      </c>
      <c r="N17" s="358"/>
      <c r="O17" s="254"/>
      <c r="P17" s="386">
        <f>'Bill Determ'!G38</f>
        <v>48</v>
      </c>
      <c r="Q17" s="325">
        <f>(H17*1000)/P17</f>
        <v>35564.548333333332</v>
      </c>
      <c r="R17" s="349"/>
      <c r="S17" s="386">
        <f>'Pres &amp; Prop Rev'!G23</f>
        <v>2692866.4820002159</v>
      </c>
      <c r="T17" s="387">
        <v>0.35948999999999998</v>
      </c>
      <c r="U17" s="358">
        <f t="shared" si="0"/>
        <v>968.05857161425752</v>
      </c>
      <c r="V17" s="349"/>
      <c r="W17" s="252">
        <f t="shared" ca="1" si="5"/>
        <v>1607.5353216142576</v>
      </c>
    </row>
    <row r="18" spans="1:23" ht="24.95" customHeight="1">
      <c r="A18" s="351">
        <v>4</v>
      </c>
      <c r="B18" s="192" t="s">
        <v>201</v>
      </c>
      <c r="C18" s="253" t="s">
        <v>228</v>
      </c>
      <c r="D18" s="246">
        <f ca="1">'Pres &amp; Prop Rev'!$H$145/1000</f>
        <v>3733.8183734999993</v>
      </c>
      <c r="E18" s="246">
        <f ca="1">'Pres &amp; Prop Rev'!$H$195/1000</f>
        <v>515.24171050000052</v>
      </c>
      <c r="F18" s="246">
        <f ca="1">'Pres &amp; Prop Rev'!$H$192/1000</f>
        <v>4249.0600839999997</v>
      </c>
      <c r="G18" s="215">
        <f ca="1">E18/D18</f>
        <v>0.13799324416978115</v>
      </c>
      <c r="H18" s="345">
        <v>3604.4011135000001</v>
      </c>
      <c r="I18" s="246">
        <f t="shared" ca="1" si="2"/>
        <v>515.24171050000052</v>
      </c>
      <c r="J18" s="246">
        <f>Open!F16/1000</f>
        <v>0</v>
      </c>
      <c r="K18" s="246">
        <v>0</v>
      </c>
      <c r="L18" s="536">
        <f t="shared" ca="1" si="3"/>
        <v>0.1429479389988543</v>
      </c>
      <c r="M18" s="75">
        <f t="shared" ca="1" si="4"/>
        <v>0.1429479389988543</v>
      </c>
      <c r="N18" s="324"/>
      <c r="O18" s="254"/>
      <c r="P18" s="386">
        <f>'Bill Determ'!H42</f>
        <v>420</v>
      </c>
      <c r="Q18" s="325">
        <f>(H18*1000)/P18</f>
        <v>8581.9074130952376</v>
      </c>
      <c r="R18" s="349"/>
      <c r="S18" s="386">
        <f>'Pres &amp; Prop Rev'!H23</f>
        <v>32193352</v>
      </c>
      <c r="T18" s="387">
        <v>5.5999999999999995E-4</v>
      </c>
      <c r="U18" s="358">
        <f t="shared" si="0"/>
        <v>18.028277119999998</v>
      </c>
      <c r="V18" s="349"/>
      <c r="W18" s="252">
        <f t="shared" ca="1" si="5"/>
        <v>3751.8466506199993</v>
      </c>
    </row>
    <row r="19" spans="1:23" ht="24.95" customHeight="1">
      <c r="A19" s="351">
        <v>5</v>
      </c>
      <c r="B19" s="192" t="s">
        <v>222</v>
      </c>
      <c r="C19" s="253" t="s">
        <v>238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379">
        <v>1659.4252599999998</v>
      </c>
      <c r="I19" s="217">
        <f t="shared" si="2"/>
        <v>0</v>
      </c>
      <c r="J19" s="217">
        <v>0</v>
      </c>
      <c r="K19" s="217">
        <v>0</v>
      </c>
      <c r="L19" s="536">
        <f t="shared" si="3"/>
        <v>0</v>
      </c>
      <c r="M19" s="75">
        <f t="shared" si="4"/>
        <v>0</v>
      </c>
      <c r="N19" s="324"/>
      <c r="O19" s="254"/>
      <c r="P19" s="359"/>
      <c r="Q19" s="349"/>
      <c r="R19" s="349"/>
      <c r="S19" s="386">
        <f>'Pres &amp; Prop Rev'!I23+'Pres &amp; Prop Rev'!J23</f>
        <v>53933012</v>
      </c>
      <c r="T19" s="387">
        <v>0</v>
      </c>
      <c r="U19" s="358">
        <f t="shared" si="0"/>
        <v>0</v>
      </c>
      <c r="V19" s="349"/>
      <c r="W19" s="252">
        <f t="shared" si="5"/>
        <v>1659.4252599999998</v>
      </c>
    </row>
    <row r="20" spans="1:23" ht="24.95" customHeight="1">
      <c r="A20" s="351">
        <v>6</v>
      </c>
      <c r="B20" s="256" t="s">
        <v>58</v>
      </c>
      <c r="D20" s="246">
        <f ca="1">'Pres &amp; Prop Rev'!$C$145/1000</f>
        <v>126976.4896635</v>
      </c>
      <c r="E20" s="246">
        <f ca="1">'Pres &amp; Prop Rev'!$C$195/1000</f>
        <v>17292.871110499997</v>
      </c>
      <c r="F20" s="246">
        <f ca="1">'Pres &amp; Prop Rev'!$C$192/1000</f>
        <v>144269.360774</v>
      </c>
      <c r="G20" s="215">
        <f ca="1">E20/D20</f>
        <v>0.13618955096591329</v>
      </c>
      <c r="H20" s="345">
        <f>SUM(H14:H19)+0.4</f>
        <v>275287.7880235</v>
      </c>
      <c r="I20" s="246">
        <f ca="1">SUM(I14:I19)</f>
        <v>17292.871110499997</v>
      </c>
      <c r="J20" s="246">
        <f>SUM(J14:J19)</f>
        <v>0</v>
      </c>
      <c r="K20" s="246">
        <f>SUM(K14:K19)</f>
        <v>0</v>
      </c>
      <c r="L20" s="536">
        <f ca="1">(I20+J20+K20)/H20</f>
        <v>6.2817429115394632E-2</v>
      </c>
      <c r="M20" s="75">
        <f t="shared" ca="1" si="4"/>
        <v>6.2817429115394632E-2</v>
      </c>
      <c r="N20" s="324"/>
      <c r="O20" s="254"/>
      <c r="P20" s="359"/>
      <c r="Q20" s="349"/>
      <c r="R20" s="349"/>
      <c r="S20" s="386">
        <f>SUM(S14:S19)</f>
        <v>290871735.11563027</v>
      </c>
      <c r="T20" s="388"/>
      <c r="U20" s="389">
        <f>SUM(U14:U19)</f>
        <v>81523.153579793914</v>
      </c>
      <c r="V20" s="349"/>
      <c r="W20" s="252">
        <f t="shared" ca="1" si="5"/>
        <v>208499.64324329392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>
        <f>ROUND(K20-SUM(K14:K19),-1)</f>
        <v>0</v>
      </c>
      <c r="L21" s="537"/>
      <c r="M21" s="29"/>
      <c r="N21" s="192"/>
      <c r="P21" s="349"/>
      <c r="Q21" s="349"/>
      <c r="R21" s="349"/>
      <c r="S21" s="349"/>
      <c r="T21" s="349"/>
      <c r="U21" s="349"/>
      <c r="V21" s="349"/>
      <c r="W21" s="349"/>
    </row>
    <row r="22" spans="1:23">
      <c r="A22" s="406" t="s">
        <v>630</v>
      </c>
      <c r="B22" s="406"/>
      <c r="C22" s="407"/>
      <c r="D22" s="408"/>
      <c r="E22" s="408"/>
      <c r="F22" s="409"/>
      <c r="G22" s="410"/>
      <c r="H22" s="406"/>
      <c r="I22" s="406"/>
      <c r="J22" s="406"/>
      <c r="K22" s="406"/>
      <c r="L22" s="406"/>
      <c r="M22" s="29"/>
      <c r="N22" s="192"/>
      <c r="P22" s="349"/>
      <c r="Q22" s="349"/>
      <c r="R22" s="349"/>
      <c r="S22" s="349"/>
      <c r="T22" s="349"/>
      <c r="U22" s="349"/>
      <c r="V22" s="349"/>
      <c r="W22" s="349"/>
    </row>
    <row r="23" spans="1:23">
      <c r="A23" s="411" t="s">
        <v>631</v>
      </c>
      <c r="B23" s="406"/>
      <c r="C23" s="407"/>
      <c r="D23" s="408"/>
      <c r="E23" s="408"/>
      <c r="F23" s="412"/>
      <c r="G23" s="413"/>
      <c r="H23" s="406"/>
      <c r="I23" s="406"/>
      <c r="J23" s="406"/>
      <c r="K23" s="406"/>
      <c r="L23" s="406"/>
      <c r="M23" s="29"/>
      <c r="N23" s="192"/>
      <c r="P23" s="349"/>
      <c r="Q23" s="349"/>
      <c r="R23" s="349"/>
      <c r="S23" s="349"/>
      <c r="T23" s="349"/>
      <c r="U23" s="349"/>
      <c r="V23" s="349"/>
      <c r="W23" s="349"/>
    </row>
    <row r="24" spans="1:23" s="349" customFormat="1">
      <c r="A24" s="352"/>
      <c r="C24" s="351"/>
      <c r="D24" s="269"/>
      <c r="E24" s="269"/>
      <c r="F24" s="252"/>
      <c r="G24" s="142"/>
      <c r="L24" s="419"/>
      <c r="M24" s="29"/>
    </row>
    <row r="25" spans="1:23" s="349" customFormat="1">
      <c r="A25" s="352"/>
      <c r="C25" s="351"/>
      <c r="D25" s="404" t="s">
        <v>510</v>
      </c>
      <c r="E25" s="252"/>
      <c r="F25" s="252"/>
      <c r="G25" s="142"/>
      <c r="L25" s="419"/>
      <c r="M25" s="29"/>
    </row>
    <row r="26" spans="1:23" s="349" customFormat="1">
      <c r="A26" s="352"/>
      <c r="C26" s="351"/>
      <c r="D26" s="252" t="s">
        <v>465</v>
      </c>
      <c r="E26" s="252">
        <f ca="1">D14</f>
        <v>97109.989760000011</v>
      </c>
      <c r="F26" s="252"/>
      <c r="G26" s="142"/>
      <c r="L26" s="419"/>
      <c r="M26" s="29"/>
    </row>
    <row r="27" spans="1:23" ht="15">
      <c r="D27" s="252" t="s">
        <v>511</v>
      </c>
      <c r="E27" s="400">
        <f>U14</f>
        <v>54686.324194887253</v>
      </c>
      <c r="M27" s="29"/>
      <c r="N27" s="192"/>
      <c r="P27" s="349"/>
      <c r="Q27" s="349"/>
      <c r="R27" s="349"/>
      <c r="S27" s="349"/>
      <c r="T27" s="349"/>
      <c r="U27" s="349"/>
      <c r="V27" s="349"/>
      <c r="W27" s="349"/>
    </row>
    <row r="28" spans="1:23" s="349" customFormat="1">
      <c r="A28" s="351"/>
      <c r="C28" s="351"/>
      <c r="D28" s="252" t="s">
        <v>512</v>
      </c>
      <c r="E28" s="252">
        <f ca="1">SUM(E26:E27)</f>
        <v>151796.31395488727</v>
      </c>
      <c r="F28" s="252"/>
      <c r="G28" s="142"/>
      <c r="L28" s="419"/>
      <c r="M28" s="29"/>
    </row>
    <row r="29" spans="1:23" s="349" customFormat="1">
      <c r="A29" s="351"/>
      <c r="C29" s="351"/>
      <c r="D29" s="252"/>
      <c r="E29" s="252"/>
      <c r="F29" s="252"/>
      <c r="G29" s="142"/>
      <c r="L29" s="419"/>
      <c r="M29" s="29"/>
    </row>
    <row r="30" spans="1:23" s="349" customFormat="1">
      <c r="A30" s="351"/>
      <c r="C30" s="351"/>
      <c r="D30" s="252" t="s">
        <v>513</v>
      </c>
      <c r="E30" s="252">
        <f ca="1">I14</f>
        <v>13400.241170000001</v>
      </c>
      <c r="F30" s="252"/>
      <c r="G30" s="142"/>
      <c r="L30" s="419"/>
      <c r="M30" s="29"/>
    </row>
    <row r="31" spans="1:23" s="349" customFormat="1">
      <c r="A31" s="351"/>
      <c r="C31" s="351"/>
      <c r="D31" s="251" t="s">
        <v>515</v>
      </c>
      <c r="E31" s="292">
        <f ca="1">E30/E28</f>
        <v>8.8277777113760836E-2</v>
      </c>
      <c r="F31" s="252"/>
      <c r="G31" s="142"/>
      <c r="L31" s="419"/>
      <c r="M31" s="29"/>
    </row>
    <row r="32" spans="1:23">
      <c r="A32" s="608"/>
      <c r="B32" s="608"/>
      <c r="C32" s="608"/>
      <c r="D32" s="608"/>
      <c r="E32" s="608"/>
      <c r="F32" s="608"/>
      <c r="G32" s="608"/>
      <c r="H32" s="608"/>
      <c r="M32" s="29"/>
      <c r="N32" s="192"/>
      <c r="P32" s="349"/>
      <c r="Q32" s="349"/>
      <c r="R32" s="349"/>
      <c r="S32" s="349"/>
      <c r="T32" s="349"/>
      <c r="U32" s="349"/>
      <c r="V32" s="349"/>
      <c r="W32" s="349"/>
    </row>
    <row r="33" spans="1:23">
      <c r="A33" s="608"/>
      <c r="B33" s="608"/>
      <c r="C33" s="608"/>
      <c r="D33" s="608"/>
      <c r="E33" s="608"/>
      <c r="F33" s="608"/>
      <c r="G33" s="608"/>
      <c r="H33" s="608"/>
      <c r="M33" s="29"/>
      <c r="N33" s="192"/>
      <c r="P33" s="349"/>
      <c r="Q33" s="349"/>
      <c r="R33" s="349"/>
      <c r="S33" s="349"/>
      <c r="T33" s="349"/>
      <c r="U33" s="349"/>
      <c r="V33" s="349"/>
      <c r="W33" s="349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17293</v>
      </c>
      <c r="F35" s="252">
        <f t="array" aca="1" ref="F35" ca="1">SUM(ROUND(F14:F19,0))</f>
        <v>144269</v>
      </c>
      <c r="H35" s="258">
        <f t="array" ref="H35">SUM(ROUND(H14:H19,0))</f>
        <v>275287</v>
      </c>
      <c r="L35" s="436" t="e">
        <f t="array" aca="1" ref="L35" ca="1">SUM(ROUND(L14:L19,0))</f>
        <v>#DIV/0!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1</v>
      </c>
      <c r="L36" s="437" t="e">
        <f ca="1">ROUND(L20,0)-L35</f>
        <v>#DIV/0!</v>
      </c>
      <c r="M36" s="29"/>
      <c r="N36" s="192"/>
    </row>
    <row r="37" spans="1:23">
      <c r="D37" s="269"/>
      <c r="M37" s="29"/>
      <c r="N37" s="192"/>
    </row>
    <row r="38" spans="1:23" s="349" customFormat="1">
      <c r="A38" s="351"/>
      <c r="C38" s="351"/>
      <c r="D38" s="269"/>
      <c r="E38" s="252"/>
      <c r="F38" s="252"/>
      <c r="G38" s="142"/>
      <c r="K38" s="349" t="s">
        <v>379</v>
      </c>
      <c r="L38" s="419" t="s">
        <v>380</v>
      </c>
      <c r="M38" s="29"/>
    </row>
    <row r="39" spans="1:23" s="349" customFormat="1">
      <c r="A39" s="351"/>
      <c r="C39" s="351"/>
      <c r="D39" s="269"/>
      <c r="E39" s="252"/>
      <c r="F39" s="252"/>
      <c r="G39" s="225" t="s">
        <v>292</v>
      </c>
      <c r="H39" s="349" t="s">
        <v>293</v>
      </c>
      <c r="K39" s="349" t="s">
        <v>294</v>
      </c>
      <c r="L39" s="419" t="s">
        <v>294</v>
      </c>
      <c r="M39" s="349" t="s">
        <v>295</v>
      </c>
      <c r="N39" s="29"/>
    </row>
    <row r="40" spans="1:23" s="349" customFormat="1">
      <c r="A40" s="351"/>
      <c r="C40" s="351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0.2868</v>
      </c>
      <c r="L40" s="419">
        <v>0</v>
      </c>
      <c r="M40" s="358">
        <f>(H40*(L40-K40)/1000)</f>
        <v>-126.1363060212</v>
      </c>
      <c r="N40" s="29"/>
    </row>
    <row r="41" spans="1:23" s="349" customFormat="1">
      <c r="A41" s="351"/>
      <c r="C41" s="351"/>
      <c r="D41" s="269"/>
      <c r="E41" s="252"/>
      <c r="F41" s="252"/>
      <c r="G41" s="224">
        <v>116</v>
      </c>
      <c r="H41" s="254">
        <v>0</v>
      </c>
      <c r="K41" s="196">
        <v>0.2868</v>
      </c>
      <c r="L41" s="419">
        <v>0</v>
      </c>
      <c r="M41" s="358">
        <f>(H41*(L41-K41)/1000)</f>
        <v>0</v>
      </c>
      <c r="N41" s="29" t="s">
        <v>463</v>
      </c>
    </row>
    <row r="42" spans="1:23" s="349" customFormat="1">
      <c r="A42" s="351"/>
      <c r="C42" s="351"/>
      <c r="D42" s="269"/>
      <c r="E42" s="252"/>
      <c r="F42" s="252"/>
      <c r="G42" s="224">
        <v>122</v>
      </c>
      <c r="H42" s="254">
        <v>0</v>
      </c>
      <c r="K42" s="196">
        <v>0</v>
      </c>
      <c r="L42" s="419">
        <v>0</v>
      </c>
      <c r="M42" s="358">
        <f>(H42*(L42-K42)/1000)</f>
        <v>0</v>
      </c>
      <c r="N42" s="29"/>
    </row>
    <row r="43" spans="1:23" s="349" customFormat="1">
      <c r="A43" s="351"/>
      <c r="C43" s="351"/>
      <c r="D43" s="269"/>
      <c r="E43" s="252"/>
      <c r="F43" s="252"/>
      <c r="G43" s="224">
        <v>126</v>
      </c>
      <c r="H43" s="254">
        <v>0</v>
      </c>
      <c r="K43" s="196">
        <v>0</v>
      </c>
      <c r="L43" s="419">
        <v>0</v>
      </c>
      <c r="M43" s="358">
        <f>(H43*(L43-K43)/1000)</f>
        <v>0</v>
      </c>
      <c r="N43" s="29" t="s">
        <v>464</v>
      </c>
    </row>
    <row r="44" spans="1:23">
      <c r="D44" s="269"/>
      <c r="E44" s="269"/>
      <c r="K44" s="349" t="s">
        <v>379</v>
      </c>
      <c r="L44" s="419" t="s">
        <v>380</v>
      </c>
      <c r="M44" s="29"/>
      <c r="N44" s="192"/>
    </row>
    <row r="45" spans="1:23">
      <c r="D45" s="269"/>
      <c r="E45" s="269"/>
      <c r="G45" s="225" t="s">
        <v>292</v>
      </c>
      <c r="H45" s="192" t="s">
        <v>293</v>
      </c>
      <c r="K45" s="192" t="s">
        <v>462</v>
      </c>
      <c r="L45" s="419" t="s">
        <v>462</v>
      </c>
      <c r="M45" s="192" t="s">
        <v>295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419">
        <v>0</v>
      </c>
      <c r="M46" s="324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419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292</v>
      </c>
      <c r="H50" s="349" t="s">
        <v>293</v>
      </c>
      <c r="I50" s="349"/>
      <c r="K50" s="349" t="s">
        <v>437</v>
      </c>
      <c r="L50" s="419" t="s">
        <v>294</v>
      </c>
      <c r="M50" s="349" t="s">
        <v>295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49"/>
      <c r="K51" s="349">
        <v>0</v>
      </c>
      <c r="M51" s="358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F23" sqref="F23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7" width="11.7109375" style="29" customWidth="1"/>
    <col min="8" max="8" width="11.7109375" style="29" hidden="1" customWidth="1"/>
    <col min="9" max="9" width="13.28515625" style="29" hidden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49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96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202</v>
      </c>
    </row>
    <row r="2" spans="1:31">
      <c r="A2" s="36" t="s">
        <v>284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203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300" t="s">
        <v>640</v>
      </c>
      <c r="B6" s="260"/>
      <c r="C6" s="260"/>
    </row>
    <row r="7" spans="1:31" ht="18">
      <c r="A7" s="300"/>
      <c r="B7" s="260"/>
      <c r="C7" s="260"/>
      <c r="H7" s="350" t="s">
        <v>516</v>
      </c>
      <c r="I7" s="350" t="s">
        <v>517</v>
      </c>
      <c r="K7" s="357" t="s">
        <v>216</v>
      </c>
    </row>
    <row r="8" spans="1:31">
      <c r="A8" s="260"/>
      <c r="B8" s="260"/>
      <c r="C8" s="260"/>
      <c r="D8" s="144" t="s">
        <v>355</v>
      </c>
      <c r="E8" s="30" t="s">
        <v>204</v>
      </c>
      <c r="F8" s="30"/>
      <c r="G8" s="30" t="s">
        <v>205</v>
      </c>
      <c r="H8" s="350" t="s">
        <v>505</v>
      </c>
      <c r="I8" s="350" t="s">
        <v>498</v>
      </c>
      <c r="J8" s="30" t="s">
        <v>206</v>
      </c>
      <c r="K8" s="357" t="s">
        <v>376</v>
      </c>
    </row>
    <row r="9" spans="1:31">
      <c r="A9" s="260"/>
      <c r="B9" s="260"/>
      <c r="C9" s="260"/>
      <c r="D9" s="144" t="s">
        <v>381</v>
      </c>
      <c r="E9" s="30" t="s">
        <v>291</v>
      </c>
      <c r="F9" s="30" t="s">
        <v>207</v>
      </c>
      <c r="G9" s="30" t="s">
        <v>208</v>
      </c>
      <c r="H9" s="350" t="s">
        <v>290</v>
      </c>
      <c r="I9" s="350" t="s">
        <v>474</v>
      </c>
      <c r="J9" s="30" t="s">
        <v>209</v>
      </c>
      <c r="K9" s="357" t="s">
        <v>381</v>
      </c>
      <c r="O9" s="336" t="s">
        <v>358</v>
      </c>
      <c r="P9" s="336"/>
    </row>
    <row r="10" spans="1:31">
      <c r="A10" s="609" t="s">
        <v>285</v>
      </c>
      <c r="B10" s="609"/>
      <c r="C10" s="609"/>
      <c r="D10" s="222" t="s">
        <v>290</v>
      </c>
      <c r="E10" s="38" t="s">
        <v>382</v>
      </c>
      <c r="F10" s="38" t="s">
        <v>383</v>
      </c>
      <c r="G10" s="38" t="s">
        <v>210</v>
      </c>
      <c r="H10" s="38" t="s">
        <v>210</v>
      </c>
      <c r="I10" s="38" t="s">
        <v>489</v>
      </c>
      <c r="J10" s="38" t="s">
        <v>249</v>
      </c>
      <c r="K10" s="546" t="s">
        <v>290</v>
      </c>
      <c r="M10" s="337" t="s">
        <v>223</v>
      </c>
      <c r="N10" s="337" t="s">
        <v>359</v>
      </c>
      <c r="O10" s="338" t="s">
        <v>214</v>
      </c>
      <c r="P10" s="338"/>
    </row>
    <row r="11" spans="1:31">
      <c r="A11" s="260"/>
      <c r="B11" s="247" t="s">
        <v>193</v>
      </c>
      <c r="C11" s="260"/>
      <c r="D11" s="144" t="s">
        <v>194</v>
      </c>
      <c r="E11" s="350" t="s">
        <v>195</v>
      </c>
      <c r="F11" s="350" t="s">
        <v>196</v>
      </c>
      <c r="G11" s="350" t="s">
        <v>197</v>
      </c>
      <c r="H11" s="350"/>
      <c r="I11" s="350" t="s">
        <v>198</v>
      </c>
      <c r="J11" s="350" t="s">
        <v>198</v>
      </c>
      <c r="K11" s="547" t="s">
        <v>211</v>
      </c>
      <c r="M11" s="245" t="s">
        <v>95</v>
      </c>
      <c r="N11" s="245" t="s">
        <v>95</v>
      </c>
      <c r="O11" s="336" t="s">
        <v>360</v>
      </c>
      <c r="P11" s="336"/>
    </row>
    <row r="12" spans="1:31">
      <c r="A12" s="135" t="s">
        <v>242</v>
      </c>
      <c r="D12" s="29"/>
      <c r="K12" s="548"/>
    </row>
    <row r="13" spans="1:31">
      <c r="A13" s="192" t="s">
        <v>212</v>
      </c>
      <c r="D13" s="138">
        <f>'Rate Design'!D4</f>
        <v>9.5</v>
      </c>
      <c r="E13" s="137">
        <f>F13-D13</f>
        <v>0</v>
      </c>
      <c r="F13" s="138">
        <f>'Rate Design'!D14</f>
        <v>9.5</v>
      </c>
      <c r="G13" s="138">
        <f>IF(ROUND(J13-F13,5)&lt;&gt;ROUND(K13-D13,5),#VALUE!,K13-D13)</f>
        <v>5.5</v>
      </c>
      <c r="H13" s="138"/>
      <c r="I13" s="138"/>
      <c r="J13" s="138">
        <f>'Rate Design'!D36</f>
        <v>15</v>
      </c>
      <c r="K13" s="549">
        <f>'Rate Design'!D26</f>
        <v>15</v>
      </c>
      <c r="L13" s="261">
        <f>K13/D13-1</f>
        <v>0.57894736842105265</v>
      </c>
      <c r="M13" s="261"/>
      <c r="N13" s="261"/>
      <c r="O13" s="324">
        <f>G13*'Pres &amp; Prop Rev'!D25</f>
        <v>11425183</v>
      </c>
      <c r="P13" s="324"/>
      <c r="Q13" s="261"/>
      <c r="AB13" s="136"/>
      <c r="AD13" s="136"/>
    </row>
    <row r="14" spans="1:31">
      <c r="A14" s="192" t="s">
        <v>240</v>
      </c>
      <c r="D14" s="29"/>
      <c r="F14" s="29"/>
      <c r="K14" s="548"/>
      <c r="O14" s="324"/>
      <c r="P14" s="324"/>
    </row>
    <row r="15" spans="1:31">
      <c r="A15" s="262" t="s">
        <v>329</v>
      </c>
      <c r="D15" s="139">
        <f>'Rate Design'!D6/100</f>
        <v>0.50668999999999997</v>
      </c>
      <c r="E15" s="156">
        <f>F15-D15</f>
        <v>0.7866890000000003</v>
      </c>
      <c r="F15" s="139">
        <f>'Rate Design'!D16/100</f>
        <v>1.2933790000000003</v>
      </c>
      <c r="G15" s="155">
        <f>K15-D15</f>
        <v>1.2940000000000063E-2</v>
      </c>
      <c r="H15" s="155">
        <f>Open!E13</f>
        <v>0</v>
      </c>
      <c r="I15" s="155">
        <v>0</v>
      </c>
      <c r="J15" s="139">
        <f>F15+G15+I15+H15</f>
        <v>1.3063190000000002</v>
      </c>
      <c r="K15" s="550">
        <f>'Rate Design'!D28/100</f>
        <v>0.51963000000000004</v>
      </c>
      <c r="L15" s="261">
        <f>K15/D15-1</f>
        <v>2.5538297578401092E-2</v>
      </c>
      <c r="M15" s="342">
        <f>D15+G15-K15</f>
        <v>0</v>
      </c>
      <c r="N15" s="342">
        <f>F15+G15+I15-J15+H15</f>
        <v>0</v>
      </c>
      <c r="O15" s="324">
        <f>G15*'Pres &amp; Prop Rev'!D31</f>
        <v>1048057.9480577038</v>
      </c>
      <c r="P15" s="324"/>
      <c r="Q15" s="261"/>
      <c r="X15" s="610" t="s">
        <v>391</v>
      </c>
      <c r="Y15" s="610"/>
      <c r="Z15" s="385" t="s">
        <v>447</v>
      </c>
      <c r="AA15" s="371"/>
      <c r="AB15" s="139" t="s">
        <v>216</v>
      </c>
    </row>
    <row r="16" spans="1:31">
      <c r="A16" s="262" t="s">
        <v>330</v>
      </c>
      <c r="D16" s="139">
        <f>'Rate Design'!D7/100</f>
        <v>0.65852999999999995</v>
      </c>
      <c r="E16" s="262">
        <f>E15</f>
        <v>0.7866890000000003</v>
      </c>
      <c r="F16" s="139">
        <f>'Rate Design'!D17/100</f>
        <v>1.4452189999999998</v>
      </c>
      <c r="G16" s="155">
        <f>K16-D16</f>
        <v>1.6800000000000037E-2</v>
      </c>
      <c r="H16" s="155">
        <f>H15</f>
        <v>0</v>
      </c>
      <c r="I16" s="155">
        <v>0</v>
      </c>
      <c r="J16" s="139">
        <f>F16+G16+I16+H16</f>
        <v>1.4620189999999997</v>
      </c>
      <c r="K16" s="550">
        <f>'Rate Design'!D29/100</f>
        <v>0.67532999999999999</v>
      </c>
      <c r="L16" s="261">
        <f>K16/D16-1</f>
        <v>2.5511366224773457E-2</v>
      </c>
      <c r="M16" s="342">
        <f>D16+G16-K16</f>
        <v>0</v>
      </c>
      <c r="N16" s="342">
        <f>F16+G16+I16-J16+H16</f>
        <v>0</v>
      </c>
      <c r="O16" s="340">
        <f>G16*'Pres &amp; Prop Rev'!D32</f>
        <v>933233.512033034</v>
      </c>
      <c r="P16" s="341"/>
      <c r="Q16" s="261"/>
      <c r="R16" s="325">
        <f>(70*D15)+(130*D16)+D13</f>
        <v>130.5772</v>
      </c>
      <c r="S16" s="325">
        <f>(70*K15)+(130*K16)+K13</f>
        <v>139.167</v>
      </c>
      <c r="T16" s="325">
        <f>(70*D15)+(430*D16)+D13</f>
        <v>328.13619999999997</v>
      </c>
      <c r="U16" s="325">
        <f>(70*K15)+(430*K16)+K13</f>
        <v>341.76600000000002</v>
      </c>
      <c r="V16" s="136"/>
      <c r="W16" s="136"/>
      <c r="X16" s="136"/>
      <c r="Y16" s="136"/>
      <c r="Z16" s="136"/>
      <c r="AA16" s="136"/>
      <c r="AB16" s="139" t="s">
        <v>291</v>
      </c>
      <c r="AC16" s="325"/>
      <c r="AD16" s="262"/>
      <c r="AE16" s="325"/>
    </row>
    <row r="17" spans="1:31">
      <c r="A17" s="135" t="s">
        <v>241</v>
      </c>
      <c r="D17" s="29"/>
      <c r="F17" s="29"/>
      <c r="K17" s="550"/>
      <c r="M17" s="342"/>
      <c r="N17" s="339"/>
      <c r="O17" s="324">
        <f>SUM(O13:O16)</f>
        <v>13406474.460090738</v>
      </c>
      <c r="P17" s="324">
        <f ca="1">O17-'Pres &amp; Prop Rev'!D195</f>
        <v>6233.2900907360017</v>
      </c>
      <c r="W17" s="135" t="s">
        <v>390</v>
      </c>
      <c r="X17" s="136" t="s">
        <v>392</v>
      </c>
      <c r="Y17" s="136" t="s">
        <v>393</v>
      </c>
      <c r="Z17" s="136" t="s">
        <v>446</v>
      </c>
      <c r="AA17" s="136" t="s">
        <v>283</v>
      </c>
      <c r="AB17" s="139" t="s">
        <v>290</v>
      </c>
      <c r="AC17" s="325"/>
      <c r="AD17" s="262"/>
      <c r="AE17" s="325"/>
    </row>
    <row r="18" spans="1:31">
      <c r="A18" s="192" t="s">
        <v>240</v>
      </c>
      <c r="D18" s="139"/>
      <c r="E18" s="262"/>
      <c r="F18" s="139"/>
      <c r="G18" s="139"/>
      <c r="H18" s="139"/>
      <c r="I18" s="139"/>
      <c r="J18" s="139"/>
      <c r="K18" s="550"/>
      <c r="L18" s="263">
        <f>K25/200+K26-K19</f>
        <v>0</v>
      </c>
      <c r="M18" s="342"/>
      <c r="N18" s="339"/>
      <c r="P18" s="324"/>
      <c r="Q18" s="263"/>
      <c r="W18" s="349" t="s">
        <v>240</v>
      </c>
      <c r="Y18" s="136"/>
      <c r="Z18" s="136"/>
      <c r="AA18" s="136"/>
      <c r="AB18" s="29"/>
      <c r="AC18" s="136"/>
      <c r="AE18" s="136"/>
    </row>
    <row r="19" spans="1:31">
      <c r="A19" s="207" t="str">
        <f>"First "&amp;TEXT('Rate Design'!M6,"#,##0")&amp;" therms"</f>
        <v>First 200 therms</v>
      </c>
      <c r="D19" s="139">
        <f>'Rate Design'!M11/100</f>
        <v>0.65290000000000004</v>
      </c>
      <c r="E19" s="156">
        <f>F19-D19</f>
        <v>0.75867000000000018</v>
      </c>
      <c r="F19" s="139">
        <f>'Rate Design'!M21/100</f>
        <v>1.4115700000000002</v>
      </c>
      <c r="G19" s="155">
        <f>K19-D19</f>
        <v>4.2949999999999933E-2</v>
      </c>
      <c r="H19" s="155">
        <f>Open!E14</f>
        <v>0</v>
      </c>
      <c r="I19" s="155">
        <v>0</v>
      </c>
      <c r="J19" s="139">
        <f>F19+G19+I19+H19</f>
        <v>1.45452</v>
      </c>
      <c r="K19" s="550">
        <f>'Rate Design'!M33/100</f>
        <v>0.69584999999999997</v>
      </c>
      <c r="L19" s="261">
        <f>K19/D19-1</f>
        <v>6.5783427783733917E-2</v>
      </c>
      <c r="M19" s="342">
        <f>D19+G19-K19</f>
        <v>0</v>
      </c>
      <c r="N19" s="342">
        <f>F19+G19+I19-J19+H19</f>
        <v>0</v>
      </c>
      <c r="O19" s="324"/>
      <c r="P19" s="324"/>
      <c r="Q19" s="261"/>
      <c r="R19" s="325">
        <f>D19*200</f>
        <v>130.58000000000001</v>
      </c>
      <c r="S19" s="325">
        <f>K19*200</f>
        <v>139.16999999999999</v>
      </c>
      <c r="T19" s="264"/>
      <c r="U19" s="264"/>
      <c r="V19" s="264"/>
      <c r="W19" s="352" t="str">
        <f>"First "&amp;TEXT('Rate Design'!AG6,"#,##0")&amp;" therms"</f>
        <v>First 0 therms</v>
      </c>
      <c r="X19" s="372">
        <v>0.2868</v>
      </c>
      <c r="Y19" s="372">
        <v>0</v>
      </c>
      <c r="Z19" s="372">
        <v>0</v>
      </c>
      <c r="AA19" s="262">
        <f>X19-Y19+Z19</f>
        <v>0.2868</v>
      </c>
      <c r="AB19" s="139">
        <f>J19-AA19</f>
        <v>1.1677200000000001</v>
      </c>
    </row>
    <row r="20" spans="1:31">
      <c r="A20" s="207" t="str">
        <f>TEXT('Rate Design'!M6,"#,##0")&amp;" - "&amp;TEXT('Rate Design'!M7,"#,##0")&amp;" therms"</f>
        <v>200 - 1,000 therms</v>
      </c>
      <c r="D20" s="139">
        <f>'Rate Design'!E7/100</f>
        <v>0.38764000000000004</v>
      </c>
      <c r="E20" s="156">
        <f>F20-D20</f>
        <v>0.75867000000000018</v>
      </c>
      <c r="F20" s="139">
        <f>'Rate Design'!E17/100</f>
        <v>1.1463100000000002</v>
      </c>
      <c r="G20" s="155">
        <f>K20-D20</f>
        <v>6.1739999999999962E-2</v>
      </c>
      <c r="H20" s="155">
        <f>H19</f>
        <v>0</v>
      </c>
      <c r="I20" s="155">
        <v>0</v>
      </c>
      <c r="J20" s="139">
        <f t="shared" ref="J20:J23" si="0">F20+G20+I20+H20</f>
        <v>1.2080500000000001</v>
      </c>
      <c r="K20" s="550">
        <f>'Rate Design'!E29/100</f>
        <v>0.44938</v>
      </c>
      <c r="L20" s="261">
        <f>K20/D20-1</f>
        <v>0.15927148901042187</v>
      </c>
      <c r="M20" s="342">
        <f>D20+G20-K20</f>
        <v>0</v>
      </c>
      <c r="N20" s="342">
        <f t="shared" ref="N20:N23" si="1">F20+G20+I20-J20+H20</f>
        <v>0</v>
      </c>
      <c r="O20" s="324">
        <f>G20*'Pres &amp; Prop Rev'!E32</f>
        <v>1129530.4756734467</v>
      </c>
      <c r="P20" s="324"/>
      <c r="Q20" s="261"/>
      <c r="W20" s="352" t="str">
        <f>TEXT('Rate Design'!AG6,"#,##0")&amp;" - "&amp;TEXT('Rate Design'!AG7,"#,##0")&amp;" therms"</f>
        <v>0 - 0 therms</v>
      </c>
      <c r="X20" s="262">
        <f>X19</f>
        <v>0.2868</v>
      </c>
      <c r="Y20" s="262">
        <f>Y19</f>
        <v>0</v>
      </c>
      <c r="Z20" s="262">
        <f>Z19</f>
        <v>0</v>
      </c>
      <c r="AA20" s="262">
        <f t="shared" ref="AA20:AA21" si="2">X20-Y20+Z20</f>
        <v>0.2868</v>
      </c>
      <c r="AB20" s="139">
        <f t="shared" ref="AB20:AB26" si="3">J20-AA20</f>
        <v>0.92125000000000012</v>
      </c>
    </row>
    <row r="21" spans="1:31">
      <c r="A21" s="391" t="str">
        <f>TEXT('Rate Design'!N7,"#,##0")&amp;" - "&amp;TEXT('Rate Design'!N8,"#,##0")&amp;" therms"</f>
        <v>1,000 - 10,000 therms</v>
      </c>
      <c r="B21" s="196"/>
      <c r="C21" s="196"/>
      <c r="D21" s="139">
        <f>'Rate Design'!E8/100</f>
        <v>0.29547000000000001</v>
      </c>
      <c r="E21" s="156">
        <f>F21-D21</f>
        <v>0.75867000000000007</v>
      </c>
      <c r="F21" s="139">
        <f>'Rate Design'!E18/100</f>
        <v>1.0541400000000001</v>
      </c>
      <c r="G21" s="155">
        <f>K21-D21</f>
        <v>4.7069999999999945E-2</v>
      </c>
      <c r="H21" s="155">
        <f>H19</f>
        <v>0</v>
      </c>
      <c r="I21" s="155">
        <v>0</v>
      </c>
      <c r="J21" s="139">
        <f t="shared" si="0"/>
        <v>1.10121</v>
      </c>
      <c r="K21" s="550">
        <f>'Rate Design'!E30/100</f>
        <v>0.34253999999999996</v>
      </c>
      <c r="L21" s="261">
        <f>K21/D21-1</f>
        <v>0.15930551325007603</v>
      </c>
      <c r="M21" s="342">
        <f>D21+G21-K21</f>
        <v>0</v>
      </c>
      <c r="N21" s="342">
        <f t="shared" si="1"/>
        <v>0</v>
      </c>
      <c r="O21" s="324">
        <f>G21*'Pres &amp; Prop Rev'!E33</f>
        <v>1477075.573046674</v>
      </c>
      <c r="P21" s="324"/>
      <c r="Q21" s="261"/>
      <c r="W21" s="352" t="str">
        <f>"All over "&amp;TEXT('Rate Design'!AG7,"#,##0")&amp;" therms"</f>
        <v>All over 0 therms</v>
      </c>
      <c r="X21" s="262">
        <f>X19</f>
        <v>0.2868</v>
      </c>
      <c r="Y21" s="262">
        <f>Y19</f>
        <v>0</v>
      </c>
      <c r="Z21" s="262">
        <f>Z19</f>
        <v>0</v>
      </c>
      <c r="AA21" s="262">
        <f t="shared" si="2"/>
        <v>0.2868</v>
      </c>
      <c r="AB21" s="139">
        <f t="shared" si="3"/>
        <v>0.81441000000000008</v>
      </c>
    </row>
    <row r="22" spans="1:31" s="349" customFormat="1">
      <c r="A22" s="391" t="str">
        <f>TEXT('Rate Design'!N8,"#,##0")&amp;" - "&amp;TEXT('Rate Design'!N9,"#,##0")&amp;" therms"</f>
        <v>10,000 - 25,000 therms</v>
      </c>
      <c r="B22" s="196"/>
      <c r="C22" s="196"/>
      <c r="D22" s="139">
        <f>'Rate Design'!E9/100</f>
        <v>0.25211</v>
      </c>
      <c r="E22" s="156">
        <f t="shared" ref="E22:E23" si="4">F22-D22</f>
        <v>0.75867000000000018</v>
      </c>
      <c r="F22" s="139">
        <f>'Rate Design'!E19/100</f>
        <v>1.0107800000000002</v>
      </c>
      <c r="G22" s="155">
        <f>K22-D22</f>
        <v>4.0160000000000029E-2</v>
      </c>
      <c r="H22" s="155">
        <f>H19</f>
        <v>0</v>
      </c>
      <c r="I22" s="155">
        <v>0</v>
      </c>
      <c r="J22" s="139">
        <f t="shared" si="0"/>
        <v>1.0509400000000002</v>
      </c>
      <c r="K22" s="550">
        <f>'Rate Design'!E31/100</f>
        <v>0.29227000000000003</v>
      </c>
      <c r="L22" s="261">
        <f>K22/D22-1</f>
        <v>0.15929554559517678</v>
      </c>
      <c r="M22" s="342">
        <f>D22+G22-K22</f>
        <v>0</v>
      </c>
      <c r="N22" s="342">
        <f t="shared" si="1"/>
        <v>0</v>
      </c>
      <c r="O22" s="358">
        <f>G22*'Pres &amp; Prop Rev'!E34</f>
        <v>211377.36626023537</v>
      </c>
      <c r="P22" s="358"/>
      <c r="Q22" s="261"/>
      <c r="W22" s="352"/>
      <c r="X22" s="262"/>
      <c r="Y22" s="262"/>
      <c r="Z22" s="262"/>
      <c r="AA22" s="262"/>
      <c r="AB22" s="139"/>
    </row>
    <row r="23" spans="1:31" s="349" customFormat="1">
      <c r="A23" s="352" t="str">
        <f>"All over "&amp;TEXT('Rate Design'!N9,"#,##0")&amp;" therms"</f>
        <v>All over 25,000 therms</v>
      </c>
      <c r="B23" s="196"/>
      <c r="C23" s="196"/>
      <c r="D23" s="139">
        <f>'Rate Design'!E10/100</f>
        <v>0.17685999999999999</v>
      </c>
      <c r="E23" s="156">
        <f t="shared" si="4"/>
        <v>0.75867000000000007</v>
      </c>
      <c r="F23" s="139">
        <f>'Rate Design'!E20/100</f>
        <v>0.93553000000000008</v>
      </c>
      <c r="G23" s="155">
        <f>K23-D23</f>
        <v>2.8170000000000001E-2</v>
      </c>
      <c r="H23" s="155">
        <f>H19</f>
        <v>0</v>
      </c>
      <c r="I23" s="155">
        <v>0</v>
      </c>
      <c r="J23" s="139">
        <f t="shared" si="0"/>
        <v>0.96370000000000011</v>
      </c>
      <c r="K23" s="550">
        <f>'Rate Design'!E32/100</f>
        <v>0.20502999999999999</v>
      </c>
      <c r="L23" s="261">
        <f>K23/D23-1</f>
        <v>0.15927852538731191</v>
      </c>
      <c r="M23" s="342">
        <f>D23+G23-K23</f>
        <v>0</v>
      </c>
      <c r="N23" s="342">
        <f t="shared" si="1"/>
        <v>0</v>
      </c>
      <c r="O23" s="358">
        <f>G23*'Pres &amp; Prop Rev'!E35</f>
        <v>111156.91531362</v>
      </c>
      <c r="P23" s="358"/>
      <c r="Q23" s="261"/>
      <c r="W23" s="352"/>
      <c r="X23" s="262"/>
      <c r="Y23" s="262"/>
      <c r="Z23" s="262"/>
      <c r="AA23" s="262"/>
      <c r="AB23" s="139"/>
    </row>
    <row r="24" spans="1:31">
      <c r="A24" s="192" t="s">
        <v>243</v>
      </c>
      <c r="D24" s="29"/>
      <c r="F24" s="29"/>
      <c r="K24" s="548"/>
      <c r="M24" s="342"/>
      <c r="N24" s="342"/>
      <c r="O24" s="324"/>
      <c r="P24" s="324"/>
      <c r="W24" s="349" t="s">
        <v>243</v>
      </c>
      <c r="AA24" s="262"/>
      <c r="AB24" s="139"/>
      <c r="AC24" s="260"/>
      <c r="AD24" s="260"/>
    </row>
    <row r="25" spans="1:31">
      <c r="A25" s="207" t="s">
        <v>244</v>
      </c>
      <c r="D25" s="138">
        <f>'Rate Design'!E5</f>
        <v>130.58000000000001</v>
      </c>
      <c r="E25" s="137">
        <f>F25-D25</f>
        <v>0</v>
      </c>
      <c r="F25" s="138">
        <f>'Rate Design'!E15</f>
        <v>130.58000000000001</v>
      </c>
      <c r="G25" s="138">
        <f>IF(ROUND(J25-F25,5)&lt;&gt;ROUND(K25-D25,5),#VALUE!,K25-D25)</f>
        <v>8.589999999999975</v>
      </c>
      <c r="H25" s="138"/>
      <c r="I25" s="138"/>
      <c r="J25" s="138">
        <f>'Rate Design'!E37</f>
        <v>139.16999999999999</v>
      </c>
      <c r="K25" s="549">
        <f>'Rate Design'!E27</f>
        <v>139.16999999999999</v>
      </c>
      <c r="L25" s="261">
        <f>K25/D25-1</f>
        <v>6.5783427783733917E-2</v>
      </c>
      <c r="M25" s="342">
        <f>D25+G25-K25</f>
        <v>0</v>
      </c>
      <c r="N25" s="342">
        <f>F25+G25-J25</f>
        <v>0</v>
      </c>
      <c r="O25" s="324">
        <f>G25*'Pres &amp; Prop Rev'!E49</f>
        <v>357163.60999999894</v>
      </c>
      <c r="P25" s="324"/>
      <c r="Q25" s="261"/>
      <c r="R25" s="325"/>
      <c r="S25" s="325"/>
      <c r="W25" s="352" t="s">
        <v>244</v>
      </c>
      <c r="AA25" s="262"/>
      <c r="AB25" s="139"/>
      <c r="AC25" s="355"/>
      <c r="AD25" s="260"/>
    </row>
    <row r="26" spans="1:31">
      <c r="A26" s="207" t="s">
        <v>245</v>
      </c>
      <c r="D26" s="139">
        <f>'Rate Design'!E6/100</f>
        <v>0</v>
      </c>
      <c r="E26" s="156">
        <f>F26-D26</f>
        <v>0.75867000000000007</v>
      </c>
      <c r="F26" s="139">
        <f>'Rate Design'!E16/100</f>
        <v>0.75867000000000007</v>
      </c>
      <c r="G26" s="155">
        <f>K26-D26</f>
        <v>0</v>
      </c>
      <c r="H26" s="155"/>
      <c r="I26" s="155"/>
      <c r="J26" s="139">
        <f>E26+I19+H19</f>
        <v>0.75867000000000007</v>
      </c>
      <c r="K26" s="550">
        <f>'Rate Design'!E28/100</f>
        <v>0</v>
      </c>
      <c r="L26" s="261"/>
      <c r="M26" s="342">
        <f>D26+G26-K26</f>
        <v>0</v>
      </c>
      <c r="N26" s="342">
        <f>F26+G26-J26</f>
        <v>0</v>
      </c>
      <c r="O26" s="340">
        <f>G26*'Pres &amp; Prop Rev'!E31</f>
        <v>0</v>
      </c>
      <c r="P26" s="324"/>
      <c r="Q26" s="261"/>
      <c r="R26" s="264"/>
      <c r="S26" s="264"/>
      <c r="T26" s="264"/>
      <c r="U26" s="264"/>
      <c r="V26" s="264"/>
      <c r="W26" s="352" t="s">
        <v>245</v>
      </c>
      <c r="X26" s="262">
        <f>X19</f>
        <v>0.2868</v>
      </c>
      <c r="Y26" s="262">
        <f>Y19</f>
        <v>0</v>
      </c>
      <c r="Z26" s="262">
        <f>Z19</f>
        <v>0</v>
      </c>
      <c r="AA26" s="262">
        <f>X26-Y26+Z26</f>
        <v>0.2868</v>
      </c>
      <c r="AB26" s="139">
        <f t="shared" si="3"/>
        <v>0.47187000000000007</v>
      </c>
      <c r="AC26" s="356"/>
      <c r="AD26" s="260"/>
    </row>
    <row r="27" spans="1:31">
      <c r="D27" s="29"/>
      <c r="K27" s="548"/>
      <c r="M27" s="342"/>
      <c r="N27" s="339"/>
      <c r="O27" s="324">
        <f>SUM(O19:O26)</f>
        <v>3286303.9402939747</v>
      </c>
      <c r="P27" s="252">
        <f ca="1">-('Pres &amp; Prop Rev'!E190-'Pres &amp; Prop Rev'!E142-'Pres &amp; Prop Rev'!F142)</f>
        <v>-2523.3899999999994</v>
      </c>
      <c r="R27" s="264"/>
      <c r="S27" s="264"/>
      <c r="T27" s="264"/>
      <c r="U27" s="264"/>
      <c r="V27" s="264"/>
      <c r="X27" s="136"/>
      <c r="Y27" s="136"/>
      <c r="Z27" s="136"/>
      <c r="AA27" s="136"/>
      <c r="AB27" s="139" t="s">
        <v>291</v>
      </c>
      <c r="AC27" s="355"/>
      <c r="AD27" s="260"/>
    </row>
    <row r="28" spans="1:31" hidden="1">
      <c r="A28" s="135" t="s">
        <v>478</v>
      </c>
      <c r="D28" s="29"/>
      <c r="K28" s="548"/>
      <c r="M28" s="342"/>
      <c r="N28" s="339"/>
      <c r="O28" s="324"/>
      <c r="P28" s="324"/>
      <c r="W28" s="135" t="s">
        <v>247</v>
      </c>
      <c r="X28" s="136" t="s">
        <v>60</v>
      </c>
      <c r="Y28" s="136" t="s">
        <v>402</v>
      </c>
      <c r="Z28" s="136" t="s">
        <v>446</v>
      </c>
      <c r="AA28" s="136" t="s">
        <v>283</v>
      </c>
      <c r="AB28" s="139" t="s">
        <v>290</v>
      </c>
      <c r="AC28" s="260"/>
      <c r="AD28" s="260"/>
    </row>
    <row r="29" spans="1:31" hidden="1">
      <c r="A29" s="192" t="s">
        <v>240</v>
      </c>
      <c r="D29" s="139"/>
      <c r="E29" s="262"/>
      <c r="F29" s="262"/>
      <c r="G29" s="139"/>
      <c r="H29" s="139"/>
      <c r="I29" s="139"/>
      <c r="J29" s="139"/>
      <c r="K29" s="550"/>
      <c r="L29" s="265">
        <f>K36/500+K37-K30</f>
        <v>0</v>
      </c>
      <c r="M29" s="342"/>
      <c r="N29" s="342"/>
      <c r="O29" s="324"/>
      <c r="P29" s="324"/>
      <c r="Q29" s="265"/>
      <c r="W29" s="349" t="s">
        <v>240</v>
      </c>
      <c r="X29" s="349"/>
      <c r="Y29" s="136"/>
      <c r="Z29" s="136"/>
      <c r="AA29" s="136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39">
        <f>'Rate Design'!N11/100</f>
        <v>0</v>
      </c>
      <c r="E30" s="156">
        <f>F30-D30</f>
        <v>0</v>
      </c>
      <c r="F30" s="139">
        <f>'Rate Design'!N21/100</f>
        <v>0</v>
      </c>
      <c r="G30" s="155">
        <v>0</v>
      </c>
      <c r="H30" s="155"/>
      <c r="I30" s="155"/>
      <c r="J30" s="139" t="s">
        <v>480</v>
      </c>
      <c r="K30" s="550"/>
      <c r="L30" s="261" t="e">
        <f>K30/D30-1</f>
        <v>#DIV/0!</v>
      </c>
      <c r="M30" s="342">
        <f>D30+G30-K30</f>
        <v>0</v>
      </c>
      <c r="N30" s="342">
        <f>F30+G30</f>
        <v>0</v>
      </c>
      <c r="O30" s="324"/>
      <c r="P30" s="324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52" t="s">
        <v>394</v>
      </c>
      <c r="X30" s="372">
        <v>-5.0130000000000001E-2</v>
      </c>
      <c r="Y30" s="372">
        <v>0</v>
      </c>
      <c r="Z30" s="372">
        <v>6.9100000000000003E-3</v>
      </c>
      <c r="AA30" s="262">
        <f>X30-Y30+Z30</f>
        <v>-4.3220000000000001E-2</v>
      </c>
      <c r="AB30" s="139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39">
        <f>'Rate Design'!F7/100</f>
        <v>0</v>
      </c>
      <c r="E31" s="156">
        <f>F31-D31</f>
        <v>0</v>
      </c>
      <c r="F31" s="139">
        <f>'Rate Design'!F17/100</f>
        <v>0</v>
      </c>
      <c r="G31" s="155"/>
      <c r="H31" s="155"/>
      <c r="I31" s="155"/>
      <c r="J31" s="139"/>
      <c r="K31" s="550"/>
      <c r="L31" s="261" t="e">
        <f>K31/D31-1</f>
        <v>#DIV/0!</v>
      </c>
      <c r="M31" s="342">
        <f>D31+G31-K31</f>
        <v>0</v>
      </c>
      <c r="N31" s="342">
        <f>F31+G31-J31</f>
        <v>0</v>
      </c>
      <c r="O31" s="324" t="e">
        <f>G31*'Pres &amp; Prop Rev'!F32</f>
        <v>#VALUE!</v>
      </c>
      <c r="P31" s="324"/>
      <c r="Q31" s="261"/>
      <c r="W31" s="352" t="s">
        <v>395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5">X31-Y31+Z31</f>
        <v>-4.3220000000000001E-2</v>
      </c>
      <c r="AB31" s="139">
        <f t="shared" ref="AB31:AB34" si="6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39">
        <f>'Rate Design'!F8/100</f>
        <v>0</v>
      </c>
      <c r="E32" s="156">
        <f>F32-D32</f>
        <v>0</v>
      </c>
      <c r="F32" s="139">
        <f>'Rate Design'!F18/100</f>
        <v>0</v>
      </c>
      <c r="G32" s="155"/>
      <c r="H32" s="155"/>
      <c r="I32" s="155"/>
      <c r="J32" s="139"/>
      <c r="K32" s="550"/>
      <c r="L32" s="261" t="e">
        <f>K32/D32-1</f>
        <v>#DIV/0!</v>
      </c>
      <c r="M32" s="342">
        <f>D32+G32-K32</f>
        <v>0</v>
      </c>
      <c r="N32" s="342">
        <f>F32+G32-J32</f>
        <v>0</v>
      </c>
      <c r="O32" s="324">
        <f>G32*'Pres &amp; Prop Rev'!F33</f>
        <v>0</v>
      </c>
      <c r="P32" s="324"/>
      <c r="Q32" s="261"/>
      <c r="W32" s="352" t="s">
        <v>396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5"/>
        <v>-4.3220000000000001E-2</v>
      </c>
      <c r="AB32" s="139">
        <f t="shared" si="6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39">
        <f>'Rate Design'!F9/100</f>
        <v>0</v>
      </c>
      <c r="E33" s="156">
        <f>F33-D33</f>
        <v>0</v>
      </c>
      <c r="F33" s="139">
        <f>'Rate Design'!F19/100</f>
        <v>0</v>
      </c>
      <c r="G33" s="155"/>
      <c r="H33" s="155"/>
      <c r="I33" s="155"/>
      <c r="J33" s="139"/>
      <c r="K33" s="550"/>
      <c r="L33" s="261" t="e">
        <f>K33/D33-1</f>
        <v>#DIV/0!</v>
      </c>
      <c r="M33" s="342">
        <f>D33+G33-K33</f>
        <v>0</v>
      </c>
      <c r="N33" s="342">
        <f>F33+G33-J33</f>
        <v>0</v>
      </c>
      <c r="O33" s="324">
        <f>G33*'Pres &amp; Prop Rev'!F34</f>
        <v>0</v>
      </c>
      <c r="P33" s="324"/>
      <c r="Q33" s="261"/>
      <c r="W33" s="352" t="s">
        <v>397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5"/>
        <v>-4.3220000000000001E-2</v>
      </c>
      <c r="AB33" s="139">
        <f t="shared" si="6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39">
        <f>'Rate Design'!F10/100</f>
        <v>0</v>
      </c>
      <c r="E34" s="156">
        <f>F34-D34</f>
        <v>0</v>
      </c>
      <c r="F34" s="139">
        <f>'Rate Design'!F20/100</f>
        <v>0</v>
      </c>
      <c r="G34" s="155"/>
      <c r="H34" s="155"/>
      <c r="I34" s="155"/>
      <c r="J34" s="139"/>
      <c r="K34" s="550"/>
      <c r="L34" s="261" t="e">
        <f>K34/D34-1</f>
        <v>#DIV/0!</v>
      </c>
      <c r="M34" s="342">
        <f>D34+G34-K34</f>
        <v>0</v>
      </c>
      <c r="N34" s="342">
        <f>F34+G34-J34</f>
        <v>0</v>
      </c>
      <c r="O34" s="324">
        <f>G34*'Pres &amp; Prop Rev'!F35</f>
        <v>0</v>
      </c>
      <c r="P34" s="324"/>
      <c r="Q34" s="261"/>
      <c r="W34" s="352" t="s">
        <v>398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5"/>
        <v>-4.3220000000000001E-2</v>
      </c>
      <c r="AB34" s="139">
        <f t="shared" si="6"/>
        <v>4.3220000000000001E-2</v>
      </c>
    </row>
    <row r="35" spans="1:28" hidden="1">
      <c r="A35" s="192" t="s">
        <v>243</v>
      </c>
      <c r="D35" s="29"/>
      <c r="F35" s="29"/>
      <c r="K35" s="548"/>
      <c r="M35" s="342"/>
      <c r="N35" s="342"/>
      <c r="O35" s="324"/>
      <c r="P35" s="324"/>
      <c r="W35" s="349" t="s">
        <v>243</v>
      </c>
    </row>
    <row r="36" spans="1:28" hidden="1">
      <c r="A36" s="207" t="s">
        <v>244</v>
      </c>
      <c r="D36" s="138">
        <f>'Rate Design'!F5</f>
        <v>0</v>
      </c>
      <c r="E36" s="137">
        <f>F36-D36</f>
        <v>0</v>
      </c>
      <c r="F36" s="138">
        <f>'Rate Design'!F15</f>
        <v>0</v>
      </c>
      <c r="G36" s="138"/>
      <c r="H36" s="138"/>
      <c r="I36" s="138"/>
      <c r="J36" s="138"/>
      <c r="K36" s="549"/>
      <c r="L36" s="261" t="e">
        <f>K36/D36-1</f>
        <v>#DIV/0!</v>
      </c>
      <c r="M36" s="342"/>
      <c r="N36" s="342"/>
      <c r="O36" s="324">
        <f>G36*'Pres &amp; Prop Rev'!F49</f>
        <v>0</v>
      </c>
      <c r="P36" s="324"/>
      <c r="Q36" s="261"/>
      <c r="W36" s="352" t="s">
        <v>244</v>
      </c>
      <c r="AB36" s="325"/>
    </row>
    <row r="37" spans="1:28" hidden="1">
      <c r="A37" s="207" t="s">
        <v>245</v>
      </c>
      <c r="D37" s="139">
        <f>'Rate Design'!F6/100</f>
        <v>0</v>
      </c>
      <c r="E37" s="156">
        <f>F37-D37</f>
        <v>0</v>
      </c>
      <c r="F37" s="139">
        <f>'Rate Design'!F16/100</f>
        <v>0</v>
      </c>
      <c r="G37" s="155"/>
      <c r="H37" s="155"/>
      <c r="I37" s="155"/>
      <c r="J37" s="139"/>
      <c r="K37" s="550"/>
      <c r="L37" s="261" t="e">
        <f>K37/D37-1</f>
        <v>#DIV/0!</v>
      </c>
      <c r="M37" s="342">
        <f>D37+G37-K37</f>
        <v>0</v>
      </c>
      <c r="N37" s="342">
        <f>F37+G37-J37</f>
        <v>0</v>
      </c>
      <c r="O37" s="340" t="e">
        <f>G37*'Pres &amp; Prop Rev'!F31</f>
        <v>#VALUE!</v>
      </c>
      <c r="P37" s="324"/>
      <c r="Q37" s="261"/>
      <c r="R37" s="264"/>
      <c r="S37" s="264"/>
      <c r="T37" s="264"/>
      <c r="U37" s="264"/>
      <c r="V37" s="264"/>
      <c r="W37" s="352" t="s">
        <v>245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39">
        <f>J37-AA37</f>
        <v>4.3220000000000001E-2</v>
      </c>
    </row>
    <row r="38" spans="1:28" hidden="1">
      <c r="A38" s="207" t="s">
        <v>262</v>
      </c>
      <c r="D38" s="266" t="s">
        <v>263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42"/>
      <c r="N38" s="339"/>
      <c r="O38" s="324" t="e">
        <f>SUM(O30:O37)</f>
        <v>#VALUE!</v>
      </c>
      <c r="P38" s="324" t="e">
        <f>O38-'Pres &amp; Prop Rev'!F195</f>
        <v>#VALUE!</v>
      </c>
      <c r="Q38" s="261"/>
      <c r="R38" s="264"/>
      <c r="S38" s="264"/>
      <c r="T38" s="264"/>
      <c r="U38" s="264"/>
      <c r="V38" s="264"/>
      <c r="W38" s="352" t="s">
        <v>262</v>
      </c>
    </row>
    <row r="39" spans="1:28" hidden="1">
      <c r="D39" s="268"/>
      <c r="E39" s="245"/>
      <c r="F39" s="268"/>
      <c r="G39" s="30"/>
      <c r="H39" s="350"/>
      <c r="I39" s="350"/>
      <c r="J39" s="31"/>
      <c r="K39" s="551"/>
      <c r="M39" s="342"/>
      <c r="N39" s="339"/>
      <c r="O39" s="324"/>
      <c r="P39" s="324"/>
      <c r="X39" s="136"/>
      <c r="Y39" s="136"/>
      <c r="Z39" s="136"/>
      <c r="AA39" s="136"/>
      <c r="AB39" s="139" t="s">
        <v>291</v>
      </c>
    </row>
    <row r="40" spans="1:28">
      <c r="A40" s="135" t="s">
        <v>303</v>
      </c>
      <c r="K40" s="548"/>
      <c r="M40" s="342"/>
      <c r="N40" s="339"/>
      <c r="O40" s="324"/>
      <c r="P40" s="324"/>
      <c r="W40" s="192" t="s">
        <v>303</v>
      </c>
      <c r="X40" s="136" t="s">
        <v>61</v>
      </c>
      <c r="Y40" s="136" t="s">
        <v>403</v>
      </c>
      <c r="Z40" s="136" t="s">
        <v>446</v>
      </c>
      <c r="AA40" s="136" t="s">
        <v>283</v>
      </c>
      <c r="AB40" s="139" t="s">
        <v>290</v>
      </c>
    </row>
    <row r="41" spans="1:28">
      <c r="A41" s="192" t="s">
        <v>240</v>
      </c>
      <c r="D41" s="262"/>
      <c r="E41" s="262"/>
      <c r="F41" s="262"/>
      <c r="G41" s="139"/>
      <c r="H41" s="139"/>
      <c r="I41" s="139"/>
      <c r="J41" s="139"/>
      <c r="K41" s="550"/>
      <c r="M41" s="342"/>
      <c r="N41" s="339"/>
      <c r="O41" s="324"/>
      <c r="P41" s="324"/>
      <c r="W41" s="192" t="s">
        <v>240</v>
      </c>
      <c r="X41" s="349"/>
      <c r="Y41" s="136"/>
      <c r="Z41" s="136"/>
      <c r="AA41" s="136"/>
      <c r="AB41" s="29"/>
    </row>
    <row r="42" spans="1:28">
      <c r="A42" s="207" t="str">
        <f>"First "&amp;TEXT('Rate Design'!O6,"#,##0")&amp;" therms"</f>
        <v>First 10,000 therms</v>
      </c>
      <c r="D42" s="139">
        <f>'Rate Design'!G6/100</f>
        <v>0.30317</v>
      </c>
      <c r="E42" s="156">
        <f>F42-D42</f>
        <v>0.39650000000000002</v>
      </c>
      <c r="F42" s="139">
        <f>'Rate Design'!G16/100</f>
        <v>0.69967000000000001</v>
      </c>
      <c r="G42" s="155">
        <f>K42-D42</f>
        <v>4.1989999999999972E-2</v>
      </c>
      <c r="H42" s="155">
        <f>Open!E15</f>
        <v>0</v>
      </c>
      <c r="I42" s="155">
        <v>0</v>
      </c>
      <c r="J42" s="139">
        <f>F42+G42+I42+H42</f>
        <v>0.74165999999999999</v>
      </c>
      <c r="K42" s="550">
        <f>'Rate Design'!G28/100</f>
        <v>0.34515999999999997</v>
      </c>
      <c r="L42" s="261">
        <f>K42/D42-1</f>
        <v>0.13850315004782776</v>
      </c>
      <c r="M42" s="342">
        <f>D42+G42-K42</f>
        <v>0</v>
      </c>
      <c r="N42" s="342">
        <f>F42+G42+I42-J42+H42</f>
        <v>0</v>
      </c>
      <c r="O42" s="324">
        <f>G42*'Pres &amp; Prop Rev'!G31</f>
        <v>20155.199999999986</v>
      </c>
      <c r="P42" s="324"/>
      <c r="Q42" s="261"/>
      <c r="W42" s="192" t="s">
        <v>399</v>
      </c>
      <c r="X42" s="372">
        <v>0</v>
      </c>
      <c r="Y42" s="372">
        <v>0</v>
      </c>
      <c r="Z42" s="372">
        <v>3.9870000000000003E-2</v>
      </c>
      <c r="AA42" s="262">
        <f>X42-Y42+Z42</f>
        <v>3.9870000000000003E-2</v>
      </c>
      <c r="AB42" s="139">
        <f>J42+AA42</f>
        <v>0.78152999999999995</v>
      </c>
    </row>
    <row r="43" spans="1:28">
      <c r="A43" s="207" t="str">
        <f>TEXT('Rate Design'!O6,"#,##0")&amp;" - "&amp;TEXT('Rate Design'!O7,"#,##0")&amp;" therms"</f>
        <v>10,000 - 25,000 therms</v>
      </c>
      <c r="D43" s="139">
        <f>'Rate Design'!G7/100</f>
        <v>0.24337</v>
      </c>
      <c r="E43" s="156">
        <f>F43-D43</f>
        <v>0.39649999999999996</v>
      </c>
      <c r="F43" s="139">
        <f>'Rate Design'!G17/100</f>
        <v>0.63986999999999994</v>
      </c>
      <c r="G43" s="155">
        <f>K43-D43</f>
        <v>3.370999999999999E-2</v>
      </c>
      <c r="H43" s="155">
        <f>H42</f>
        <v>0</v>
      </c>
      <c r="I43" s="155">
        <v>0</v>
      </c>
      <c r="J43" s="139">
        <f t="shared" ref="J43:J45" si="7">F43+G43+I43+H43</f>
        <v>0.67357999999999996</v>
      </c>
      <c r="K43" s="550">
        <f>'Rate Design'!G29/100</f>
        <v>0.27707999999999999</v>
      </c>
      <c r="L43" s="261">
        <f>K43/D43-1</f>
        <v>0.13851337469696334</v>
      </c>
      <c r="M43" s="342">
        <f>D43+G43-K43</f>
        <v>0</v>
      </c>
      <c r="N43" s="342">
        <f t="shared" ref="N43:N45" si="8">F43+G43+I43-J43+H43</f>
        <v>0</v>
      </c>
      <c r="O43" s="324">
        <f>G43*'Pres &amp; Prop Rev'!G32</f>
        <v>21603.781231479992</v>
      </c>
      <c r="P43" s="324"/>
      <c r="Q43" s="261"/>
      <c r="W43" s="192" t="s">
        <v>397</v>
      </c>
      <c r="X43" s="262">
        <f>X42</f>
        <v>0</v>
      </c>
      <c r="Y43" s="262">
        <f>Y42</f>
        <v>0</v>
      </c>
      <c r="Z43" s="262">
        <f>Z42</f>
        <v>3.9870000000000003E-2</v>
      </c>
      <c r="AA43" s="262">
        <f t="shared" ref="AA43:AA45" si="9">X43-Y43+Z43</f>
        <v>3.9870000000000003E-2</v>
      </c>
      <c r="AB43" s="139">
        <f t="shared" ref="AB43:AB45" si="10">J43+AA43</f>
        <v>0.71344999999999992</v>
      </c>
    </row>
    <row r="44" spans="1:28">
      <c r="A44" s="207" t="str">
        <f>TEXT('Rate Design'!O7,"#,##0")&amp;" - "&amp;TEXT('Rate Design'!O8,"#,##0")&amp;" therms"</f>
        <v>25,000 - 50,000 therms</v>
      </c>
      <c r="D44" s="139">
        <f>'Rate Design'!G8/100</f>
        <v>0.22869</v>
      </c>
      <c r="E44" s="156">
        <f>F44-D44</f>
        <v>0.39649999999999991</v>
      </c>
      <c r="F44" s="139">
        <f>'Rate Design'!G18/100</f>
        <v>0.62518999999999991</v>
      </c>
      <c r="G44" s="155">
        <f>K44-D44</f>
        <v>3.1679999999999986E-2</v>
      </c>
      <c r="H44" s="155">
        <f>H42</f>
        <v>0</v>
      </c>
      <c r="I44" s="155">
        <v>0</v>
      </c>
      <c r="J44" s="139">
        <f t="shared" si="7"/>
        <v>0.65686999999999984</v>
      </c>
      <c r="K44" s="550">
        <f>'Rate Design'!G30/100</f>
        <v>0.26036999999999999</v>
      </c>
      <c r="L44" s="261">
        <f>K44/D44-1</f>
        <v>0.1385281385281385</v>
      </c>
      <c r="M44" s="342">
        <f>D44+G44-K44</f>
        <v>0</v>
      </c>
      <c r="N44" s="342">
        <f t="shared" si="8"/>
        <v>0</v>
      </c>
      <c r="O44" s="324">
        <f>G44*'Pres &amp; Prop Rev'!G33</f>
        <v>21692.893305599995</v>
      </c>
      <c r="P44" s="324"/>
      <c r="Q44" s="261"/>
      <c r="W44" s="192" t="s">
        <v>400</v>
      </c>
      <c r="X44" s="262">
        <f t="shared" ref="X44:Z45" si="11">X42</f>
        <v>0</v>
      </c>
      <c r="Y44" s="262">
        <f t="shared" si="11"/>
        <v>0</v>
      </c>
      <c r="Z44" s="262">
        <f t="shared" si="11"/>
        <v>3.9870000000000003E-2</v>
      </c>
      <c r="AA44" s="262">
        <f t="shared" si="9"/>
        <v>3.9870000000000003E-2</v>
      </c>
      <c r="AB44" s="139">
        <f t="shared" si="10"/>
        <v>0.6967399999999998</v>
      </c>
    </row>
    <row r="45" spans="1:28">
      <c r="A45" s="207" t="str">
        <f>"All over "&amp;TEXT('Rate Design'!O8,"#,##0")&amp;" therms"</f>
        <v>All over 50,000 therms</v>
      </c>
      <c r="D45" s="139">
        <f>'Rate Design'!G9/100</f>
        <v>0.20433000000000001</v>
      </c>
      <c r="E45" s="156">
        <f>F45-D45</f>
        <v>0.39649999999999985</v>
      </c>
      <c r="F45" s="139">
        <f>'Rate Design'!G19/100</f>
        <v>0.60082999999999986</v>
      </c>
      <c r="G45" s="155">
        <f>K45-D45</f>
        <v>2.8299999999999992E-2</v>
      </c>
      <c r="H45" s="155">
        <f>H42</f>
        <v>0</v>
      </c>
      <c r="I45" s="155">
        <v>0</v>
      </c>
      <c r="J45" s="139">
        <f t="shared" si="7"/>
        <v>0.62912999999999986</v>
      </c>
      <c r="K45" s="550">
        <f>'Rate Design'!G31/100</f>
        <v>0.23263</v>
      </c>
      <c r="L45" s="261">
        <f>K45/D45-1</f>
        <v>0.1385014437429648</v>
      </c>
      <c r="M45" s="342">
        <f>D45+G45-K45</f>
        <v>0</v>
      </c>
      <c r="N45" s="342">
        <f t="shared" si="8"/>
        <v>0</v>
      </c>
      <c r="O45" s="340">
        <f>G45*'Pres &amp; Prop Rev'!G34</f>
        <v>25109.018614206092</v>
      </c>
      <c r="P45" s="324"/>
      <c r="Q45" s="261"/>
      <c r="W45" s="192" t="s">
        <v>401</v>
      </c>
      <c r="X45" s="262">
        <f t="shared" si="11"/>
        <v>0</v>
      </c>
      <c r="Y45" s="262">
        <f t="shared" si="11"/>
        <v>0</v>
      </c>
      <c r="Z45" s="262">
        <f t="shared" si="11"/>
        <v>3.9870000000000003E-2</v>
      </c>
      <c r="AA45" s="262">
        <f t="shared" si="9"/>
        <v>3.9870000000000003E-2</v>
      </c>
      <c r="AB45" s="139">
        <f t="shared" si="10"/>
        <v>0.66899999999999982</v>
      </c>
    </row>
    <row r="46" spans="1:28">
      <c r="A46" s="207" t="s">
        <v>262</v>
      </c>
      <c r="D46" s="266" t="s">
        <v>263</v>
      </c>
      <c r="E46" s="270">
        <v>0.30031000000000002</v>
      </c>
      <c r="F46" s="223"/>
      <c r="G46" s="267"/>
      <c r="H46" s="267"/>
      <c r="I46" s="267"/>
      <c r="J46" s="267" t="s">
        <v>264</v>
      </c>
      <c r="K46" s="270">
        <f>D43+0.05793+N("Tariffed Demand Rate, 2023 PGA - Grossed up for Rev Related Items")+G43</f>
        <v>0.33501000000000003</v>
      </c>
      <c r="L46" s="261">
        <f>K46/E46-1</f>
        <v>0.11554726782324942</v>
      </c>
      <c r="M46" s="342"/>
      <c r="N46" s="339"/>
      <c r="O46" s="324">
        <f>SUM(O42:O45)</f>
        <v>88560.893151286058</v>
      </c>
      <c r="P46" s="324">
        <f ca="1">O46-'Pres &amp; Prop Rev'!G195</f>
        <v>-6.8487138487398624E-3</v>
      </c>
      <c r="Q46" s="261"/>
      <c r="W46" s="192" t="s">
        <v>262</v>
      </c>
    </row>
    <row r="47" spans="1:28">
      <c r="K47" s="548"/>
      <c r="M47" s="342"/>
      <c r="N47" s="339"/>
      <c r="O47" s="324"/>
      <c r="P47" s="324"/>
    </row>
    <row r="48" spans="1:28">
      <c r="A48" s="135" t="s">
        <v>248</v>
      </c>
      <c r="K48" s="548"/>
      <c r="M48" s="342"/>
      <c r="N48" s="339"/>
      <c r="O48" s="324"/>
      <c r="P48" s="324"/>
    </row>
    <row r="49" spans="1:21">
      <c r="A49" s="192" t="s">
        <v>212</v>
      </c>
      <c r="D49" s="136">
        <f>'Rate Design'!H4</f>
        <v>700</v>
      </c>
      <c r="E49" s="137">
        <f>F49-D49</f>
        <v>0</v>
      </c>
      <c r="F49" s="138">
        <f>'Rate Design'!H14</f>
        <v>700</v>
      </c>
      <c r="G49" s="138">
        <f>IF(ROUND(J49-F49,5)&lt;&gt;ROUND(K49-D49,5),#VALUE!,K49-D49)</f>
        <v>150</v>
      </c>
      <c r="H49" s="138"/>
      <c r="I49" s="138"/>
      <c r="J49" s="138">
        <f>'Rate Design'!H36</f>
        <v>850</v>
      </c>
      <c r="K49" s="549">
        <f>'Rate Design'!H26</f>
        <v>850</v>
      </c>
      <c r="L49" s="261">
        <f>K49/D49-1</f>
        <v>0.21428571428571419</v>
      </c>
      <c r="M49" s="342"/>
      <c r="N49" s="339"/>
      <c r="O49" s="324">
        <f>G49*'Pres &amp; Prop Rev'!H48</f>
        <v>63000</v>
      </c>
      <c r="P49" s="324"/>
      <c r="Q49" s="261"/>
    </row>
    <row r="50" spans="1:21">
      <c r="A50" s="192" t="s">
        <v>240</v>
      </c>
      <c r="D50" s="262"/>
      <c r="E50" s="262"/>
      <c r="F50" s="139"/>
      <c r="G50" s="139"/>
      <c r="H50" s="139"/>
      <c r="I50" s="139"/>
      <c r="J50" s="139"/>
      <c r="K50" s="550"/>
      <c r="M50" s="342"/>
      <c r="N50" s="339"/>
      <c r="O50" s="324"/>
      <c r="P50" s="324"/>
    </row>
    <row r="51" spans="1:21">
      <c r="A51" s="207" t="str">
        <f>"First "&amp;TEXT('Rate Design'!P6,"#,##0")&amp;" therms"</f>
        <v>First 20,000 therms</v>
      </c>
      <c r="D51" s="139">
        <f>'Rate Design'!H6/100</f>
        <v>0.12429999999999999</v>
      </c>
      <c r="E51" s="156">
        <f>F51-D51</f>
        <v>-4.0200000000000097E-3</v>
      </c>
      <c r="F51" s="139">
        <f>'Rate Design'!H16/100</f>
        <v>0.12027999999999998</v>
      </c>
      <c r="G51" s="155">
        <f>K51-D51</f>
        <v>1.6339999999999993E-2</v>
      </c>
      <c r="H51" s="155">
        <f>Open!E16</f>
        <v>0</v>
      </c>
      <c r="I51" s="155">
        <v>0</v>
      </c>
      <c r="J51" s="139">
        <f>F51+G51+I51+H51</f>
        <v>0.13661999999999996</v>
      </c>
      <c r="K51" s="550">
        <f>'Rate Design'!H28/100</f>
        <v>0.14063999999999999</v>
      </c>
      <c r="L51" s="261">
        <f>K51/D51-1</f>
        <v>0.13145615446500392</v>
      </c>
      <c r="M51" s="342">
        <f>D51+G51-K51</f>
        <v>0</v>
      </c>
      <c r="N51" s="342">
        <f>F51+G51+I51-J51+H51</f>
        <v>0</v>
      </c>
      <c r="O51" s="324">
        <f>G51*'Pres &amp; Prop Rev'!H31</f>
        <v>117941.05789999996</v>
      </c>
      <c r="P51" s="324"/>
      <c r="Q51" s="261"/>
      <c r="S51" s="262">
        <f>F51+G51</f>
        <v>0.13661999999999996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39">
        <f>'Rate Design'!H7/100</f>
        <v>0.11058</v>
      </c>
      <c r="E52" s="156">
        <f>F52-D52</f>
        <v>-4.0200000000000097E-3</v>
      </c>
      <c r="F52" s="139">
        <f>'Rate Design'!H17/100</f>
        <v>0.10655999999999999</v>
      </c>
      <c r="G52" s="155">
        <f>K52-D52</f>
        <v>1.4540000000000011E-2</v>
      </c>
      <c r="H52" s="155">
        <f>H51</f>
        <v>0</v>
      </c>
      <c r="I52" s="155">
        <v>0</v>
      </c>
      <c r="J52" s="139">
        <f t="shared" ref="J52:J55" si="12">F52+G52+I52+H52</f>
        <v>0.1211</v>
      </c>
      <c r="K52" s="550">
        <f>'Rate Design'!H29/100</f>
        <v>0.12512000000000001</v>
      </c>
      <c r="L52" s="261">
        <f>K52/D52-1</f>
        <v>0.13148851510218851</v>
      </c>
      <c r="M52" s="342">
        <f>D52+G52-K52</f>
        <v>0</v>
      </c>
      <c r="N52" s="342">
        <f t="shared" ref="N52:N55" si="13">F52+G52+I52-J52+H52</f>
        <v>0</v>
      </c>
      <c r="O52" s="324">
        <f>G52*'Pres &amp; Prop Rev'!H32</f>
        <v>103000.98196000008</v>
      </c>
      <c r="P52" s="324"/>
      <c r="Q52" s="261"/>
      <c r="S52" s="262">
        <f>F52+G52</f>
        <v>0.1211</v>
      </c>
    </row>
    <row r="53" spans="1:21">
      <c r="A53" s="207" t="str">
        <f>TEXT('Rate Design'!P7,"#,##0")&amp;" - "&amp;TEXT('Rate Design'!P8,"#,##0")&amp;" therms"</f>
        <v>50,000 - 300,000 therms</v>
      </c>
      <c r="D53" s="139">
        <f>'Rate Design'!H8/100</f>
        <v>9.9710000000000007E-2</v>
      </c>
      <c r="E53" s="156">
        <f>F53-D53</f>
        <v>-4.0200000000000097E-3</v>
      </c>
      <c r="F53" s="139">
        <f>'Rate Design'!H18/100</f>
        <v>9.5689999999999997E-2</v>
      </c>
      <c r="G53" s="155">
        <f>K53-D53</f>
        <v>1.3109999999999997E-2</v>
      </c>
      <c r="H53" s="155">
        <f>H51</f>
        <v>0</v>
      </c>
      <c r="I53" s="155">
        <v>0</v>
      </c>
      <c r="J53" s="139">
        <f t="shared" si="12"/>
        <v>0.10879999999999999</v>
      </c>
      <c r="K53" s="550">
        <f>'Rate Design'!H30/100</f>
        <v>0.11282</v>
      </c>
      <c r="L53" s="261">
        <f>K53/D53-1</f>
        <v>0.13148129575769718</v>
      </c>
      <c r="M53" s="342">
        <f>D53+G53-K53</f>
        <v>0</v>
      </c>
      <c r="N53" s="342">
        <f t="shared" si="13"/>
        <v>0</v>
      </c>
      <c r="O53" s="324">
        <f>G53*'Pres &amp; Prop Rev'!H33</f>
        <v>175599.19433999996</v>
      </c>
      <c r="P53" s="324"/>
      <c r="Q53" s="261"/>
      <c r="S53" s="262">
        <f>F53+G53</f>
        <v>0.10879999999999999</v>
      </c>
    </row>
    <row r="54" spans="1:21">
      <c r="A54" s="207" t="str">
        <f>TEXT('Rate Design'!P8,"#,##0")&amp;" - "&amp;TEXT('Rate Design'!P9,"#,##0")&amp;" therms"</f>
        <v>300,000 - 500,000 therms</v>
      </c>
      <c r="D54" s="139">
        <f>'Rate Design'!H9/100</f>
        <v>9.221E-2</v>
      </c>
      <c r="E54" s="156">
        <f>F54-D54</f>
        <v>-4.0200000000000097E-3</v>
      </c>
      <c r="F54" s="139">
        <f>'Rate Design'!H19/100</f>
        <v>8.8189999999999991E-2</v>
      </c>
      <c r="G54" s="155">
        <f>K54-D54</f>
        <v>1.2119999999999992E-2</v>
      </c>
      <c r="H54" s="155">
        <f>H51</f>
        <v>0</v>
      </c>
      <c r="I54" s="155">
        <v>0</v>
      </c>
      <c r="J54" s="139">
        <f t="shared" si="12"/>
        <v>0.10030999999999998</v>
      </c>
      <c r="K54" s="550">
        <f>'Rate Design'!H31/100</f>
        <v>0.10432999999999999</v>
      </c>
      <c r="L54" s="261">
        <f>K54/D54-1</f>
        <v>0.13143910638759349</v>
      </c>
      <c r="M54" s="342">
        <f>D54+G54-K54</f>
        <v>0</v>
      </c>
      <c r="N54" s="342">
        <f t="shared" si="13"/>
        <v>0</v>
      </c>
      <c r="O54" s="324">
        <f>G54*'Pres &amp; Prop Rev'!H34</f>
        <v>33025.557719999975</v>
      </c>
      <c r="P54" s="324"/>
      <c r="Q54" s="261"/>
      <c r="S54" s="262">
        <f>F54+G54</f>
        <v>0.10030999999999998</v>
      </c>
    </row>
    <row r="55" spans="1:21">
      <c r="A55" s="207" t="str">
        <f>"All over "&amp;TEXT('Rate Design'!P9,"#,##0")&amp;" therms"</f>
        <v>All over 500,000 therms</v>
      </c>
      <c r="D55" s="139">
        <f>'Rate Design'!H10/100</f>
        <v>6.93E-2</v>
      </c>
      <c r="E55" s="156">
        <f>F55-D55</f>
        <v>-4.0200000000000097E-3</v>
      </c>
      <c r="F55" s="139">
        <f>'Rate Design'!H20/100</f>
        <v>6.5279999999999991E-2</v>
      </c>
      <c r="G55" s="155">
        <f>K55-D55</f>
        <v>9.110000000000007E-3</v>
      </c>
      <c r="H55" s="155">
        <f>H51</f>
        <v>0</v>
      </c>
      <c r="I55" s="155">
        <v>0</v>
      </c>
      <c r="J55" s="139">
        <f t="shared" si="12"/>
        <v>7.4389999999999998E-2</v>
      </c>
      <c r="K55" s="550">
        <f>'Rate Design'!H32/100</f>
        <v>7.8410000000000007E-2</v>
      </c>
      <c r="L55" s="261">
        <f>K55/D55-1</f>
        <v>0.1314574314574315</v>
      </c>
      <c r="M55" s="342">
        <f>D55+G55-K55</f>
        <v>0</v>
      </c>
      <c r="N55" s="342">
        <f t="shared" si="13"/>
        <v>0</v>
      </c>
      <c r="O55" s="340">
        <f>G55*'Pres &amp; Prop Rev'!H35</f>
        <v>16145.361480000012</v>
      </c>
      <c r="P55" s="324"/>
      <c r="Q55" s="261"/>
      <c r="S55" s="262">
        <f>F55+G55</f>
        <v>7.4389999999999998E-2</v>
      </c>
    </row>
    <row r="56" spans="1:21">
      <c r="A56" s="207" t="s">
        <v>262</v>
      </c>
      <c r="D56" s="266" t="s">
        <v>263</v>
      </c>
      <c r="E56" s="270">
        <v>0.11058</v>
      </c>
      <c r="F56" s="260"/>
      <c r="G56" s="267"/>
      <c r="H56" s="267"/>
      <c r="I56" s="267"/>
      <c r="J56" s="267" t="s">
        <v>264</v>
      </c>
      <c r="K56" s="552">
        <f>K52</f>
        <v>0.12512000000000001</v>
      </c>
      <c r="L56" s="261">
        <f>K56/E56-1</f>
        <v>0.13148851510218851</v>
      </c>
      <c r="M56" s="261"/>
      <c r="N56" s="261"/>
      <c r="O56" s="324">
        <f>SUM(O49:O55)</f>
        <v>508712.15339999995</v>
      </c>
      <c r="P56" s="324">
        <f ca="1">O56-'Pres &amp; Prop Rev'!H195</f>
        <v>-6529.5571000005584</v>
      </c>
      <c r="Q56" s="261"/>
    </row>
    <row r="57" spans="1:21">
      <c r="D57" s="262"/>
      <c r="E57" s="262"/>
      <c r="F57" s="262"/>
      <c r="G57" s="139"/>
      <c r="H57" s="139"/>
      <c r="I57" s="139"/>
      <c r="J57" s="139"/>
      <c r="O57" s="324">
        <f>'Pres &amp; Prop Rev'!H156-'Pres &amp; Prop Rev'!H107</f>
        <v>6529.5505000000048</v>
      </c>
      <c r="P57" s="358" t="s">
        <v>365</v>
      </c>
    </row>
    <row r="58" spans="1:21">
      <c r="D58" s="262"/>
      <c r="E58" s="262"/>
      <c r="F58" s="262"/>
      <c r="G58" s="139"/>
      <c r="H58" s="139"/>
      <c r="I58" s="139"/>
      <c r="J58" s="139"/>
      <c r="O58" s="324"/>
      <c r="P58" s="324"/>
    </row>
    <row r="59" spans="1:21">
      <c r="D59" s="262"/>
      <c r="E59" s="262"/>
      <c r="F59" s="262"/>
      <c r="G59" s="139"/>
      <c r="H59" s="139"/>
      <c r="I59" s="139"/>
      <c r="J59" s="139"/>
      <c r="O59" s="324"/>
      <c r="P59" s="324"/>
    </row>
    <row r="60" spans="1:21">
      <c r="D60" s="262"/>
      <c r="E60" s="262"/>
      <c r="F60" s="262"/>
      <c r="G60" s="139"/>
      <c r="H60" s="139"/>
      <c r="I60" s="139"/>
      <c r="J60" s="139"/>
      <c r="O60" s="324"/>
      <c r="P60" s="324"/>
    </row>
    <row r="61" spans="1:21">
      <c r="A61" s="406" t="s">
        <v>632</v>
      </c>
      <c r="O61" s="324">
        <f>O17+O27+O46+O56</f>
        <v>17290051.446936</v>
      </c>
      <c r="P61" s="324">
        <f ca="1">P17+P27+P46+P56</f>
        <v>-2819.6638579784048</v>
      </c>
    </row>
    <row r="62" spans="1:21">
      <c r="A62" s="411" t="s">
        <v>633</v>
      </c>
      <c r="O62" s="324"/>
      <c r="P62" s="324">
        <f ca="1">'Pres &amp; Prop Rev'!C190-'Pres &amp; Prop Rev'!C142</f>
        <v>-3709.9099999999744</v>
      </c>
      <c r="Q62" s="349" t="s">
        <v>364</v>
      </c>
    </row>
    <row r="63" spans="1:21">
      <c r="A63" s="192" t="s">
        <v>634</v>
      </c>
      <c r="O63" s="324"/>
      <c r="P63" s="324">
        <f>O57</f>
        <v>6529.5505000000048</v>
      </c>
      <c r="Q63" s="349" t="s">
        <v>637</v>
      </c>
    </row>
    <row r="64" spans="1:21" ht="13.5" thickBot="1">
      <c r="O64" s="324"/>
      <c r="P64" s="347">
        <f ca="1">SUM(P61:P63)</f>
        <v>-2.335797837440623E-2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86" orientation="portrait" r:id="rId1"/>
  <headerFooter alignWithMargins="0">
    <oddHeader>&amp;R&amp;14JDM-7</oddHeader>
    <oddFooter>&amp;R&amp;12Page 3 of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5"/>
      <c r="H10" s="175"/>
    </row>
    <row r="11" spans="1:8">
      <c r="A11" s="157"/>
      <c r="F11" s="133"/>
    </row>
    <row r="21" spans="1:6">
      <c r="A21" s="201"/>
    </row>
    <row r="24" spans="1:6">
      <c r="F24" s="34">
        <f>ROUND(F11-'Pres &amp; Prop Rev'!J113,0)</f>
        <v>0</v>
      </c>
    </row>
  </sheetData>
  <phoneticPr fontId="17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15B3-3450-40F3-B2B3-8AAA38EDCF59}">
  <sheetPr>
    <tabColor rgb="FF00B050"/>
    <pageSetUpPr fitToPage="1"/>
  </sheetPr>
  <dimension ref="A1:M52"/>
  <sheetViews>
    <sheetView workbookViewId="0">
      <selection activeCell="K29" sqref="K29"/>
    </sheetView>
  </sheetViews>
  <sheetFormatPr defaultColWidth="11.42578125" defaultRowHeight="12.75"/>
  <cols>
    <col min="1" max="1" width="5.7109375" style="349" customWidth="1"/>
    <col min="2" max="2" width="21.42578125" style="349" customWidth="1"/>
    <col min="3" max="3" width="7.7109375" style="351" customWidth="1"/>
    <col min="4" max="5" width="9.7109375" style="349" customWidth="1"/>
    <col min="6" max="6" width="8.7109375" style="349" customWidth="1"/>
    <col min="7" max="7" width="1.7109375" style="349" customWidth="1"/>
    <col min="8" max="8" width="8.85546875" style="351" customWidth="1"/>
    <col min="9" max="9" width="1.7109375" style="351" customWidth="1"/>
    <col min="10" max="11" width="9.7109375" style="349" customWidth="1"/>
    <col min="12" max="12" width="9" style="349" customWidth="1"/>
    <col min="13" max="16384" width="11.42578125" style="349"/>
  </cols>
  <sheetData>
    <row r="1" spans="1:13">
      <c r="A1" s="36" t="s">
        <v>96</v>
      </c>
      <c r="B1" s="1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3">
      <c r="A2" s="36" t="s">
        <v>284</v>
      </c>
      <c r="B2" s="143"/>
      <c r="C2" s="243"/>
      <c r="D2" s="243"/>
      <c r="E2" s="243"/>
      <c r="F2" s="243"/>
      <c r="G2" s="243"/>
      <c r="H2" s="243"/>
      <c r="I2" s="243"/>
      <c r="J2" s="243"/>
      <c r="K2" s="243"/>
      <c r="L2" s="243"/>
    </row>
    <row r="3" spans="1:13">
      <c r="A3" s="36" t="s">
        <v>621</v>
      </c>
      <c r="B3" s="143"/>
      <c r="C3" s="243"/>
      <c r="D3" s="243"/>
      <c r="E3" s="243"/>
      <c r="F3" s="243"/>
      <c r="G3" s="243"/>
      <c r="H3" s="243"/>
      <c r="I3" s="243"/>
      <c r="J3" s="243"/>
      <c r="K3" s="243"/>
      <c r="L3" s="243"/>
    </row>
    <row r="4" spans="1:13">
      <c r="A4" s="145" t="s">
        <v>522</v>
      </c>
      <c r="B4" s="1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6" spans="1:13" s="351" customFormat="1">
      <c r="C6" s="349"/>
      <c r="H6" s="349"/>
      <c r="I6" s="349"/>
      <c r="J6" s="349"/>
      <c r="K6" s="349"/>
      <c r="L6" s="349"/>
    </row>
    <row r="7" spans="1:13" s="351" customFormat="1">
      <c r="C7" s="349"/>
      <c r="H7" s="349"/>
      <c r="I7" s="349"/>
      <c r="J7" s="349"/>
      <c r="K7" s="349"/>
      <c r="L7" s="349"/>
    </row>
    <row r="8" spans="1:13" s="351" customFormat="1">
      <c r="J8" s="349"/>
      <c r="K8" s="349"/>
      <c r="L8" s="349"/>
    </row>
    <row r="9" spans="1:13" s="351" customFormat="1">
      <c r="C9" s="350"/>
      <c r="D9" s="72" t="s">
        <v>622</v>
      </c>
      <c r="E9" s="72"/>
      <c r="F9" s="243"/>
      <c r="G9" s="243"/>
      <c r="H9" s="351" t="s">
        <v>223</v>
      </c>
      <c r="J9" s="72" t="s">
        <v>623</v>
      </c>
      <c r="K9" s="72"/>
      <c r="L9" s="243"/>
    </row>
    <row r="10" spans="1:13" s="351" customFormat="1">
      <c r="C10" s="350"/>
      <c r="D10" s="351" t="s">
        <v>204</v>
      </c>
      <c r="E10" s="350" t="s">
        <v>204</v>
      </c>
      <c r="F10" s="350" t="s">
        <v>204</v>
      </c>
      <c r="G10" s="350"/>
      <c r="H10" s="351" t="s">
        <v>224</v>
      </c>
      <c r="J10" s="351" t="s">
        <v>216</v>
      </c>
      <c r="K10" s="350" t="s">
        <v>216</v>
      </c>
      <c r="L10" s="350" t="s">
        <v>216</v>
      </c>
    </row>
    <row r="11" spans="1:13" s="351" customFormat="1">
      <c r="A11" s="351" t="s">
        <v>190</v>
      </c>
      <c r="B11" s="351" t="s">
        <v>215</v>
      </c>
      <c r="C11" s="351" t="s">
        <v>624</v>
      </c>
      <c r="D11" s="351" t="s">
        <v>625</v>
      </c>
      <c r="E11" s="350" t="s">
        <v>626</v>
      </c>
      <c r="F11" s="350" t="s">
        <v>627</v>
      </c>
      <c r="G11" s="350"/>
      <c r="H11" s="351" t="s">
        <v>206</v>
      </c>
      <c r="J11" s="351" t="s">
        <v>625</v>
      </c>
      <c r="K11" s="350" t="s">
        <v>626</v>
      </c>
      <c r="L11" s="350" t="s">
        <v>627</v>
      </c>
    </row>
    <row r="12" spans="1:13" s="351" customFormat="1">
      <c r="A12" s="41" t="s">
        <v>191</v>
      </c>
      <c r="B12" s="41" t="s">
        <v>218</v>
      </c>
      <c r="C12" s="41" t="s">
        <v>219</v>
      </c>
      <c r="D12" s="41" t="s">
        <v>627</v>
      </c>
      <c r="E12" s="38" t="s">
        <v>628</v>
      </c>
      <c r="F12" s="38" t="s">
        <v>628</v>
      </c>
      <c r="G12" s="38"/>
      <c r="H12" s="41" t="s">
        <v>210</v>
      </c>
      <c r="I12" s="41"/>
      <c r="J12" s="41" t="s">
        <v>627</v>
      </c>
      <c r="K12" s="38" t="s">
        <v>628</v>
      </c>
      <c r="L12" s="38" t="s">
        <v>628</v>
      </c>
      <c r="M12" s="41"/>
    </row>
    <row r="13" spans="1:13" s="351" customFormat="1">
      <c r="B13" s="351" t="s">
        <v>193</v>
      </c>
      <c r="C13" s="351" t="s">
        <v>194</v>
      </c>
      <c r="D13" s="351" t="s">
        <v>195</v>
      </c>
      <c r="E13" s="350" t="s">
        <v>196</v>
      </c>
      <c r="F13" s="350" t="s">
        <v>197</v>
      </c>
      <c r="G13" s="350"/>
      <c r="H13" s="351" t="s">
        <v>198</v>
      </c>
      <c r="J13" s="351" t="s">
        <v>211</v>
      </c>
      <c r="K13" s="350" t="s">
        <v>220</v>
      </c>
      <c r="L13" s="350" t="s">
        <v>266</v>
      </c>
    </row>
    <row r="14" spans="1:13" s="351" customFormat="1">
      <c r="D14" s="594"/>
      <c r="E14" s="595"/>
      <c r="F14" s="595"/>
      <c r="G14" s="350"/>
      <c r="K14" s="350"/>
      <c r="L14" s="350"/>
    </row>
    <row r="15" spans="1:13">
      <c r="A15" s="351">
        <v>1</v>
      </c>
      <c r="B15" s="349" t="s">
        <v>199</v>
      </c>
      <c r="C15" s="253" t="s">
        <v>226</v>
      </c>
      <c r="D15" s="596">
        <f>ROR!D20</f>
        <v>4.7707933945016462E-2</v>
      </c>
      <c r="E15" s="597">
        <v>0.97</v>
      </c>
      <c r="F15" s="597">
        <f>ROR!D21</f>
        <v>0.88522943869909931</v>
      </c>
      <c r="G15" s="597"/>
      <c r="H15" s="598">
        <f>ROR!D47</f>
        <v>0.13798793482559057</v>
      </c>
      <c r="I15" s="598"/>
      <c r="J15" s="596">
        <f>ROR!D38</f>
        <v>7.094454479696663E-2</v>
      </c>
      <c r="K15" s="597">
        <v>0.97</v>
      </c>
      <c r="L15" s="597">
        <f>ROR!D37</f>
        <v>0.93225405037651876</v>
      </c>
      <c r="M15" s="359"/>
    </row>
    <row r="16" spans="1:13">
      <c r="A16" s="351">
        <v>2</v>
      </c>
      <c r="B16" s="349" t="s">
        <v>200</v>
      </c>
      <c r="C16" s="253" t="s">
        <v>227</v>
      </c>
      <c r="D16" s="596">
        <f>ROR!E20</f>
        <v>8.5014963876148278E-2</v>
      </c>
      <c r="E16" s="597">
        <v>1.21</v>
      </c>
      <c r="F16" s="597">
        <f>ROR!E21</f>
        <v>1.5774682014073744</v>
      </c>
      <c r="G16" s="597"/>
      <c r="H16" s="598">
        <f>ROR!E47</f>
        <v>0.13799690620646343</v>
      </c>
      <c r="I16" s="598"/>
      <c r="J16" s="596">
        <f>ROR!E38</f>
        <v>0.10490869653457528</v>
      </c>
      <c r="K16" s="597">
        <v>1.21</v>
      </c>
      <c r="L16" s="597">
        <f>ROR!E37</f>
        <v>1.3785634617005897</v>
      </c>
      <c r="M16" s="359"/>
    </row>
    <row r="17" spans="1:13" hidden="1">
      <c r="A17" s="351">
        <v>3</v>
      </c>
      <c r="B17" s="255" t="s">
        <v>542</v>
      </c>
      <c r="C17" s="253"/>
      <c r="D17" s="596"/>
      <c r="E17" s="597"/>
      <c r="F17" s="597"/>
      <c r="G17" s="597"/>
      <c r="H17" s="598"/>
      <c r="I17" s="598"/>
      <c r="J17" s="596"/>
      <c r="K17" s="597"/>
      <c r="L17" s="597"/>
      <c r="M17" s="359"/>
    </row>
    <row r="18" spans="1:13">
      <c r="A18" s="351">
        <v>3</v>
      </c>
      <c r="B18" s="349" t="s">
        <v>221</v>
      </c>
      <c r="C18" s="253" t="s">
        <v>629</v>
      </c>
      <c r="D18" s="596">
        <f>ROR!G20</f>
        <v>0.10251952493777391</v>
      </c>
      <c r="E18" s="597">
        <v>1.34</v>
      </c>
      <c r="F18" s="597">
        <f>ROR!G21</f>
        <v>1.9022685329647133</v>
      </c>
      <c r="G18" s="597"/>
      <c r="H18" s="598">
        <f>ROR!G47</f>
        <v>0.13919812705137025</v>
      </c>
      <c r="I18" s="598"/>
      <c r="J18" s="596">
        <f>ROR!G38</f>
        <v>0.12266895693462107</v>
      </c>
      <c r="K18" s="597">
        <v>1.34</v>
      </c>
      <c r="L18" s="597">
        <f>ROR!G37</f>
        <v>1.6119439808239191</v>
      </c>
      <c r="M18" s="359"/>
    </row>
    <row r="19" spans="1:13">
      <c r="A19" s="351">
        <v>4</v>
      </c>
      <c r="B19" s="349" t="s">
        <v>201</v>
      </c>
      <c r="C19" s="253" t="s">
        <v>228</v>
      </c>
      <c r="D19" s="596">
        <f>ROR!H20</f>
        <v>2.2092470406986947E-2</v>
      </c>
      <c r="E19" s="597">
        <v>0.74</v>
      </c>
      <c r="F19" s="597">
        <f>ROR!H21</f>
        <v>0.40992982845144604</v>
      </c>
      <c r="G19" s="597"/>
      <c r="H19" s="598">
        <f>ROR!H47</f>
        <v>0.137928580109552</v>
      </c>
      <c r="I19" s="598"/>
      <c r="J19" s="596">
        <f>ROR!H38</f>
        <v>3.732345461182443E-2</v>
      </c>
      <c r="K19" s="597">
        <v>0.74</v>
      </c>
      <c r="L19" s="597">
        <f>ROR!H37</f>
        <v>0.49045267448675223</v>
      </c>
      <c r="M19" s="359"/>
    </row>
    <row r="20" spans="1:13">
      <c r="A20" s="351">
        <v>5</v>
      </c>
      <c r="B20" s="256" t="s">
        <v>58</v>
      </c>
      <c r="D20" s="596">
        <f>ROR!C20</f>
        <v>5.3893298007719095E-2</v>
      </c>
      <c r="E20" s="597">
        <v>1</v>
      </c>
      <c r="F20" s="597">
        <f>ROR!C21</f>
        <v>1</v>
      </c>
      <c r="G20" s="597"/>
      <c r="H20" s="598">
        <f>ROR!C47</f>
        <v>0.13799404709656327</v>
      </c>
      <c r="I20" s="598"/>
      <c r="J20" s="596">
        <f>ROR!C38</f>
        <v>7.6100012403607739E-2</v>
      </c>
      <c r="K20" s="597">
        <v>1</v>
      </c>
      <c r="L20" s="597">
        <f>ROR!C37</f>
        <v>1</v>
      </c>
      <c r="M20" s="359"/>
    </row>
    <row r="21" spans="1:13">
      <c r="D21" s="354"/>
      <c r="E21" s="354"/>
      <c r="F21" s="354"/>
      <c r="H21" s="599"/>
      <c r="I21" s="599"/>
      <c r="J21" s="196"/>
    </row>
    <row r="22" spans="1:13">
      <c r="D22" s="354"/>
      <c r="E22" s="354"/>
      <c r="F22" s="354"/>
      <c r="H22" s="349"/>
      <c r="I22" s="349"/>
    </row>
    <row r="23" spans="1:13">
      <c r="D23" s="354"/>
      <c r="E23" s="354"/>
      <c r="F23" s="354"/>
    </row>
    <row r="24" spans="1:13">
      <c r="D24" s="354"/>
      <c r="E24" s="354"/>
      <c r="F24" s="354"/>
    </row>
    <row r="25" spans="1:13">
      <c r="D25" s="354"/>
      <c r="E25" s="354"/>
      <c r="F25" s="354"/>
    </row>
    <row r="26" spans="1:13">
      <c r="D26" s="354"/>
      <c r="E26" s="354"/>
      <c r="F26" s="354"/>
    </row>
    <row r="27" spans="1:13">
      <c r="D27" s="354"/>
      <c r="E27" s="354"/>
      <c r="F27" s="354"/>
    </row>
    <row r="28" spans="1:13">
      <c r="D28" s="354"/>
      <c r="E28" s="354"/>
    </row>
    <row r="29" spans="1:13">
      <c r="D29" s="354"/>
      <c r="E29" s="354"/>
    </row>
    <row r="30" spans="1:13">
      <c r="D30" s="354"/>
      <c r="E30" s="354"/>
    </row>
    <row r="31" spans="1:13">
      <c r="D31" s="354"/>
      <c r="E31" s="354"/>
    </row>
    <row r="32" spans="1:13">
      <c r="D32" s="354"/>
      <c r="E32" s="354"/>
      <c r="F32" s="354"/>
    </row>
    <row r="33" spans="4:6">
      <c r="D33" s="354"/>
      <c r="E33" s="354"/>
      <c r="F33" s="354"/>
    </row>
    <row r="34" spans="4:6">
      <c r="D34" s="354"/>
      <c r="E34" s="354"/>
    </row>
    <row r="35" spans="4:6">
      <c r="D35" s="354"/>
      <c r="E35" s="354"/>
      <c r="F35" s="354"/>
    </row>
    <row r="36" spans="4:6">
      <c r="D36" s="354"/>
      <c r="E36" s="354"/>
      <c r="F36" s="354"/>
    </row>
    <row r="37" spans="4:6">
      <c r="D37" s="354"/>
      <c r="E37" s="354"/>
      <c r="F37" s="354"/>
    </row>
    <row r="38" spans="4:6">
      <c r="D38" s="354"/>
      <c r="E38" s="354"/>
      <c r="F38" s="354"/>
    </row>
    <row r="39" spans="4:6">
      <c r="D39" s="354"/>
      <c r="E39" s="354"/>
      <c r="F39" s="354"/>
    </row>
    <row r="40" spans="4:6">
      <c r="D40" s="354"/>
      <c r="E40" s="354"/>
    </row>
    <row r="41" spans="4:6">
      <c r="D41" s="354"/>
      <c r="E41" s="354"/>
    </row>
    <row r="42" spans="4:6">
      <c r="D42" s="354"/>
      <c r="E42" s="354"/>
    </row>
    <row r="43" spans="4:6">
      <c r="D43" s="354"/>
      <c r="E43" s="354"/>
      <c r="F43" s="354"/>
    </row>
    <row r="44" spans="4:6">
      <c r="D44" s="354"/>
      <c r="E44" s="354"/>
      <c r="F44" s="354"/>
    </row>
    <row r="45" spans="4:6">
      <c r="D45" s="354"/>
      <c r="E45" s="354"/>
      <c r="F45" s="354"/>
    </row>
    <row r="46" spans="4:6">
      <c r="D46" s="354"/>
      <c r="E46" s="354"/>
      <c r="F46" s="354"/>
    </row>
    <row r="47" spans="4:6">
      <c r="D47" s="354"/>
      <c r="E47" s="354"/>
      <c r="F47" s="354"/>
    </row>
    <row r="48" spans="4:6">
      <c r="D48" s="354"/>
      <c r="E48" s="354"/>
      <c r="F48" s="354"/>
    </row>
    <row r="49" spans="4:6">
      <c r="D49" s="354"/>
      <c r="E49" s="354"/>
      <c r="F49" s="354"/>
    </row>
    <row r="50" spans="4:6">
      <c r="D50" s="354"/>
      <c r="E50" s="354"/>
      <c r="F50" s="354"/>
    </row>
    <row r="51" spans="4:6">
      <c r="D51" s="354"/>
      <c r="E51" s="354"/>
      <c r="F51" s="354"/>
    </row>
    <row r="52" spans="4:6">
      <c r="D52" s="354"/>
      <c r="E52" s="354"/>
      <c r="F52" s="354"/>
    </row>
  </sheetData>
  <pageMargins left="0.7" right="0.7" top="0.75" bottom="0.75" header="0.3" footer="0.3"/>
  <pageSetup scale="94" orientation="portrait" r:id="rId1"/>
  <headerFooter>
    <oddHeader>&amp;R&amp;14JDM-7</oddHeader>
    <oddFooter>&amp;R&amp;12Page 2 of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738B-6908-4626-A22A-C468CF8A363B}">
  <dimension ref="B1:R94"/>
  <sheetViews>
    <sheetView workbookViewId="0">
      <selection activeCell="F91" sqref="F91"/>
    </sheetView>
  </sheetViews>
  <sheetFormatPr defaultRowHeight="12.75"/>
  <cols>
    <col min="1" max="1" width="1.7109375" customWidth="1"/>
    <col min="2" max="2" width="42" customWidth="1"/>
    <col min="3" max="3" width="14.85546875" bestFit="1" customWidth="1"/>
    <col min="4" max="4" width="14.5703125" bestFit="1" customWidth="1"/>
    <col min="5" max="5" width="14" bestFit="1" customWidth="1"/>
    <col min="6" max="6" width="13.85546875" bestFit="1" customWidth="1"/>
    <col min="7" max="8" width="12.7109375" customWidth="1"/>
    <col min="9" max="9" width="14.140625" bestFit="1" customWidth="1"/>
    <col min="11" max="11" width="16" bestFit="1" customWidth="1"/>
    <col min="12" max="12" width="12.7109375" bestFit="1" customWidth="1"/>
    <col min="13" max="13" width="10.5703125" bestFit="1" customWidth="1"/>
    <col min="14" max="14" width="9.85546875" bestFit="1" customWidth="1"/>
    <col min="15" max="15" width="10.5703125" bestFit="1" customWidth="1"/>
  </cols>
  <sheetData>
    <row r="1" spans="2:18">
      <c r="B1" s="36" t="s">
        <v>96</v>
      </c>
      <c r="C1" s="49"/>
      <c r="D1" s="49"/>
      <c r="E1" s="49"/>
      <c r="F1" s="49"/>
      <c r="G1" s="49"/>
      <c r="H1" s="49"/>
    </row>
    <row r="2" spans="2:18">
      <c r="B2" s="36" t="s">
        <v>269</v>
      </c>
      <c r="C2" s="49"/>
      <c r="D2" s="49"/>
      <c r="E2" s="49"/>
      <c r="F2" s="49"/>
      <c r="G2" s="49"/>
      <c r="H2" s="49"/>
    </row>
    <row r="3" spans="2:18">
      <c r="B3" s="36" t="s">
        <v>540</v>
      </c>
      <c r="C3" s="49"/>
      <c r="D3" s="49"/>
      <c r="E3" s="49"/>
      <c r="F3" s="49"/>
      <c r="G3" s="49"/>
      <c r="H3" s="49"/>
    </row>
    <row r="4" spans="2:18">
      <c r="B4" s="36" t="s">
        <v>522</v>
      </c>
      <c r="C4" s="49"/>
      <c r="D4" s="49"/>
      <c r="E4" s="49"/>
      <c r="F4" s="49"/>
      <c r="G4" s="49"/>
      <c r="H4" s="49"/>
    </row>
    <row r="5" spans="2:18">
      <c r="B5" s="36"/>
      <c r="C5" s="49"/>
      <c r="D5" s="49"/>
      <c r="E5" s="49"/>
      <c r="F5" s="49"/>
      <c r="G5" s="49"/>
      <c r="H5" s="49"/>
    </row>
    <row r="7" spans="2:18">
      <c r="C7" s="148" t="s">
        <v>58</v>
      </c>
      <c r="D7" s="350" t="s">
        <v>541</v>
      </c>
      <c r="E7" s="350" t="s">
        <v>59</v>
      </c>
      <c r="F7" s="350" t="s">
        <v>542</v>
      </c>
      <c r="G7" s="350" t="s">
        <v>61</v>
      </c>
      <c r="H7" s="350" t="s">
        <v>543</v>
      </c>
    </row>
    <row r="8" spans="2:18">
      <c r="B8" t="s">
        <v>544</v>
      </c>
      <c r="C8" s="34">
        <f>SUM(D8:H8)</f>
        <v>586084000.00000012</v>
      </c>
      <c r="D8" s="553">
        <v>443742781.13494229</v>
      </c>
      <c r="E8" s="553">
        <v>112001122.20080884</v>
      </c>
      <c r="F8" s="553">
        <v>0</v>
      </c>
      <c r="G8" s="553">
        <v>2783756.4636504259</v>
      </c>
      <c r="H8" s="553">
        <v>27556340.200598512</v>
      </c>
      <c r="I8" s="35" t="s">
        <v>545</v>
      </c>
      <c r="J8" t="s">
        <v>546</v>
      </c>
      <c r="M8" s="282">
        <f>D8/$C$8</f>
        <v>0.75713171001928425</v>
      </c>
      <c r="N8" s="282">
        <f>E8/$C$8</f>
        <v>0.19110080159296075</v>
      </c>
      <c r="O8" s="282">
        <f>F8/$C$8</f>
        <v>0</v>
      </c>
      <c r="P8" s="282">
        <f t="shared" ref="P8:Q8" si="0">G8/$C$8</f>
        <v>4.7497567987701854E-3</v>
      </c>
      <c r="Q8" s="282">
        <f t="shared" si="0"/>
        <v>4.7017731588984694E-2</v>
      </c>
      <c r="R8" s="282"/>
    </row>
    <row r="9" spans="2:18">
      <c r="D9" s="43"/>
      <c r="E9" s="43"/>
      <c r="F9" s="43"/>
      <c r="G9" s="43"/>
      <c r="H9" s="43"/>
    </row>
    <row r="10" spans="2:18">
      <c r="B10" t="s">
        <v>547</v>
      </c>
      <c r="C10" s="34">
        <f>SUM(D10:H10)</f>
        <v>125316999.99999999</v>
      </c>
      <c r="D10" s="554">
        <v>97109939.480845869</v>
      </c>
      <c r="E10" s="554">
        <v>23833867.659896482</v>
      </c>
      <c r="F10" s="554">
        <v>0</v>
      </c>
      <c r="G10" s="554">
        <v>639376.41895967908</v>
      </c>
      <c r="H10" s="554">
        <v>3733816.4402979673</v>
      </c>
      <c r="I10" s="35" t="s">
        <v>545</v>
      </c>
      <c r="J10" t="s">
        <v>548</v>
      </c>
      <c r="M10" s="282">
        <f>D10/$C$10</f>
        <v>0.77491433309803048</v>
      </c>
      <c r="N10" s="282">
        <f>E10/$C$10</f>
        <v>0.19018862293141781</v>
      </c>
      <c r="O10" s="282">
        <f>F10/$C$10</f>
        <v>0</v>
      </c>
      <c r="P10" s="282">
        <f t="shared" ref="P10:Q10" si="1">G10/$C$10</f>
        <v>5.1020724958280132E-3</v>
      </c>
      <c r="Q10" s="282">
        <f t="shared" si="1"/>
        <v>2.9794971474723844E-2</v>
      </c>
    </row>
    <row r="11" spans="2:18">
      <c r="B11" t="s">
        <v>549</v>
      </c>
      <c r="C11" s="34">
        <f>SUM(D11:H11)</f>
        <v>2377000.0000000037</v>
      </c>
      <c r="D11" s="554">
        <v>1728030.9144883901</v>
      </c>
      <c r="E11" s="554">
        <v>578922.90219163895</v>
      </c>
      <c r="F11" s="554">
        <v>0</v>
      </c>
      <c r="G11" s="554">
        <v>15438.043152219383</v>
      </c>
      <c r="H11" s="554">
        <v>54608.140167755075</v>
      </c>
      <c r="I11" s="35" t="s">
        <v>545</v>
      </c>
      <c r="J11" t="s">
        <v>550</v>
      </c>
    </row>
    <row r="12" spans="2:18">
      <c r="B12" s="35" t="s">
        <v>551</v>
      </c>
      <c r="C12" s="555">
        <f>IF(ROUND(C10+C11,0)&lt;&gt;ROUND(SUM(D12:H12),0),#VALUE!,SUM(D12:H12))</f>
        <v>127694000</v>
      </c>
      <c r="D12" s="555">
        <f>D10+D11</f>
        <v>98837970.395334259</v>
      </c>
      <c r="E12" s="555">
        <f>E10+E11</f>
        <v>24412790.562088121</v>
      </c>
      <c r="F12" s="555">
        <f>F10+F11</f>
        <v>0</v>
      </c>
      <c r="G12" s="555">
        <f>G10+G11</f>
        <v>654814.46211189847</v>
      </c>
      <c r="H12" s="555">
        <f>H10+H11</f>
        <v>3788424.5804657224</v>
      </c>
    </row>
    <row r="13" spans="2:18">
      <c r="C13" s="34"/>
      <c r="D13" s="34"/>
      <c r="E13" s="34"/>
      <c r="F13" s="34"/>
      <c r="G13" s="34"/>
      <c r="H13" s="34"/>
    </row>
    <row r="14" spans="2:18">
      <c r="B14" t="s">
        <v>552</v>
      </c>
      <c r="C14" s="34">
        <f>SUM(D14:H14)</f>
        <v>93142256.330443963</v>
      </c>
      <c r="D14" s="254">
        <f>D17-D15-D16</f>
        <v>75763463.514113858</v>
      </c>
      <c r="E14" s="254">
        <f>E17-E15-E16</f>
        <v>13881826.088408601</v>
      </c>
      <c r="F14" s="254">
        <f>F17-F15-F16</f>
        <v>0</v>
      </c>
      <c r="G14" s="254">
        <f>G17-G15-G16</f>
        <v>337988.93926411594</v>
      </c>
      <c r="H14" s="254">
        <f>H17-H15-H16</f>
        <v>3158977.7886573751</v>
      </c>
      <c r="I14" s="34"/>
    </row>
    <row r="15" spans="2:18">
      <c r="B15" t="s">
        <v>553</v>
      </c>
      <c r="C15" s="34">
        <f>SUM(D15:H15)</f>
        <v>432744</v>
      </c>
      <c r="D15" s="254">
        <v>335339.5281621741</v>
      </c>
      <c r="E15" s="254">
        <v>82302.985441833443</v>
      </c>
      <c r="F15" s="254">
        <v>0</v>
      </c>
      <c r="G15" s="254">
        <v>2207.8912601345978</v>
      </c>
      <c r="H15" s="254">
        <v>12893.595135857893</v>
      </c>
      <c r="I15" s="35" t="s">
        <v>545</v>
      </c>
      <c r="J15" t="s">
        <v>554</v>
      </c>
    </row>
    <row r="16" spans="2:18">
      <c r="B16" t="s">
        <v>555</v>
      </c>
      <c r="C16" s="34">
        <f>SUM(D16:H16)</f>
        <v>2533000.0000000009</v>
      </c>
      <c r="D16" s="554">
        <v>1569116.0620944963</v>
      </c>
      <c r="E16" s="554">
        <v>926890.1302478537</v>
      </c>
      <c r="F16" s="554">
        <v>0</v>
      </c>
      <c r="G16" s="554">
        <v>29228.241391748757</v>
      </c>
      <c r="H16" s="554">
        <v>7765.5662659018635</v>
      </c>
      <c r="I16" s="35" t="s">
        <v>545</v>
      </c>
      <c r="J16" t="s">
        <v>556</v>
      </c>
    </row>
    <row r="17" spans="2:17">
      <c r="B17" s="35" t="s">
        <v>557</v>
      </c>
      <c r="C17" s="555">
        <f>IF(ROUND(SUM(C14:C16),0)&lt;&gt;ROUND(SUM(D17:H17),0),#VALUE!,SUM(D17:H17))</f>
        <v>96108000.330443949</v>
      </c>
      <c r="D17" s="553">
        <v>77667919.104370534</v>
      </c>
      <c r="E17" s="553">
        <v>14891019.204098288</v>
      </c>
      <c r="F17" s="553">
        <v>0</v>
      </c>
      <c r="G17" s="553">
        <v>369425.07191599929</v>
      </c>
      <c r="H17" s="553">
        <v>3179636.950059135</v>
      </c>
      <c r="I17" s="35" t="s">
        <v>545</v>
      </c>
      <c r="J17" t="s">
        <v>558</v>
      </c>
      <c r="M17" s="282">
        <f>D17/$C$17</f>
        <v>0.80813167308994371</v>
      </c>
      <c r="N17" s="282">
        <f>E17/$C$17</f>
        <v>0.15494047480853981</v>
      </c>
      <c r="O17" s="282">
        <f>F17/$C$17</f>
        <v>0</v>
      </c>
      <c r="P17" s="282">
        <f t="shared" ref="P17:Q17" si="2">G17/$C$17</f>
        <v>3.8438534840577387E-3</v>
      </c>
      <c r="Q17" s="282">
        <f t="shared" si="2"/>
        <v>3.3083998617458775E-2</v>
      </c>
    </row>
    <row r="18" spans="2:17">
      <c r="C18" s="34"/>
      <c r="D18" s="34"/>
      <c r="E18" s="34"/>
      <c r="F18" s="34"/>
      <c r="G18" s="34"/>
      <c r="H18" s="34"/>
      <c r="M18" s="282">
        <f>D17/D8</f>
        <v>0.17502914392369956</v>
      </c>
      <c r="N18" s="282">
        <f>E17/E8</f>
        <v>0.13295419645349543</v>
      </c>
      <c r="O18" s="282" t="e">
        <f>F17/F8</f>
        <v>#DIV/0!</v>
      </c>
      <c r="P18" s="282">
        <f t="shared" ref="P18:Q18" si="3">G17/G8</f>
        <v>0.13270739618923444</v>
      </c>
      <c r="Q18" s="282">
        <f t="shared" si="3"/>
        <v>0.1153867649663461</v>
      </c>
    </row>
    <row r="19" spans="2:17">
      <c r="B19" s="29" t="s">
        <v>559</v>
      </c>
      <c r="C19" s="556">
        <f>IF(ROUND(C12-C17,0)&lt;&gt;ROUND(SUM(D19:H19),0),#VALUE!,SUM(D19:H19))</f>
        <v>31585999.669556044</v>
      </c>
      <c r="D19" s="556">
        <f>D12-D17</f>
        <v>21170051.290963724</v>
      </c>
      <c r="E19" s="556">
        <f>E12-E17</f>
        <v>9521771.3579898328</v>
      </c>
      <c r="F19" s="556">
        <f>F12-F17</f>
        <v>0</v>
      </c>
      <c r="G19" s="556">
        <f>G12-G17</f>
        <v>285389.39019589918</v>
      </c>
      <c r="H19" s="556">
        <f>H12-H17</f>
        <v>608787.63040658738</v>
      </c>
    </row>
    <row r="20" spans="2:17">
      <c r="B20" s="29" t="s">
        <v>560</v>
      </c>
      <c r="C20" s="142">
        <f t="shared" ref="C20:G20" si="4">C19/C8</f>
        <v>5.3893298007719095E-2</v>
      </c>
      <c r="D20" s="142">
        <f>D19/D8</f>
        <v>4.7707933945016462E-2</v>
      </c>
      <c r="E20" s="142">
        <f t="shared" si="4"/>
        <v>8.5014963876148278E-2</v>
      </c>
      <c r="F20" s="142" t="e">
        <f t="shared" si="4"/>
        <v>#DIV/0!</v>
      </c>
      <c r="G20" s="142">
        <f t="shared" si="4"/>
        <v>0.10251952493777391</v>
      </c>
      <c r="H20" s="142">
        <f>H19/H8</f>
        <v>2.2092470406986947E-2</v>
      </c>
    </row>
    <row r="21" spans="2:17">
      <c r="B21" s="29" t="s">
        <v>561</v>
      </c>
      <c r="C21" s="557">
        <f t="shared" ref="C21:G21" si="5">C20/$C20</f>
        <v>1</v>
      </c>
      <c r="D21" s="557">
        <f>D20/$C20</f>
        <v>0.88522943869909931</v>
      </c>
      <c r="E21" s="557">
        <f t="shared" si="5"/>
        <v>1.5774682014073744</v>
      </c>
      <c r="F21" s="557" t="e">
        <f t="shared" si="5"/>
        <v>#DIV/0!</v>
      </c>
      <c r="G21" s="557">
        <f t="shared" si="5"/>
        <v>1.9022685329647133</v>
      </c>
      <c r="H21" s="557">
        <f>H20/$C20</f>
        <v>0.40992982845144604</v>
      </c>
    </row>
    <row r="23" spans="2:17">
      <c r="B23" t="s">
        <v>562</v>
      </c>
      <c r="C23" s="34">
        <f>SUM(D23:H23)</f>
        <v>11648000</v>
      </c>
      <c r="D23" s="554">
        <v>9353940.7840118166</v>
      </c>
      <c r="E23" s="554">
        <v>1675418.7716924176</v>
      </c>
      <c r="F23" s="554">
        <v>0</v>
      </c>
      <c r="G23" s="554">
        <v>22799.852346944444</v>
      </c>
      <c r="H23" s="554">
        <v>595840.59194882133</v>
      </c>
      <c r="I23" s="35" t="s">
        <v>545</v>
      </c>
      <c r="J23" t="s">
        <v>563</v>
      </c>
    </row>
    <row r="24" spans="2:17">
      <c r="D24" s="214"/>
      <c r="E24" s="214"/>
      <c r="F24" s="214"/>
      <c r="G24" s="214"/>
      <c r="H24" s="214"/>
    </row>
    <row r="25" spans="2:17">
      <c r="B25" t="s">
        <v>564</v>
      </c>
      <c r="C25" s="558">
        <v>0</v>
      </c>
    </row>
    <row r="26" spans="2:17">
      <c r="B26" t="s">
        <v>565</v>
      </c>
      <c r="C26" s="558">
        <v>17293000</v>
      </c>
      <c r="D26" s="159">
        <f>C26/C10</f>
        <v>0.13799404709656313</v>
      </c>
      <c r="J26" t="s">
        <v>566</v>
      </c>
    </row>
    <row r="27" spans="2:17">
      <c r="B27" t="s">
        <v>567</v>
      </c>
      <c r="C27" s="559">
        <f>C25+C26</f>
        <v>17293000</v>
      </c>
    </row>
    <row r="28" spans="2:17">
      <c r="C28" s="556"/>
      <c r="D28" s="560" t="s">
        <v>568</v>
      </c>
    </row>
    <row r="29" spans="2:17">
      <c r="B29" t="s">
        <v>569</v>
      </c>
      <c r="C29" s="556">
        <f>C10+C26</f>
        <v>142610000</v>
      </c>
      <c r="D29" s="34">
        <f>C29-C10</f>
        <v>17293000.000000015</v>
      </c>
      <c r="F29" t="s">
        <v>570</v>
      </c>
      <c r="G29" s="561">
        <v>4.9509999999999997E-3</v>
      </c>
    </row>
    <row r="30" spans="2:17">
      <c r="B30" t="s">
        <v>571</v>
      </c>
      <c r="C30" s="556">
        <f>ROUND(C27*G29,-3)+ROUND(C27*G30,-3)+ROUND(C27*G31,-3)</f>
        <v>818000</v>
      </c>
      <c r="F30" t="s">
        <v>572</v>
      </c>
      <c r="G30" s="561">
        <v>4.0000000000000001E-3</v>
      </c>
    </row>
    <row r="31" spans="2:17">
      <c r="B31" t="s">
        <v>573</v>
      </c>
      <c r="C31" s="556">
        <f>ROUND(C27*G32,-3)</f>
        <v>3460000</v>
      </c>
      <c r="D31" s="34"/>
      <c r="F31" t="s">
        <v>574</v>
      </c>
      <c r="G31" s="561">
        <v>3.8329000000000002E-2</v>
      </c>
    </row>
    <row r="32" spans="2:17">
      <c r="B32" t="s">
        <v>575</v>
      </c>
      <c r="C32" s="556">
        <f>C19+C27-C30-C31</f>
        <v>44600999.669556044</v>
      </c>
      <c r="D32" s="34">
        <f>C32-C19</f>
        <v>13015000</v>
      </c>
      <c r="F32" t="s">
        <v>576</v>
      </c>
      <c r="G32" s="561">
        <v>0.200071</v>
      </c>
    </row>
    <row r="33" spans="2:15">
      <c r="B33" t="s">
        <v>577</v>
      </c>
      <c r="C33" s="142">
        <f>C32/C8</f>
        <v>7.6100012403607739E-2</v>
      </c>
      <c r="G33" s="562"/>
    </row>
    <row r="34" spans="2:15">
      <c r="C34" s="142"/>
      <c r="G34" s="562"/>
    </row>
    <row r="35" spans="2:15">
      <c r="B35" t="s">
        <v>578</v>
      </c>
      <c r="C35" s="182">
        <f>SUM(D35:H35)</f>
        <v>0</v>
      </c>
      <c r="D35" s="563">
        <v>0</v>
      </c>
      <c r="E35" s="563">
        <v>0</v>
      </c>
      <c r="F35" s="563">
        <v>0</v>
      </c>
      <c r="G35" s="563">
        <v>0</v>
      </c>
      <c r="H35" s="563">
        <v>0</v>
      </c>
      <c r="I35" t="s">
        <v>579</v>
      </c>
    </row>
    <row r="36" spans="2:15" ht="25.5" customHeight="1">
      <c r="C36" s="182"/>
      <c r="D36" s="182"/>
      <c r="E36" s="182"/>
      <c r="F36" s="182"/>
      <c r="G36" s="182"/>
      <c r="H36" s="182"/>
    </row>
    <row r="37" spans="2:15">
      <c r="B37" s="29" t="s">
        <v>580</v>
      </c>
      <c r="C37" s="564">
        <f>C38/C33</f>
        <v>1</v>
      </c>
      <c r="D37" s="564">
        <f>D39/D8/C33</f>
        <v>0.93225405037651876</v>
      </c>
      <c r="E37" s="565">
        <v>1.3785634617005897</v>
      </c>
      <c r="F37" s="565"/>
      <c r="G37" s="565">
        <v>1.6119439808239191</v>
      </c>
      <c r="H37" s="565">
        <v>0.49045267448675223</v>
      </c>
      <c r="I37" s="35" t="s">
        <v>136</v>
      </c>
      <c r="K37" s="566">
        <f>D26</f>
        <v>0.13799404709656313</v>
      </c>
    </row>
    <row r="38" spans="2:15">
      <c r="B38" s="349" t="s">
        <v>581</v>
      </c>
      <c r="C38" s="225">
        <f t="shared" ref="C38:G38" si="6">C39/C8</f>
        <v>7.6100012403607739E-2</v>
      </c>
      <c r="D38" s="225">
        <f t="shared" si="6"/>
        <v>7.094454479696663E-2</v>
      </c>
      <c r="E38" s="225">
        <f>E39/E8</f>
        <v>0.10490869653457528</v>
      </c>
      <c r="F38" s="225" t="e">
        <f>F39/F8</f>
        <v>#DIV/0!</v>
      </c>
      <c r="G38" s="225">
        <f t="shared" si="6"/>
        <v>0.12266895693462107</v>
      </c>
      <c r="H38" s="225">
        <f>H39/H8</f>
        <v>3.732345461182443E-2</v>
      </c>
    </row>
    <row r="39" spans="2:15">
      <c r="B39" t="s">
        <v>582</v>
      </c>
      <c r="C39" s="34">
        <f>C32</f>
        <v>44600999.669556044</v>
      </c>
      <c r="D39" s="34">
        <f>$C$32-SUM(E39:H39)</f>
        <v>31481129.61455847</v>
      </c>
      <c r="E39" s="34">
        <f>E8*E37*$C$32/$C$8</f>
        <v>11749891.740496537</v>
      </c>
      <c r="F39" s="34">
        <f>F8*F37*$C$32/$C$8</f>
        <v>0</v>
      </c>
      <c r="G39" s="34">
        <f>G8*G37*$C$32/$C$8</f>
        <v>341480.50175600714</v>
      </c>
      <c r="H39" s="34">
        <f>H8*H37*$C$32/$C$8</f>
        <v>1028497.8127450314</v>
      </c>
      <c r="I39" s="567">
        <f t="shared" ref="I39:I46" si="7">ROUND(C39-SUM(D39:H39),0)</f>
        <v>0</v>
      </c>
    </row>
    <row r="40" spans="2:15">
      <c r="B40" t="s">
        <v>583</v>
      </c>
      <c r="C40" s="34">
        <f t="shared" ref="C40:H40" si="8">C39-C23</f>
        <v>32952999.669556044</v>
      </c>
      <c r="D40" s="34">
        <f t="shared" si="8"/>
        <v>22127188.830546655</v>
      </c>
      <c r="E40" s="34">
        <f t="shared" si="8"/>
        <v>10074472.968804119</v>
      </c>
      <c r="F40" s="34">
        <f t="shared" si="8"/>
        <v>0</v>
      </c>
      <c r="G40" s="34">
        <f t="shared" si="8"/>
        <v>318680.64940906269</v>
      </c>
      <c r="H40" s="34">
        <f t="shared" si="8"/>
        <v>432657.22079621011</v>
      </c>
      <c r="I40" s="567">
        <f t="shared" si="7"/>
        <v>0</v>
      </c>
    </row>
    <row r="41" spans="2:15">
      <c r="B41" t="s">
        <v>584</v>
      </c>
      <c r="C41" s="34">
        <f>C40+C16+C31+C23</f>
        <v>50593999.669556044</v>
      </c>
      <c r="D41" s="34">
        <f>D40+D23+D40/$C40*SUM($C$16,$C$31)</f>
        <v>35505292.634351104</v>
      </c>
      <c r="E41" s="34">
        <f>E40+E23+E40/$C40*SUM($C$16,$C$31)</f>
        <v>13582086.597034054</v>
      </c>
      <c r="F41" s="34">
        <f>F40+F23+F40/$C40*SUM($C$16,$C$31)</f>
        <v>0</v>
      </c>
      <c r="G41" s="34">
        <f>G40+G23+G40/$C40*SUM($C$16,$C$31)</f>
        <v>399437.38431783806</v>
      </c>
      <c r="H41" s="34">
        <f>H40+H23+H40/$C40*SUM($C$16,$C$31)</f>
        <v>1107183.0538530564</v>
      </c>
      <c r="I41" s="567">
        <f t="shared" si="7"/>
        <v>0</v>
      </c>
    </row>
    <row r="42" spans="2:15">
      <c r="B42" t="s">
        <v>585</v>
      </c>
      <c r="C42" s="34">
        <f t="shared" ref="C42:F42" si="9">C41-C11-$C$25*C35</f>
        <v>48216999.669556037</v>
      </c>
      <c r="D42" s="34">
        <f>D41-D11-$C$25*D35</f>
        <v>33777261.719862714</v>
      </c>
      <c r="E42" s="34">
        <f t="shared" si="9"/>
        <v>13003163.694842415</v>
      </c>
      <c r="F42" s="34">
        <f t="shared" si="9"/>
        <v>0</v>
      </c>
      <c r="G42" s="34">
        <f>G41-G11-$C$25*G35</f>
        <v>383999.34116561868</v>
      </c>
      <c r="H42" s="34">
        <f>H41-H11-$C$25*H35</f>
        <v>1052574.9136853013</v>
      </c>
      <c r="I42" s="567">
        <f t="shared" si="7"/>
        <v>0</v>
      </c>
    </row>
    <row r="43" spans="2:15">
      <c r="B43" t="str">
        <f t="shared" ref="B43:F43" si="10">B14</f>
        <v>Total Operating Exp b4 conv items &amp; taxes</v>
      </c>
      <c r="C43" s="34">
        <f t="shared" si="10"/>
        <v>93142256.330443963</v>
      </c>
      <c r="D43" s="34">
        <f t="shared" si="10"/>
        <v>75763463.514113858</v>
      </c>
      <c r="E43" s="34">
        <f t="shared" si="10"/>
        <v>13881826.088408601</v>
      </c>
      <c r="F43" s="34">
        <f t="shared" si="10"/>
        <v>0</v>
      </c>
      <c r="G43" s="34">
        <f>G14</f>
        <v>337988.93926411594</v>
      </c>
      <c r="H43" s="34">
        <f>H14</f>
        <v>3158977.7886573751</v>
      </c>
      <c r="I43" s="567">
        <f t="shared" si="7"/>
        <v>0</v>
      </c>
    </row>
    <row r="44" spans="2:15">
      <c r="B44" t="s">
        <v>586</v>
      </c>
      <c r="C44" s="34">
        <f>C15+C30</f>
        <v>1250744</v>
      </c>
      <c r="D44" s="34">
        <f>$C44*D46/$C46</f>
        <v>969214.24686930142</v>
      </c>
      <c r="E44" s="34">
        <f>$C44*E46/$C46</f>
        <v>237877.87664546358</v>
      </c>
      <c r="F44" s="34">
        <f>$C44*F46/$C46</f>
        <v>0</v>
      </c>
      <c r="G44" s="34">
        <f>$C44*G46/$C46</f>
        <v>6388.1385299439335</v>
      </c>
      <c r="H44" s="34">
        <f>$C44*H46/$C46</f>
        <v>37263.737955290941</v>
      </c>
      <c r="I44" s="567">
        <f t="shared" si="7"/>
        <v>0</v>
      </c>
    </row>
    <row r="45" spans="2:15">
      <c r="B45" s="29" t="s">
        <v>587</v>
      </c>
      <c r="C45" s="556">
        <f>C26</f>
        <v>17293000</v>
      </c>
      <c r="D45" s="556">
        <f>(D42-D10+D14+($C$44*D10)/$C$29)/(1-$C$44/$C$29)</f>
        <v>13400000.000000007</v>
      </c>
      <c r="E45" s="556">
        <f>(E42-E10+E14+($C$44*E10)/$C$29)/(1-$C$44/$C$29)</f>
        <v>3288999.9999999972</v>
      </c>
      <c r="F45" s="556">
        <f>(F42-F10+F14+($C$44*F10)/$C$29)/(1-$C$44/$C$29)</f>
        <v>0</v>
      </c>
      <c r="G45" s="556">
        <f>(G42-G10+G14+($C$44*G10)/$C$29)/(1-$C$44/$C$29)</f>
        <v>88999.999999999476</v>
      </c>
      <c r="H45" s="556">
        <f>(H42-H10+H14+($C$44*H10)/$C$29)/(1-$C$44/$C$29)</f>
        <v>515000.00000000012</v>
      </c>
      <c r="I45" s="567">
        <f t="shared" si="7"/>
        <v>0</v>
      </c>
    </row>
    <row r="46" spans="2:15">
      <c r="B46" s="29" t="s">
        <v>588</v>
      </c>
      <c r="C46" s="556">
        <f>C42+C43+C44</f>
        <v>142610000</v>
      </c>
      <c r="D46" s="556">
        <f>D10+D45</f>
        <v>110509939.48084587</v>
      </c>
      <c r="E46" s="556">
        <f>E10+E45</f>
        <v>27122867.659896478</v>
      </c>
      <c r="F46" s="556">
        <f>F10+F45</f>
        <v>0</v>
      </c>
      <c r="G46" s="556">
        <f>G10+G45</f>
        <v>728376.41895967862</v>
      </c>
      <c r="H46" s="556">
        <f>H10+H45</f>
        <v>4248816.4402979678</v>
      </c>
      <c r="I46" s="567">
        <f t="shared" si="7"/>
        <v>0</v>
      </c>
      <c r="L46" s="568"/>
    </row>
    <row r="47" spans="2:15">
      <c r="B47" s="29" t="s">
        <v>589</v>
      </c>
      <c r="C47" s="142">
        <f>C46/C10-1</f>
        <v>0.13799404709656327</v>
      </c>
      <c r="D47" s="142">
        <f>D46/D10-1</f>
        <v>0.13798793482559057</v>
      </c>
      <c r="E47" s="142">
        <f>E46/E10-1</f>
        <v>0.13799690620646343</v>
      </c>
      <c r="F47" s="142" t="e">
        <f>F46/F10-1</f>
        <v>#DIV/0!</v>
      </c>
      <c r="G47" s="142">
        <f t="shared" ref="G47" si="11">G46/G10-1</f>
        <v>0.13919812705137025</v>
      </c>
      <c r="H47" s="142">
        <f>H46/H10-1</f>
        <v>0.137928580109552</v>
      </c>
      <c r="I47" s="567"/>
      <c r="K47" s="569"/>
      <c r="L47" s="569"/>
      <c r="M47" s="569"/>
      <c r="N47" s="569"/>
      <c r="O47" s="569"/>
    </row>
    <row r="48" spans="2:15">
      <c r="D48" s="34"/>
    </row>
    <row r="49" spans="2:15">
      <c r="B49" s="349" t="s">
        <v>590</v>
      </c>
      <c r="C49" s="34">
        <f>SUM(D49:H49)</f>
        <v>17292000</v>
      </c>
      <c r="D49" s="34">
        <f t="shared" ref="D49:H50" si="12">ROUND(D45,-3)</f>
        <v>13400000</v>
      </c>
      <c r="E49" s="34">
        <f>ROUND(E45,-3)</f>
        <v>3289000</v>
      </c>
      <c r="F49" s="34">
        <f t="shared" si="12"/>
        <v>0</v>
      </c>
      <c r="G49" s="34">
        <f t="shared" si="12"/>
        <v>89000</v>
      </c>
      <c r="H49" s="34">
        <f>ROUND(H45,-3)-1000</f>
        <v>514000</v>
      </c>
      <c r="K49" s="570"/>
      <c r="L49" s="570"/>
      <c r="M49" s="570"/>
      <c r="N49" s="570"/>
      <c r="O49" s="570"/>
    </row>
    <row r="50" spans="2:15">
      <c r="B50" s="349" t="s">
        <v>591</v>
      </c>
      <c r="C50" s="34">
        <f>SUM(D50:H50)</f>
        <v>142610000</v>
      </c>
      <c r="D50" s="34">
        <f t="shared" si="12"/>
        <v>110510000</v>
      </c>
      <c r="E50" s="34">
        <f t="shared" si="12"/>
        <v>27123000</v>
      </c>
      <c r="F50" s="34">
        <f t="shared" si="12"/>
        <v>0</v>
      </c>
      <c r="G50" s="34">
        <f t="shared" si="12"/>
        <v>728000</v>
      </c>
      <c r="H50" s="34">
        <f t="shared" si="12"/>
        <v>4249000</v>
      </c>
      <c r="K50" s="571"/>
    </row>
    <row r="51" spans="2:15">
      <c r="D51" s="354"/>
      <c r="E51" s="354"/>
      <c r="F51" s="354"/>
      <c r="G51" s="354"/>
      <c r="H51" s="354"/>
      <c r="K51" s="571"/>
    </row>
    <row r="52" spans="2:15" hidden="1">
      <c r="B52" t="s">
        <v>592</v>
      </c>
      <c r="C52" s="572">
        <f>SUM(D52:I52)</f>
        <v>156193000</v>
      </c>
      <c r="D52" s="573">
        <v>112307000</v>
      </c>
      <c r="E52" s="573">
        <v>35342000</v>
      </c>
      <c r="F52" s="573">
        <v>3987000</v>
      </c>
      <c r="G52" s="573">
        <v>759000</v>
      </c>
      <c r="H52" s="573">
        <v>2254000</v>
      </c>
      <c r="I52" s="573">
        <v>1544000</v>
      </c>
      <c r="K52" s="574">
        <f>SUM(K49:O49)</f>
        <v>0</v>
      </c>
    </row>
    <row r="53" spans="2:15" hidden="1">
      <c r="B53" t="s">
        <v>593</v>
      </c>
      <c r="C53" s="214">
        <f>C45/C52</f>
        <v>0.11071558904688431</v>
      </c>
      <c r="D53" s="214">
        <f>D45/D52</f>
        <v>0.11931580400153158</v>
      </c>
      <c r="E53" s="214">
        <f t="shared" ref="E53:H53" si="13">E45/E52</f>
        <v>9.3062079112670393E-2</v>
      </c>
      <c r="F53" s="214">
        <f t="shared" si="13"/>
        <v>0</v>
      </c>
      <c r="G53" s="214">
        <f t="shared" si="13"/>
        <v>0.11725955204216004</v>
      </c>
      <c r="H53" s="214">
        <f t="shared" si="13"/>
        <v>0.22848269742679686</v>
      </c>
      <c r="K53" s="575"/>
    </row>
    <row r="54" spans="2:15" hidden="1">
      <c r="K54" s="571"/>
    </row>
    <row r="55" spans="2:15" hidden="1">
      <c r="K55" s="576"/>
    </row>
    <row r="56" spans="2:15">
      <c r="D56" s="575"/>
    </row>
    <row r="57" spans="2:15">
      <c r="B57" t="s">
        <v>594</v>
      </c>
      <c r="D57" s="577">
        <f>(D37-D21)/(1-D21)</f>
        <v>0.40972712117467369</v>
      </c>
      <c r="E57" s="577">
        <f t="shared" ref="E57:H57" si="14">(E37-E21)/(1-E21)</f>
        <v>0.34444275757872861</v>
      </c>
      <c r="F57" s="577" t="e">
        <f t="shared" si="14"/>
        <v>#DIV/0!</v>
      </c>
      <c r="G57" s="577">
        <f t="shared" si="14"/>
        <v>0.32177178027791031</v>
      </c>
      <c r="H57" s="577">
        <f t="shared" si="14"/>
        <v>0.13646316983620035</v>
      </c>
    </row>
    <row r="58" spans="2:15">
      <c r="D58" s="577"/>
      <c r="E58" s="577"/>
      <c r="F58" s="577"/>
      <c r="G58" s="577"/>
      <c r="H58" s="577"/>
    </row>
    <row r="59" spans="2:15">
      <c r="D59" s="577"/>
      <c r="E59" s="577"/>
      <c r="F59" s="577"/>
      <c r="G59" s="577"/>
      <c r="H59" s="577"/>
    </row>
    <row r="60" spans="2:15">
      <c r="B60" t="s">
        <v>592</v>
      </c>
      <c r="C60" s="346">
        <f>SUM(D60:I60)</f>
        <v>275287388.02349997</v>
      </c>
      <c r="D60" s="574">
        <f>RS!H14*1000</f>
        <v>194577505.32999998</v>
      </c>
      <c r="E60" s="574">
        <f>RS!H15*1000</f>
        <v>73738958</v>
      </c>
      <c r="F60" s="574">
        <v>0</v>
      </c>
      <c r="G60" s="574">
        <f>RS!H17*1000</f>
        <v>1707098.3199999998</v>
      </c>
      <c r="H60" s="574">
        <f>RS!H18*1000</f>
        <v>3604401.1135</v>
      </c>
      <c r="I60" s="574">
        <f>RS!H19*1000</f>
        <v>1659425.2599999998</v>
      </c>
    </row>
    <row r="61" spans="2:15">
      <c r="C61" s="577">
        <f>C45/C60</f>
        <v>6.2817988590613452E-2</v>
      </c>
      <c r="D61" s="577">
        <f>D45/D60</f>
        <v>6.8867159013442203E-2</v>
      </c>
      <c r="E61" s="577">
        <f t="shared" ref="E61:I61" si="15">E45/E60</f>
        <v>4.4603288264529008E-2</v>
      </c>
      <c r="F61" s="577" t="e">
        <f t="shared" si="15"/>
        <v>#DIV/0!</v>
      </c>
      <c r="G61" s="577">
        <f t="shared" si="15"/>
        <v>5.2135251354473527E-2</v>
      </c>
      <c r="H61" s="577">
        <f t="shared" si="15"/>
        <v>0.14288087917604628</v>
      </c>
      <c r="I61" s="577">
        <f t="shared" si="15"/>
        <v>0</v>
      </c>
    </row>
    <row r="62" spans="2:15">
      <c r="D62" s="575"/>
    </row>
    <row r="63" spans="2:15">
      <c r="B63" s="578" t="s">
        <v>595</v>
      </c>
      <c r="C63" s="579">
        <f>C19</f>
        <v>31585999.669556044</v>
      </c>
      <c r="D63" s="580">
        <f>$C$63*D8/$C$8</f>
        <v>23914761.942479517</v>
      </c>
      <c r="E63" s="580">
        <f t="shared" ref="E63:G63" si="16">$C$63*E8/$C$8</f>
        <v>6036109.8559671538</v>
      </c>
      <c r="F63" s="580">
        <f t="shared" si="16"/>
        <v>0</v>
      </c>
      <c r="G63" s="580">
        <f t="shared" si="16"/>
        <v>150025.81667642665</v>
      </c>
      <c r="H63" s="580">
        <f>$C$63*H8/$C$8</f>
        <v>1485102.0544329453</v>
      </c>
      <c r="I63" s="580"/>
    </row>
    <row r="64" spans="2:15">
      <c r="B64" s="578" t="s">
        <v>596</v>
      </c>
      <c r="C64" s="579">
        <f>C16</f>
        <v>2533000.0000000009</v>
      </c>
      <c r="D64" s="580">
        <f>$C$64*D8/$C$8</f>
        <v>1917814.6214788477</v>
      </c>
      <c r="E64" s="580">
        <f t="shared" ref="E64:G64" si="17">$C$64*E8/$C$8</f>
        <v>484058.33043496974</v>
      </c>
      <c r="F64" s="580">
        <f t="shared" si="17"/>
        <v>0</v>
      </c>
      <c r="G64" s="580">
        <f t="shared" si="17"/>
        <v>12031.133971284884</v>
      </c>
      <c r="H64" s="580">
        <f>$C$64*H8/$C$8</f>
        <v>119095.91411489827</v>
      </c>
      <c r="I64" s="580"/>
    </row>
    <row r="65" spans="2:11">
      <c r="B65" s="578" t="s">
        <v>597</v>
      </c>
      <c r="C65" s="579">
        <f>SUM(D65:H65)</f>
        <v>93142256.330443963</v>
      </c>
      <c r="D65" s="580">
        <f>D14</f>
        <v>75763463.514113858</v>
      </c>
      <c r="E65" s="580">
        <f t="shared" ref="E65:G65" si="18">E14</f>
        <v>13881826.088408601</v>
      </c>
      <c r="F65" s="580">
        <f t="shared" si="18"/>
        <v>0</v>
      </c>
      <c r="G65" s="580">
        <f t="shared" si="18"/>
        <v>337988.93926411594</v>
      </c>
      <c r="H65" s="580">
        <f>H14</f>
        <v>3158977.7886573751</v>
      </c>
      <c r="I65" s="580"/>
    </row>
    <row r="66" spans="2:11">
      <c r="B66" s="578" t="s">
        <v>598</v>
      </c>
      <c r="C66" s="579">
        <f>SUM(D66:H66)</f>
        <v>-2377000.0000000037</v>
      </c>
      <c r="D66" s="580">
        <f>-D11</f>
        <v>-1728030.9144883901</v>
      </c>
      <c r="E66" s="580">
        <f t="shared" ref="E66:G66" si="19">-E11</f>
        <v>-578922.90219163895</v>
      </c>
      <c r="F66" s="580">
        <f t="shared" si="19"/>
        <v>0</v>
      </c>
      <c r="G66" s="580">
        <f t="shared" si="19"/>
        <v>-15438.043152219383</v>
      </c>
      <c r="H66" s="580">
        <f>-H11</f>
        <v>-54608.140167755075</v>
      </c>
      <c r="I66" s="580"/>
    </row>
    <row r="67" spans="2:11">
      <c r="B67" s="578" t="s">
        <v>599</v>
      </c>
      <c r="C67" s="579">
        <f>C15</f>
        <v>432744</v>
      </c>
      <c r="D67" s="580">
        <f>$C67*(SUM(D63:D66)/SUM($C$63:$C$66))</f>
        <v>346058.68779396761</v>
      </c>
      <c r="E67" s="580">
        <f t="shared" ref="E67:G67" si="20">$C67*(SUM(E63:E66)/SUM($C$63:$C$66))</f>
        <v>68690.125343523483</v>
      </c>
      <c r="F67" s="580">
        <f t="shared" si="20"/>
        <v>0</v>
      </c>
      <c r="G67" s="580">
        <f t="shared" si="20"/>
        <v>1679.2440036487853</v>
      </c>
      <c r="H67" s="580">
        <f>$C67*(SUM(H63:H66)/SUM($C$63:$C$66))</f>
        <v>16315.942858860129</v>
      </c>
      <c r="I67" s="580"/>
    </row>
    <row r="68" spans="2:11">
      <c r="B68" s="578" t="s">
        <v>600</v>
      </c>
      <c r="C68" s="581">
        <f>SUM(C63:C67)</f>
        <v>125317000</v>
      </c>
      <c r="D68" s="581">
        <f t="shared" ref="D68:H68" si="21">SUM(D63:D67)</f>
        <v>100214067.8513778</v>
      </c>
      <c r="E68" s="581">
        <f t="shared" si="21"/>
        <v>19891761.497962609</v>
      </c>
      <c r="F68" s="581">
        <f t="shared" si="21"/>
        <v>0</v>
      </c>
      <c r="G68" s="581">
        <f t="shared" si="21"/>
        <v>486287.09076325689</v>
      </c>
      <c r="H68" s="581">
        <f t="shared" si="21"/>
        <v>4724883.5598963238</v>
      </c>
      <c r="I68" s="579" t="s">
        <v>601</v>
      </c>
    </row>
    <row r="69" spans="2:11">
      <c r="B69" s="582" t="s">
        <v>602</v>
      </c>
      <c r="C69" s="583">
        <f>SUM(D69:H69)</f>
        <v>0</v>
      </c>
      <c r="D69" s="584">
        <v>0</v>
      </c>
      <c r="E69" s="584">
        <v>0</v>
      </c>
      <c r="F69" s="584">
        <v>0</v>
      </c>
      <c r="G69" s="584">
        <v>0</v>
      </c>
      <c r="H69" s="584">
        <v>0</v>
      </c>
      <c r="I69" s="579" t="s">
        <v>603</v>
      </c>
    </row>
    <row r="70" spans="2:11">
      <c r="B70" s="585" t="s">
        <v>604</v>
      </c>
      <c r="C70" s="579">
        <f>C68-C69</f>
        <v>125317000</v>
      </c>
      <c r="D70" s="579">
        <f t="shared" ref="D70:H70" si="22">D68-D69</f>
        <v>100214067.8513778</v>
      </c>
      <c r="E70" s="579">
        <f t="shared" si="22"/>
        <v>19891761.497962609</v>
      </c>
      <c r="F70" s="579">
        <f t="shared" si="22"/>
        <v>0</v>
      </c>
      <c r="G70" s="579">
        <f t="shared" si="22"/>
        <v>486287.09076325689</v>
      </c>
      <c r="H70" s="579">
        <f t="shared" si="22"/>
        <v>4724883.5598963238</v>
      </c>
      <c r="I70" s="579" t="s">
        <v>605</v>
      </c>
      <c r="K70" s="214">
        <f>C26/C70</f>
        <v>0.13799404709656313</v>
      </c>
    </row>
    <row r="71" spans="2:11">
      <c r="B71" s="578"/>
      <c r="C71" s="586"/>
      <c r="D71" s="586"/>
      <c r="E71" s="586"/>
      <c r="F71" s="586"/>
      <c r="G71" s="586"/>
      <c r="H71" s="586"/>
      <c r="I71" s="586"/>
    </row>
    <row r="72" spans="2:11">
      <c r="B72" s="578" t="s">
        <v>606</v>
      </c>
      <c r="C72" s="579">
        <f>C32</f>
        <v>44600999.669556044</v>
      </c>
      <c r="D72" s="580">
        <f>$C$72*D8/$C$8</f>
        <v>33768831.148380496</v>
      </c>
      <c r="E72" s="580">
        <f t="shared" ref="E72:G72" si="23">$C$72*E8/$C$8</f>
        <v>8523286.7886995375</v>
      </c>
      <c r="F72" s="580">
        <f t="shared" si="23"/>
        <v>0</v>
      </c>
      <c r="G72" s="580">
        <f t="shared" si="23"/>
        <v>211843.90141242062</v>
      </c>
      <c r="H72" s="580">
        <f>$C$72*H8/$C$8</f>
        <v>2097037.8310635814</v>
      </c>
      <c r="I72" s="580"/>
    </row>
    <row r="73" spans="2:11">
      <c r="B73" s="578" t="s">
        <v>607</v>
      </c>
      <c r="C73" s="579">
        <f>C16+C31</f>
        <v>5993000.0000000009</v>
      </c>
      <c r="D73" s="580">
        <f>$C$73*D8/$C$8</f>
        <v>4537490.3381455708</v>
      </c>
      <c r="E73" s="580">
        <f t="shared" ref="E73:H73" si="24">$C$73*E8/$C$8</f>
        <v>1145267.1039466141</v>
      </c>
      <c r="F73" s="580">
        <f t="shared" si="24"/>
        <v>0</v>
      </c>
      <c r="G73" s="580">
        <f t="shared" si="24"/>
        <v>28465.292495029727</v>
      </c>
      <c r="H73" s="580">
        <f t="shared" si="24"/>
        <v>281777.26541278535</v>
      </c>
      <c r="I73" s="580"/>
    </row>
    <row r="74" spans="2:11">
      <c r="B74" s="578" t="s">
        <v>597</v>
      </c>
      <c r="C74" s="579">
        <f>SUM(D74:H74)</f>
        <v>93142256.330443963</v>
      </c>
      <c r="D74" s="580">
        <f>D14</f>
        <v>75763463.514113858</v>
      </c>
      <c r="E74" s="580">
        <f t="shared" ref="E74:H74" si="25">E14</f>
        <v>13881826.088408601</v>
      </c>
      <c r="F74" s="580">
        <f t="shared" si="25"/>
        <v>0</v>
      </c>
      <c r="G74" s="580">
        <f t="shared" si="25"/>
        <v>337988.93926411594</v>
      </c>
      <c r="H74" s="580">
        <f t="shared" si="25"/>
        <v>3158977.7886573751</v>
      </c>
      <c r="I74" s="580"/>
    </row>
    <row r="75" spans="2:11">
      <c r="B75" s="578" t="s">
        <v>598</v>
      </c>
      <c r="C75" s="579">
        <f>SUM(D75:H75)</f>
        <v>-2377000.0000000037</v>
      </c>
      <c r="D75" s="580">
        <f>-D11+C25*D35</f>
        <v>-1728030.9144883901</v>
      </c>
      <c r="E75" s="580">
        <f t="shared" ref="E75:H75" si="26">-E11+D25*E35</f>
        <v>-578922.90219163895</v>
      </c>
      <c r="F75" s="580">
        <f t="shared" si="26"/>
        <v>0</v>
      </c>
      <c r="G75" s="580">
        <f>-G11+F25*G35</f>
        <v>-15438.043152219383</v>
      </c>
      <c r="H75" s="580">
        <f t="shared" si="26"/>
        <v>-54608.140167755075</v>
      </c>
      <c r="I75" s="580"/>
    </row>
    <row r="76" spans="2:11">
      <c r="B76" s="578" t="s">
        <v>608</v>
      </c>
      <c r="C76" s="579">
        <f>C15+C30</f>
        <v>1250744</v>
      </c>
      <c r="D76" s="580">
        <f>$C76*(SUM(D72:D75)/SUM($C$72:$C$75))</f>
        <v>993997.69671063847</v>
      </c>
      <c r="E76" s="580">
        <f>$C76*(SUM(E72:E75)/SUM($C$72:$C$75))</f>
        <v>203251.01394595319</v>
      </c>
      <c r="F76" s="580">
        <f>$C76*(SUM(F72:F75)/SUM($C$72:$C$75))</f>
        <v>0</v>
      </c>
      <c r="G76" s="580">
        <f>$C76*(SUM(G72:G75)/SUM($C$72:$C$75))</f>
        <v>4980.175337306232</v>
      </c>
      <c r="H76" s="580">
        <f>$C76*(SUM(H72:H75)/SUM($C$72:$C$75))</f>
        <v>48515.11400610186</v>
      </c>
      <c r="I76" s="580"/>
    </row>
    <row r="77" spans="2:11">
      <c r="B77" s="578" t="s">
        <v>609</v>
      </c>
      <c r="C77" s="581">
        <f>SUM(C72:C76)</f>
        <v>142610000</v>
      </c>
      <c r="D77" s="581">
        <f t="shared" ref="D77:H77" si="27">SUM(D72:D76)</f>
        <v>113335751.78286216</v>
      </c>
      <c r="E77" s="581">
        <f t="shared" si="27"/>
        <v>23174708.092809066</v>
      </c>
      <c r="F77" s="581">
        <f t="shared" si="27"/>
        <v>0</v>
      </c>
      <c r="G77" s="581">
        <f t="shared" si="27"/>
        <v>567840.26535665314</v>
      </c>
      <c r="H77" s="581">
        <f t="shared" si="27"/>
        <v>5531699.8589720884</v>
      </c>
      <c r="I77" s="579" t="s">
        <v>610</v>
      </c>
    </row>
    <row r="78" spans="2:11">
      <c r="B78" s="582" t="s">
        <v>602</v>
      </c>
      <c r="C78" s="583">
        <f>SUM(D78:H78)</f>
        <v>0</v>
      </c>
      <c r="D78" s="584">
        <v>0</v>
      </c>
      <c r="E78" s="584">
        <v>0</v>
      </c>
      <c r="F78" s="584">
        <v>0</v>
      </c>
      <c r="G78" s="584">
        <v>0</v>
      </c>
      <c r="H78" s="584">
        <v>0</v>
      </c>
      <c r="I78" s="579" t="s">
        <v>611</v>
      </c>
      <c r="J78" s="554"/>
    </row>
    <row r="79" spans="2:11">
      <c r="B79" s="585" t="s">
        <v>612</v>
      </c>
      <c r="C79" s="579">
        <f>C77-C78</f>
        <v>142610000</v>
      </c>
      <c r="D79" s="579">
        <f t="shared" ref="D79:H79" si="28">D77-D78</f>
        <v>113335751.78286216</v>
      </c>
      <c r="E79" s="579">
        <f t="shared" si="28"/>
        <v>23174708.092809066</v>
      </c>
      <c r="F79" s="579">
        <f t="shared" si="28"/>
        <v>0</v>
      </c>
      <c r="G79" s="579">
        <f t="shared" si="28"/>
        <v>567840.26535665314</v>
      </c>
      <c r="H79" s="579">
        <f t="shared" si="28"/>
        <v>5531699.8589720884</v>
      </c>
      <c r="I79" s="579" t="s">
        <v>613</v>
      </c>
    </row>
    <row r="80" spans="2:11">
      <c r="B80" s="578"/>
      <c r="C80" s="586"/>
      <c r="D80" s="586"/>
      <c r="E80" s="586"/>
      <c r="F80" s="586"/>
      <c r="G80" s="586"/>
      <c r="H80" s="586"/>
      <c r="I80" s="586"/>
    </row>
    <row r="81" spans="2:9">
      <c r="B81" s="578" t="s">
        <v>614</v>
      </c>
      <c r="C81" s="579">
        <f>SUM(D81:H81)</f>
        <v>17292999.999999966</v>
      </c>
      <c r="D81" s="587">
        <f>D77-D10</f>
        <v>16225812.302016288</v>
      </c>
      <c r="E81" s="587">
        <f t="shared" ref="E81:G81" si="29">E77-E10</f>
        <v>-659159.56708741561</v>
      </c>
      <c r="F81" s="587">
        <f t="shared" si="29"/>
        <v>0</v>
      </c>
      <c r="G81" s="587">
        <f t="shared" si="29"/>
        <v>-71536.153603025945</v>
      </c>
      <c r="H81" s="587">
        <f>H77-H10</f>
        <v>1797883.4186741211</v>
      </c>
      <c r="I81" s="587"/>
    </row>
    <row r="82" spans="2:9">
      <c r="B82" s="578"/>
      <c r="C82" s="588"/>
      <c r="D82" s="588"/>
      <c r="E82" s="588"/>
      <c r="F82" s="588"/>
      <c r="G82" s="588"/>
      <c r="H82" s="588"/>
      <c r="I82" s="588"/>
    </row>
    <row r="83" spans="2:9">
      <c r="B83" s="589" t="s">
        <v>615</v>
      </c>
      <c r="C83" s="329">
        <f>C10/C68</f>
        <v>0.99999999999999989</v>
      </c>
      <c r="D83" s="329">
        <f>D10/D68</f>
        <v>0.96902502376078081</v>
      </c>
      <c r="E83" s="329">
        <f t="shared" ref="E83:G83" si="30">E10/E68</f>
        <v>1.1981778316785892</v>
      </c>
      <c r="F83" s="329" t="e">
        <f t="shared" si="30"/>
        <v>#DIV/0!</v>
      </c>
      <c r="G83" s="329">
        <f t="shared" si="30"/>
        <v>1.314812651012675</v>
      </c>
      <c r="H83" s="329">
        <f>H10/H68</f>
        <v>0.79024517598480182</v>
      </c>
      <c r="I83" s="329"/>
    </row>
    <row r="84" spans="2:9">
      <c r="B84" s="589" t="s">
        <v>616</v>
      </c>
      <c r="C84" s="329">
        <f>C46/C77</f>
        <v>1</v>
      </c>
      <c r="D84" s="329">
        <f>D46/D77</f>
        <v>0.97506689409507596</v>
      </c>
      <c r="E84" s="329">
        <f t="shared" ref="E84:H84" si="31">E46/E77</f>
        <v>1.1703650182464431</v>
      </c>
      <c r="F84" s="329" t="e">
        <f t="shared" si="31"/>
        <v>#DIV/0!</v>
      </c>
      <c r="G84" s="329">
        <f t="shared" si="31"/>
        <v>1.2827135787952528</v>
      </c>
      <c r="H84" s="329">
        <f t="shared" si="31"/>
        <v>0.76808513632688147</v>
      </c>
      <c r="I84" s="329"/>
    </row>
    <row r="85" spans="2:9">
      <c r="B85" s="578" t="s">
        <v>617</v>
      </c>
      <c r="C85" s="590">
        <f>ROUND(C84-C83,4)</f>
        <v>0</v>
      </c>
      <c r="D85" s="329">
        <f>ROUND(D84-D83,2)</f>
        <v>0.01</v>
      </c>
      <c r="E85" s="329">
        <f>ROUND(E84-E83,2)</f>
        <v>-0.03</v>
      </c>
      <c r="F85" s="329" t="e">
        <f>ROUND(F84-F83,2)</f>
        <v>#DIV/0!</v>
      </c>
      <c r="G85" s="329">
        <f>ROUND(G84-G83,2)</f>
        <v>-0.03</v>
      </c>
      <c r="H85" s="329">
        <f>ROUND(H84-H83,2)</f>
        <v>-0.02</v>
      </c>
      <c r="I85" s="591"/>
    </row>
    <row r="87" spans="2:9">
      <c r="B87" t="s">
        <v>594</v>
      </c>
      <c r="D87" s="577">
        <f>(D84-D83)/(1-D83)</f>
        <v>0.19505649617400495</v>
      </c>
      <c r="E87" s="577">
        <f t="shared" ref="E87:H87" si="32">(E84-E83)/(1-E83)</f>
        <v>0.14034270733799178</v>
      </c>
      <c r="F87" s="577" t="e">
        <f t="shared" si="32"/>
        <v>#DIV/0!</v>
      </c>
      <c r="G87" s="577">
        <f t="shared" si="32"/>
        <v>0.10196245962215086</v>
      </c>
      <c r="H87" s="577">
        <f t="shared" si="32"/>
        <v>-0.10564734213843255</v>
      </c>
    </row>
    <row r="90" spans="2:9">
      <c r="B90" s="589" t="s">
        <v>618</v>
      </c>
      <c r="C90" s="592">
        <f>(C10-C69)/C70</f>
        <v>0.99999999999999989</v>
      </c>
      <c r="D90" s="592">
        <f>(D10-D69)/D70</f>
        <v>0.96902502376078081</v>
      </c>
      <c r="E90" s="592">
        <f t="shared" ref="E90:G90" si="33">(E10-E69)/E70</f>
        <v>1.1981778316785892</v>
      </c>
      <c r="F90" s="592" t="e">
        <f t="shared" si="33"/>
        <v>#DIV/0!</v>
      </c>
      <c r="G90" s="592">
        <f t="shared" si="33"/>
        <v>1.314812651012675</v>
      </c>
      <c r="H90" s="592">
        <f>(H10-H69)/H70</f>
        <v>0.79024517598480182</v>
      </c>
    </row>
    <row r="91" spans="2:9">
      <c r="B91" s="589" t="s">
        <v>619</v>
      </c>
      <c r="C91" s="592">
        <f>(C46-C78)/C79</f>
        <v>1</v>
      </c>
      <c r="D91" s="592">
        <f t="shared" ref="D91:G91" si="34">(D46-D78)/D79</f>
        <v>0.97506689409507596</v>
      </c>
      <c r="E91" s="592">
        <f t="shared" si="34"/>
        <v>1.1703650182464431</v>
      </c>
      <c r="F91" s="592" t="e">
        <f t="shared" si="34"/>
        <v>#DIV/0!</v>
      </c>
      <c r="G91" s="592">
        <f t="shared" si="34"/>
        <v>1.2827135787952528</v>
      </c>
      <c r="H91" s="592">
        <f>(H46-H78)/H79</f>
        <v>0.76808513632688147</v>
      </c>
    </row>
    <row r="92" spans="2:9">
      <c r="B92" s="578" t="s">
        <v>620</v>
      </c>
      <c r="C92" s="593">
        <f>ROUND(C91-C90,4)</f>
        <v>0</v>
      </c>
      <c r="D92" s="593">
        <f>ROUND(D91-D90,2)</f>
        <v>0.01</v>
      </c>
      <c r="E92" s="593">
        <f>ROUND(E91-E90,2)</f>
        <v>-0.03</v>
      </c>
      <c r="F92" s="593" t="e">
        <f>ROUND(F91-F90,2)</f>
        <v>#DIV/0!</v>
      </c>
      <c r="G92" s="593">
        <f>ROUND(G91-G90,2)</f>
        <v>-0.03</v>
      </c>
      <c r="H92" s="593">
        <f>ROUND(H91-H90,2)</f>
        <v>-0.02</v>
      </c>
    </row>
    <row r="94" spans="2:9">
      <c r="B94" t="s">
        <v>594</v>
      </c>
      <c r="D94" s="577">
        <f>(D91-D90)/(1-D90)</f>
        <v>0.19505649617400495</v>
      </c>
      <c r="E94" s="577">
        <f t="shared" ref="E94:H94" si="35">(E91-E90)/(1-E90)</f>
        <v>0.14034270733799178</v>
      </c>
      <c r="F94" s="577" t="e">
        <f t="shared" si="35"/>
        <v>#DIV/0!</v>
      </c>
      <c r="G94" s="577">
        <f t="shared" si="35"/>
        <v>0.10196245962215086</v>
      </c>
      <c r="H94" s="577">
        <f t="shared" si="35"/>
        <v>-0.10564734213843255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Q27"/>
  <sheetViews>
    <sheetView workbookViewId="0">
      <selection activeCell="H37" sqref="H37"/>
    </sheetView>
  </sheetViews>
  <sheetFormatPr defaultRowHeight="12.75"/>
  <cols>
    <col min="1" max="1" width="4.42578125" customWidth="1"/>
    <col min="2" max="2" width="30.140625" customWidth="1"/>
    <col min="3" max="3" width="8.7109375" bestFit="1" customWidth="1"/>
    <col min="4" max="4" width="18.140625" bestFit="1" customWidth="1"/>
    <col min="5" max="5" width="11" bestFit="1" customWidth="1"/>
    <col min="6" max="6" width="8.7109375" bestFit="1" customWidth="1"/>
    <col min="7" max="7" width="8.85546875" bestFit="1" customWidth="1"/>
    <col min="8" max="8" width="18.140625" bestFit="1" customWidth="1"/>
    <col min="9" max="9" width="10.140625" bestFit="1" customWidth="1"/>
    <col min="10" max="11" width="10.140625" customWidth="1"/>
  </cols>
  <sheetData>
    <row r="2" spans="1:17">
      <c r="A2" s="29" t="s">
        <v>442</v>
      </c>
    </row>
    <row r="3" spans="1:17">
      <c r="A3" s="29" t="s">
        <v>443</v>
      </c>
    </row>
    <row r="4" spans="1:17">
      <c r="A4" s="29" t="s">
        <v>444</v>
      </c>
    </row>
    <row r="5" spans="1:17" ht="15.75">
      <c r="A5" s="381"/>
      <c r="B5" s="351"/>
      <c r="C5" s="349"/>
      <c r="D5" s="246"/>
      <c r="E5" s="146"/>
      <c r="F5" s="140"/>
      <c r="G5" s="351"/>
    </row>
    <row r="6" spans="1:17">
      <c r="A6" s="351"/>
      <c r="B6" s="351"/>
      <c r="C6" s="349"/>
      <c r="D6" s="246"/>
      <c r="E6" s="146"/>
      <c r="F6" s="140"/>
      <c r="G6" s="351"/>
      <c r="P6" s="147" t="s">
        <v>504</v>
      </c>
      <c r="Q6" s="350" t="s">
        <v>504</v>
      </c>
    </row>
    <row r="7" spans="1:17">
      <c r="A7" s="351"/>
      <c r="B7" s="351"/>
      <c r="C7" s="247"/>
      <c r="D7" s="246" t="s">
        <v>166</v>
      </c>
      <c r="E7" s="248"/>
      <c r="F7" s="147" t="s">
        <v>223</v>
      </c>
      <c r="G7" s="351"/>
      <c r="H7" s="246" t="s">
        <v>166</v>
      </c>
      <c r="I7" s="351" t="s">
        <v>231</v>
      </c>
      <c r="J7" s="351"/>
      <c r="K7" s="351"/>
      <c r="L7" s="350" t="s">
        <v>232</v>
      </c>
      <c r="P7" s="147" t="s">
        <v>223</v>
      </c>
      <c r="Q7" s="350" t="s">
        <v>232</v>
      </c>
    </row>
    <row r="8" spans="1:17">
      <c r="A8" s="351"/>
      <c r="B8" s="351"/>
      <c r="C8" s="247"/>
      <c r="D8" s="351" t="s">
        <v>377</v>
      </c>
      <c r="E8" s="246" t="s">
        <v>441</v>
      </c>
      <c r="F8" s="147" t="s">
        <v>224</v>
      </c>
      <c r="G8" s="351" t="s">
        <v>216</v>
      </c>
      <c r="H8" s="351" t="s">
        <v>377</v>
      </c>
      <c r="I8" s="351" t="s">
        <v>214</v>
      </c>
      <c r="J8" s="351" t="s">
        <v>210</v>
      </c>
      <c r="K8" s="351"/>
      <c r="L8" s="350" t="s">
        <v>210</v>
      </c>
      <c r="P8" s="147" t="s">
        <v>224</v>
      </c>
      <c r="Q8" s="350" t="s">
        <v>210</v>
      </c>
    </row>
    <row r="9" spans="1:17">
      <c r="A9" s="351" t="s">
        <v>190</v>
      </c>
      <c r="B9" s="351" t="s">
        <v>215</v>
      </c>
      <c r="C9" s="351" t="s">
        <v>192</v>
      </c>
      <c r="D9" s="246" t="s">
        <v>233</v>
      </c>
      <c r="E9" s="246" t="s">
        <v>445</v>
      </c>
      <c r="F9" s="140" t="s">
        <v>217</v>
      </c>
      <c r="G9" s="351" t="s">
        <v>234</v>
      </c>
      <c r="H9" s="246" t="s">
        <v>235</v>
      </c>
      <c r="I9" s="351" t="s">
        <v>236</v>
      </c>
      <c r="J9" s="351" t="s">
        <v>505</v>
      </c>
      <c r="K9" s="351" t="s">
        <v>635</v>
      </c>
      <c r="L9" s="350" t="s">
        <v>237</v>
      </c>
      <c r="P9" s="140" t="s">
        <v>217</v>
      </c>
      <c r="Q9" s="350" t="s">
        <v>237</v>
      </c>
    </row>
    <row r="10" spans="1:17">
      <c r="A10" s="249" t="s">
        <v>191</v>
      </c>
      <c r="B10" s="249" t="s">
        <v>218</v>
      </c>
      <c r="C10" s="249" t="s">
        <v>219</v>
      </c>
      <c r="D10" s="250" t="s">
        <v>239</v>
      </c>
      <c r="E10" s="250" t="s">
        <v>210</v>
      </c>
      <c r="F10" s="141" t="s">
        <v>210</v>
      </c>
      <c r="G10" s="249" t="s">
        <v>210</v>
      </c>
      <c r="H10" s="250" t="s">
        <v>239</v>
      </c>
      <c r="I10" s="249" t="s">
        <v>378</v>
      </c>
      <c r="J10" s="249" t="s">
        <v>506</v>
      </c>
      <c r="K10" s="249"/>
      <c r="L10" s="148" t="s">
        <v>214</v>
      </c>
      <c r="P10" s="141" t="s">
        <v>210</v>
      </c>
      <c r="Q10" s="148" t="s">
        <v>214</v>
      </c>
    </row>
    <row r="11" spans="1:17">
      <c r="A11" s="351"/>
      <c r="B11" s="351" t="s">
        <v>193</v>
      </c>
      <c r="C11" s="351" t="s">
        <v>194</v>
      </c>
      <c r="D11" s="246" t="s">
        <v>195</v>
      </c>
      <c r="E11" s="351" t="s">
        <v>196</v>
      </c>
      <c r="F11" s="140" t="s">
        <v>197</v>
      </c>
      <c r="G11" s="351" t="s">
        <v>198</v>
      </c>
      <c r="H11" s="600" t="s">
        <v>211</v>
      </c>
      <c r="I11" s="351" t="s">
        <v>220</v>
      </c>
      <c r="J11" s="351" t="s">
        <v>266</v>
      </c>
      <c r="K11" s="351" t="s">
        <v>503</v>
      </c>
      <c r="L11" s="350" t="s">
        <v>636</v>
      </c>
      <c r="P11" s="140" t="s">
        <v>197</v>
      </c>
      <c r="Q11" s="350" t="s">
        <v>266</v>
      </c>
    </row>
    <row r="12" spans="1:17">
      <c r="A12" s="351"/>
      <c r="B12" s="349"/>
      <c r="C12" s="351"/>
      <c r="D12" s="251"/>
      <c r="E12" s="252"/>
      <c r="F12" s="142"/>
      <c r="G12" s="349"/>
      <c r="I12" s="349"/>
      <c r="J12" s="349"/>
      <c r="K12" s="349"/>
      <c r="L12" s="29"/>
      <c r="P12" s="142"/>
      <c r="Q12" s="29"/>
    </row>
    <row r="13" spans="1:17">
      <c r="A13" s="351">
        <v>1</v>
      </c>
      <c r="B13" s="349" t="s">
        <v>199</v>
      </c>
      <c r="C13" s="253" t="s">
        <v>226</v>
      </c>
      <c r="D13" s="246">
        <f ca="1">RS!D14</f>
        <v>97109.989760000011</v>
      </c>
      <c r="E13" s="383">
        <v>1</v>
      </c>
      <c r="F13" s="384">
        <f ca="1">$E$23*E13</f>
        <v>0.13799397617805209</v>
      </c>
      <c r="G13" s="246">
        <f ca="1">D13*F13</f>
        <v>13400.593613592324</v>
      </c>
      <c r="H13" s="246">
        <f ca="1">D13+G13</f>
        <v>110510.58337359234</v>
      </c>
      <c r="I13" s="345">
        <f>RS!H14</f>
        <v>194577.50532999999</v>
      </c>
      <c r="J13" s="345">
        <f>Open!F13/1000</f>
        <v>0</v>
      </c>
      <c r="K13" s="345">
        <v>0</v>
      </c>
      <c r="L13" s="384">
        <f ca="1">(G13+K13+J13)/I13</f>
        <v>6.8870209795655238E-2</v>
      </c>
      <c r="P13" s="384">
        <v>0.12368061698122251</v>
      </c>
      <c r="Q13" s="384">
        <v>8.335092445063004E-2</v>
      </c>
    </row>
    <row r="14" spans="1:17">
      <c r="A14" s="351">
        <v>2</v>
      </c>
      <c r="B14" s="349" t="s">
        <v>200</v>
      </c>
      <c r="C14" s="253" t="s">
        <v>299</v>
      </c>
      <c r="D14" s="246">
        <f ca="1">RS!D15</f>
        <v>23833.879520000002</v>
      </c>
      <c r="E14" s="383">
        <v>1</v>
      </c>
      <c r="F14" s="384">
        <f ca="1">$E$23*E14</f>
        <v>0.13799397617805209</v>
      </c>
      <c r="G14" s="246">
        <f ca="1">D14*F14</f>
        <v>3288.9318027134441</v>
      </c>
      <c r="H14" s="246">
        <f t="shared" ref="H14:H18" ca="1" si="0">D14+G14</f>
        <v>27122.811322713445</v>
      </c>
      <c r="I14" s="345">
        <f>RS!H15</f>
        <v>73738.957999999999</v>
      </c>
      <c r="J14" s="345">
        <f>Open!F14/1000</f>
        <v>0</v>
      </c>
      <c r="K14" s="345">
        <v>0</v>
      </c>
      <c r="L14" s="384">
        <f ca="1">(G14+K14+J14)/I14</f>
        <v>4.4602363417088751E-2</v>
      </c>
      <c r="P14" s="384">
        <v>0.12368061698122251</v>
      </c>
      <c r="Q14" s="384">
        <v>6.6098558075268959E-2</v>
      </c>
    </row>
    <row r="15" spans="1:17" ht="25.5" hidden="1">
      <c r="A15" s="351">
        <v>3</v>
      </c>
      <c r="B15" s="255" t="s">
        <v>225</v>
      </c>
      <c r="C15" s="253" t="s">
        <v>300</v>
      </c>
      <c r="D15" s="246">
        <f>RS!D16</f>
        <v>0</v>
      </c>
      <c r="E15" s="383"/>
      <c r="F15" s="384">
        <f ca="1">$E$23*E15</f>
        <v>0</v>
      </c>
      <c r="G15" s="246">
        <f t="shared" ref="G15:G18" ca="1" si="1">D15*F15</f>
        <v>0</v>
      </c>
      <c r="H15" s="246">
        <f t="shared" ca="1" si="0"/>
        <v>0</v>
      </c>
      <c r="I15" s="345">
        <f>RS!H16</f>
        <v>0</v>
      </c>
      <c r="J15" s="345"/>
      <c r="K15" s="345">
        <f t="shared" ref="K15:K18" ca="1" si="2">-G15-J15</f>
        <v>0</v>
      </c>
      <c r="L15" s="384" t="e">
        <f ca="1">(G15)/I15</f>
        <v>#DIV/0!</v>
      </c>
      <c r="P15" s="384">
        <v>0.12368061698122251</v>
      </c>
      <c r="Q15" s="384" t="e">
        <v>#DIV/0!</v>
      </c>
    </row>
    <row r="16" spans="1:17">
      <c r="A16" s="351">
        <v>3</v>
      </c>
      <c r="B16" s="349" t="s">
        <v>221</v>
      </c>
      <c r="C16" s="351" t="s">
        <v>301</v>
      </c>
      <c r="D16" s="246">
        <f ca="1">RS!D17</f>
        <v>639.47675000000004</v>
      </c>
      <c r="E16" s="383">
        <v>1</v>
      </c>
      <c r="F16" s="384">
        <f ca="1">$E$23*E16</f>
        <v>0.13799397617805209</v>
      </c>
      <c r="G16" s="246">
        <f ca="1">D16*F16+0.1</f>
        <v>88.343939405918178</v>
      </c>
      <c r="H16" s="246">
        <f t="shared" ca="1" si="0"/>
        <v>727.82068940591819</v>
      </c>
      <c r="I16" s="345">
        <f>RS!H17</f>
        <v>1707.0983199999998</v>
      </c>
      <c r="J16" s="345">
        <f>Open!F15/1000</f>
        <v>0</v>
      </c>
      <c r="K16" s="345">
        <v>0</v>
      </c>
      <c r="L16" s="384">
        <f ca="1">(G16+K16+J16)/I16</f>
        <v>5.1750938051370224E-2</v>
      </c>
      <c r="P16" s="384">
        <v>0.12368061698122251</v>
      </c>
      <c r="Q16" s="384">
        <v>5.8959255064982605E-2</v>
      </c>
    </row>
    <row r="17" spans="1:17">
      <c r="A17" s="351">
        <v>4</v>
      </c>
      <c r="B17" s="349" t="s">
        <v>201</v>
      </c>
      <c r="C17" s="253" t="s">
        <v>228</v>
      </c>
      <c r="D17" s="246">
        <f ca="1">RS!D18</f>
        <v>3733.8183734999993</v>
      </c>
      <c r="E17" s="383">
        <v>1</v>
      </c>
      <c r="F17" s="384">
        <f ca="1">$E$23*E17</f>
        <v>0.13799397617805209</v>
      </c>
      <c r="G17" s="246">
        <f t="shared" ca="1" si="1"/>
        <v>515.24444368593208</v>
      </c>
      <c r="H17" s="246">
        <f t="shared" ca="1" si="0"/>
        <v>4249.0628171859316</v>
      </c>
      <c r="I17" s="345">
        <f>RS!H18</f>
        <v>3604.4011135000001</v>
      </c>
      <c r="J17" s="345">
        <f>Open!F16/1000</f>
        <v>0</v>
      </c>
      <c r="K17" s="345">
        <v>0</v>
      </c>
      <c r="L17" s="384">
        <f ca="1">(G17+K17+J17)/I17</f>
        <v>0.14294869729013363</v>
      </c>
      <c r="P17" s="384">
        <v>0.12368061698122251</v>
      </c>
      <c r="Q17" s="384">
        <v>0.12608887189283832</v>
      </c>
    </row>
    <row r="18" spans="1:17">
      <c r="A18" s="351">
        <v>5</v>
      </c>
      <c r="B18" s="349" t="s">
        <v>222</v>
      </c>
      <c r="C18" s="253" t="s">
        <v>238</v>
      </c>
      <c r="D18" s="217">
        <f>RS!D19</f>
        <v>1659.4252599999998</v>
      </c>
      <c r="E18" s="383"/>
      <c r="F18" s="384">
        <v>0</v>
      </c>
      <c r="G18" s="217">
        <f t="shared" si="1"/>
        <v>0</v>
      </c>
      <c r="H18" s="246">
        <f t="shared" si="0"/>
        <v>1659.4252599999998</v>
      </c>
      <c r="I18" s="382">
        <f>RS!H19</f>
        <v>1659.4252599999998</v>
      </c>
      <c r="J18" s="382">
        <v>0</v>
      </c>
      <c r="K18" s="382">
        <f t="shared" si="2"/>
        <v>0</v>
      </c>
      <c r="L18" s="384">
        <f>(G18+K18+J18)/I18</f>
        <v>0</v>
      </c>
      <c r="P18" s="384">
        <v>0</v>
      </c>
      <c r="Q18" s="384">
        <v>0</v>
      </c>
    </row>
    <row r="19" spans="1:17">
      <c r="A19" s="351">
        <v>6</v>
      </c>
      <c r="B19" s="256" t="s">
        <v>58</v>
      </c>
      <c r="C19" s="351"/>
      <c r="D19" s="246">
        <f ca="1">'Pres &amp; Prop Rev'!$C$145/1000</f>
        <v>126976.4896635</v>
      </c>
      <c r="E19" s="246"/>
      <c r="F19" s="384">
        <f ca="1">D23/D19</f>
        <v>0.13619056603177584</v>
      </c>
      <c r="G19" s="246">
        <f ca="1">SUM(G13:G18)</f>
        <v>17293.113799397619</v>
      </c>
      <c r="H19" s="345">
        <f ca="1">SUM(H13:H18)</f>
        <v>144269.70346289765</v>
      </c>
      <c r="I19" s="345">
        <f>SUM(I13:I18)+0.4</f>
        <v>275287.7880235</v>
      </c>
      <c r="J19" s="345">
        <f>SUM(J13:J18)</f>
        <v>0</v>
      </c>
      <c r="K19" s="345">
        <f ca="1">SUM(K13:K18)</f>
        <v>0</v>
      </c>
      <c r="L19" s="384">
        <f ca="1">(G19+K19+J19)/I19</f>
        <v>6.281831069789913E-2</v>
      </c>
      <c r="P19" s="384">
        <v>0.12160987645080862</v>
      </c>
      <c r="Q19" s="384">
        <v>7.9273193342956502E-2</v>
      </c>
    </row>
    <row r="23" spans="1:17">
      <c r="B23" t="s">
        <v>538</v>
      </c>
      <c r="D23" s="380">
        <v>17293</v>
      </c>
      <c r="E23" s="327">
        <f ca="1">D23/(D19-D18)</f>
        <v>0.13799397617805209</v>
      </c>
    </row>
    <row r="24" spans="1:17">
      <c r="B24" t="s">
        <v>539</v>
      </c>
      <c r="D24" s="380">
        <v>4564</v>
      </c>
    </row>
    <row r="26" spans="1:17">
      <c r="D26" s="326"/>
      <c r="E26" s="349"/>
    </row>
    <row r="27" spans="1:17">
      <c r="D27" s="329"/>
      <c r="E27" s="349"/>
    </row>
  </sheetData>
  <phoneticPr fontId="14" type="noConversion"/>
  <pageMargins left="0.7" right="0.7" top="0.75" bottom="0.75" header="0.3" footer="0.3"/>
  <pageSetup scale="8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2:R93"/>
  <sheetViews>
    <sheetView workbookViewId="0">
      <selection activeCell="S20" sqref="S20"/>
    </sheetView>
  </sheetViews>
  <sheetFormatPr defaultRowHeight="12.75"/>
  <cols>
    <col min="1" max="1" width="6.5703125" customWidth="1"/>
    <col min="2" max="2" width="12.140625" bestFit="1" customWidth="1"/>
    <col min="3" max="3" width="10.7109375" bestFit="1" customWidth="1"/>
    <col min="4" max="5" width="11.28515625" bestFit="1" customWidth="1"/>
    <col min="6" max="6" width="8.7109375" bestFit="1" customWidth="1"/>
    <col min="7" max="7" width="15.140625" bestFit="1" customWidth="1"/>
    <col min="8" max="8" width="15.140625" customWidth="1"/>
    <col min="9" max="12" width="9.7109375" bestFit="1" customWidth="1"/>
    <col min="13" max="13" width="12.7109375" bestFit="1" customWidth="1"/>
    <col min="15" max="15" width="13" customWidth="1"/>
    <col min="18" max="18" width="9.5703125" bestFit="1" customWidth="1"/>
  </cols>
  <sheetData>
    <row r="2" spans="1:18" ht="15.75">
      <c r="A2" s="307" t="s">
        <v>319</v>
      </c>
    </row>
    <row r="6" spans="1:18">
      <c r="A6" s="29" t="s">
        <v>316</v>
      </c>
      <c r="B6" s="29"/>
      <c r="G6" s="29" t="s">
        <v>315</v>
      </c>
      <c r="H6" s="29"/>
    </row>
    <row r="7" spans="1:18">
      <c r="B7" s="32" t="s">
        <v>212</v>
      </c>
      <c r="C7" s="32" t="s">
        <v>309</v>
      </c>
      <c r="D7" s="32" t="s">
        <v>310</v>
      </c>
      <c r="E7" s="32" t="s">
        <v>311</v>
      </c>
      <c r="F7" s="32"/>
      <c r="G7" s="32" t="s">
        <v>212</v>
      </c>
      <c r="H7" s="32" t="s">
        <v>309</v>
      </c>
      <c r="I7" s="32" t="s">
        <v>310</v>
      </c>
      <c r="J7" s="32" t="s">
        <v>311</v>
      </c>
      <c r="K7" s="32"/>
      <c r="L7" s="32" t="s">
        <v>317</v>
      </c>
      <c r="M7" s="32" t="s">
        <v>318</v>
      </c>
    </row>
    <row r="8" spans="1:18">
      <c r="B8" s="287">
        <f>'Rate Design'!D4</f>
        <v>9.5</v>
      </c>
      <c r="C8" s="288">
        <f>'Rate Design'!D16/100</f>
        <v>1.2933790000000003</v>
      </c>
      <c r="D8" s="288">
        <f>'Rate Design'!D17/100</f>
        <v>1.4452189999999998</v>
      </c>
      <c r="E8" s="226"/>
      <c r="F8" s="213"/>
      <c r="G8" s="287">
        <f>'Rate Design'!D26</f>
        <v>15</v>
      </c>
      <c r="H8" s="288">
        <f>'JDM-7 pg 3'!J15</f>
        <v>1.3063190000000002</v>
      </c>
      <c r="I8" s="288">
        <f>'JDM-7 pg 3'!J16</f>
        <v>1.4620189999999997</v>
      </c>
    </row>
    <row r="9" spans="1:18">
      <c r="A9">
        <v>10</v>
      </c>
      <c r="B9" s="213">
        <f>$B$8</f>
        <v>9.5</v>
      </c>
      <c r="C9" s="213">
        <f t="shared" ref="C9:C14" si="0">A9*$C$8</f>
        <v>12.933790000000002</v>
      </c>
      <c r="D9" s="213"/>
      <c r="E9" s="213">
        <f>SUM(B9:D9)</f>
        <v>22.433790000000002</v>
      </c>
      <c r="F9" s="213"/>
      <c r="G9" s="213">
        <f>$G$8</f>
        <v>15</v>
      </c>
      <c r="H9" s="213">
        <f>A9*$H$8</f>
        <v>13.063190000000002</v>
      </c>
      <c r="I9" s="213"/>
      <c r="J9" s="283">
        <f t="shared" ref="J9:J39" si="1">SUM(G9:I9)</f>
        <v>28.063190000000002</v>
      </c>
      <c r="L9" s="291">
        <f t="shared" ref="L9:L49" si="2">J9-E9</f>
        <v>5.6294000000000004</v>
      </c>
      <c r="M9" s="292">
        <f t="shared" ref="M9:M49" si="3">L9/E9</f>
        <v>0.25093397058633427</v>
      </c>
    </row>
    <row r="10" spans="1:18">
      <c r="A10">
        <f>A9+10</f>
        <v>20</v>
      </c>
      <c r="B10" s="213">
        <f t="shared" ref="B10:B49" si="4">$B$8</f>
        <v>9.5</v>
      </c>
      <c r="C10" s="213">
        <f t="shared" si="0"/>
        <v>25.867580000000004</v>
      </c>
      <c r="D10" s="213"/>
      <c r="E10" s="213">
        <f t="shared" ref="E10:E39" si="5">SUM(B10:D10)</f>
        <v>35.367580000000004</v>
      </c>
      <c r="F10" s="213"/>
      <c r="G10" s="213">
        <f t="shared" ref="G10:G49" si="6">$G$8</f>
        <v>15</v>
      </c>
      <c r="H10" s="213">
        <f t="shared" ref="H10:H14" si="7">A10*$H$8</f>
        <v>26.126380000000005</v>
      </c>
      <c r="I10" s="213"/>
      <c r="J10" s="283">
        <f t="shared" si="1"/>
        <v>41.126380000000005</v>
      </c>
      <c r="L10" s="291">
        <f t="shared" si="2"/>
        <v>5.7588000000000008</v>
      </c>
      <c r="M10" s="292">
        <f t="shared" si="3"/>
        <v>0.16282708627505757</v>
      </c>
    </row>
    <row r="11" spans="1:18">
      <c r="A11">
        <f t="shared" ref="A11:A49" si="8">A10+10</f>
        <v>30</v>
      </c>
      <c r="B11" s="213">
        <f t="shared" si="4"/>
        <v>9.5</v>
      </c>
      <c r="C11" s="213">
        <f t="shared" si="0"/>
        <v>38.801370000000006</v>
      </c>
      <c r="D11" s="213"/>
      <c r="E11" s="213">
        <f t="shared" si="5"/>
        <v>48.301370000000006</v>
      </c>
      <c r="F11" s="213"/>
      <c r="G11" s="213">
        <f t="shared" si="6"/>
        <v>15</v>
      </c>
      <c r="H11" s="213">
        <f t="shared" si="7"/>
        <v>39.189570000000003</v>
      </c>
      <c r="I11" s="213"/>
      <c r="J11" s="283">
        <f t="shared" si="1"/>
        <v>54.189570000000003</v>
      </c>
      <c r="L11" s="291">
        <f t="shared" si="2"/>
        <v>5.8881999999999977</v>
      </c>
      <c r="M11" s="292">
        <f t="shared" si="3"/>
        <v>0.12190544491802194</v>
      </c>
    </row>
    <row r="12" spans="1:18">
      <c r="A12">
        <f t="shared" si="8"/>
        <v>40</v>
      </c>
      <c r="B12" s="213">
        <f t="shared" si="4"/>
        <v>9.5</v>
      </c>
      <c r="C12" s="213">
        <f t="shared" si="0"/>
        <v>51.735160000000008</v>
      </c>
      <c r="D12" s="213"/>
      <c r="E12" s="213">
        <f t="shared" si="5"/>
        <v>61.235160000000008</v>
      </c>
      <c r="F12" s="213"/>
      <c r="G12" s="213">
        <f t="shared" si="6"/>
        <v>15</v>
      </c>
      <c r="H12" s="213">
        <f t="shared" si="7"/>
        <v>52.252760000000009</v>
      </c>
      <c r="I12" s="213"/>
      <c r="J12" s="283">
        <f t="shared" si="1"/>
        <v>67.252760000000009</v>
      </c>
      <c r="L12" s="291">
        <f t="shared" si="2"/>
        <v>6.0176000000000016</v>
      </c>
      <c r="M12" s="292">
        <f t="shared" si="3"/>
        <v>9.8270340111792004E-2</v>
      </c>
    </row>
    <row r="13" spans="1:18">
      <c r="A13">
        <v>50</v>
      </c>
      <c r="B13" s="213">
        <f t="shared" si="4"/>
        <v>9.5</v>
      </c>
      <c r="C13" s="213">
        <f t="shared" si="0"/>
        <v>64.668950000000009</v>
      </c>
      <c r="D13" s="213"/>
      <c r="E13" s="213">
        <f t="shared" si="5"/>
        <v>74.168950000000009</v>
      </c>
      <c r="F13" s="213"/>
      <c r="G13" s="213">
        <f t="shared" si="6"/>
        <v>15</v>
      </c>
      <c r="H13" s="213">
        <f t="shared" si="7"/>
        <v>65.315950000000015</v>
      </c>
      <c r="I13" s="213"/>
      <c r="J13" s="283">
        <f t="shared" si="1"/>
        <v>80.315950000000015</v>
      </c>
      <c r="L13" s="291">
        <f t="shared" si="2"/>
        <v>6.1470000000000056</v>
      </c>
      <c r="M13" s="292">
        <f t="shared" si="3"/>
        <v>8.2878347340767322E-2</v>
      </c>
    </row>
    <row r="14" spans="1:18" ht="13.5" thickBot="1">
      <c r="A14">
        <f t="shared" si="8"/>
        <v>60</v>
      </c>
      <c r="B14" s="213">
        <f t="shared" si="4"/>
        <v>9.5</v>
      </c>
      <c r="C14" s="213">
        <f t="shared" si="0"/>
        <v>77.602740000000011</v>
      </c>
      <c r="D14" s="213"/>
      <c r="E14" s="213">
        <f t="shared" si="5"/>
        <v>87.102740000000011</v>
      </c>
      <c r="F14" s="213"/>
      <c r="G14" s="213">
        <f t="shared" si="6"/>
        <v>15</v>
      </c>
      <c r="H14" s="213">
        <f t="shared" si="7"/>
        <v>78.379140000000007</v>
      </c>
      <c r="I14" s="213"/>
      <c r="J14" s="283">
        <f t="shared" si="1"/>
        <v>93.379140000000007</v>
      </c>
      <c r="L14" s="291">
        <f t="shared" si="2"/>
        <v>6.2763999999999953</v>
      </c>
      <c r="M14" s="292">
        <f t="shared" si="3"/>
        <v>7.2057434702972545E-2</v>
      </c>
    </row>
    <row r="15" spans="1:18" ht="13.5" thickBot="1">
      <c r="A15" s="284">
        <f>ROUND('Pres &amp; Prop Rev'!D46/'Pres &amp; Prop Rev'!D48,0)</f>
        <v>66</v>
      </c>
      <c r="B15" s="285">
        <f t="shared" si="4"/>
        <v>9.5</v>
      </c>
      <c r="C15" s="285">
        <f>ROUND(A15*$C$8,2)</f>
        <v>85.36</v>
      </c>
      <c r="D15" s="285"/>
      <c r="E15" s="285">
        <f>SUM(B15:D15)</f>
        <v>94.86</v>
      </c>
      <c r="F15" s="285"/>
      <c r="G15" s="285">
        <f t="shared" si="6"/>
        <v>15</v>
      </c>
      <c r="H15" s="285">
        <f>ROUND(A15*$H$8,2)</f>
        <v>86.22</v>
      </c>
      <c r="I15" s="285"/>
      <c r="J15" s="295">
        <f t="shared" ref="J15" si="9">SUM(G15:I15)</f>
        <v>101.22</v>
      </c>
      <c r="K15" s="296"/>
      <c r="L15" s="321">
        <f t="shared" si="2"/>
        <v>6.3599999999999994</v>
      </c>
      <c r="M15" s="323">
        <f t="shared" si="3"/>
        <v>6.7046173308032891E-2</v>
      </c>
      <c r="P15" s="213"/>
      <c r="Q15" s="283"/>
      <c r="R15" s="327"/>
    </row>
    <row r="16" spans="1:18">
      <c r="A16">
        <f>A14+10</f>
        <v>70</v>
      </c>
      <c r="B16" s="213">
        <f t="shared" si="4"/>
        <v>9.5</v>
      </c>
      <c r="C16" s="213">
        <f>ROUND(A16*$C$8,2)</f>
        <v>90.54</v>
      </c>
      <c r="D16" s="213"/>
      <c r="E16" s="213">
        <f t="shared" si="5"/>
        <v>100.04</v>
      </c>
      <c r="F16" s="213"/>
      <c r="G16" s="213">
        <f t="shared" si="6"/>
        <v>15</v>
      </c>
      <c r="H16" s="213">
        <f>ROUND(A16*$H$8,2)</f>
        <v>91.44</v>
      </c>
      <c r="I16" s="213"/>
      <c r="J16" s="283">
        <f t="shared" si="1"/>
        <v>106.44</v>
      </c>
      <c r="L16" s="291">
        <f>J16-E16</f>
        <v>6.3999999999999915</v>
      </c>
      <c r="M16" s="292">
        <f t="shared" si="3"/>
        <v>6.3974410235905554E-2</v>
      </c>
    </row>
    <row r="17" spans="1:17">
      <c r="A17">
        <f t="shared" si="8"/>
        <v>80</v>
      </c>
      <c r="B17" s="213">
        <f t="shared" si="4"/>
        <v>9.5</v>
      </c>
      <c r="C17" s="213">
        <f>70*$C$8</f>
        <v>90.536530000000013</v>
      </c>
      <c r="D17" s="213">
        <f>(A17-70)*$D$8</f>
        <v>14.452189999999998</v>
      </c>
      <c r="E17" s="213">
        <f>SUM(B17:D17)</f>
        <v>114.48872000000001</v>
      </c>
      <c r="F17" s="213"/>
      <c r="G17" s="213">
        <f t="shared" si="6"/>
        <v>15</v>
      </c>
      <c r="H17" s="213">
        <f>70*$H$8</f>
        <v>91.442330000000013</v>
      </c>
      <c r="I17" s="213">
        <f>(A17-70)*$I$8</f>
        <v>14.620189999999997</v>
      </c>
      <c r="J17" s="283">
        <f t="shared" si="1"/>
        <v>121.06252000000001</v>
      </c>
      <c r="L17" s="291">
        <f t="shared" si="2"/>
        <v>6.5737999999999914</v>
      </c>
      <c r="M17" s="292">
        <f t="shared" si="3"/>
        <v>5.7418757061830986E-2</v>
      </c>
    </row>
    <row r="18" spans="1:17">
      <c r="A18">
        <f t="shared" si="8"/>
        <v>90</v>
      </c>
      <c r="B18" s="213">
        <f t="shared" si="4"/>
        <v>9.5</v>
      </c>
      <c r="C18" s="213">
        <f t="shared" ref="C18:C49" si="10">70*$C$8</f>
        <v>90.536530000000013</v>
      </c>
      <c r="D18" s="213">
        <f>(A18-70)*$D$8</f>
        <v>28.904379999999996</v>
      </c>
      <c r="E18" s="213">
        <f t="shared" si="5"/>
        <v>128.94091</v>
      </c>
      <c r="F18" s="213"/>
      <c r="G18" s="213">
        <f t="shared" si="6"/>
        <v>15</v>
      </c>
      <c r="H18" s="213">
        <f t="shared" ref="H18:H49" si="11">70*$H$8</f>
        <v>91.442330000000013</v>
      </c>
      <c r="I18" s="213">
        <f t="shared" ref="I18:I39" si="12">(A18-70)*$I$8</f>
        <v>29.240379999999995</v>
      </c>
      <c r="J18" s="283">
        <f t="shared" si="1"/>
        <v>135.68271000000001</v>
      </c>
      <c r="L18" s="291">
        <f t="shared" si="2"/>
        <v>6.741800000000012</v>
      </c>
      <c r="M18" s="292">
        <f t="shared" si="3"/>
        <v>5.2285965718715743E-2</v>
      </c>
    </row>
    <row r="19" spans="1:17">
      <c r="A19">
        <f t="shared" si="8"/>
        <v>100</v>
      </c>
      <c r="B19" s="213">
        <f t="shared" si="4"/>
        <v>9.5</v>
      </c>
      <c r="C19" s="213">
        <f t="shared" si="10"/>
        <v>90.536530000000013</v>
      </c>
      <c r="D19" s="213">
        <f t="shared" ref="D19:D39" si="13">(A19-70)*$D$8</f>
        <v>43.356569999999991</v>
      </c>
      <c r="E19" s="213">
        <f t="shared" si="5"/>
        <v>143.3931</v>
      </c>
      <c r="F19" s="213"/>
      <c r="G19" s="213">
        <f t="shared" si="6"/>
        <v>15</v>
      </c>
      <c r="H19" s="213">
        <f t="shared" si="11"/>
        <v>91.442330000000013</v>
      </c>
      <c r="I19" s="213">
        <f t="shared" si="12"/>
        <v>43.860569999999996</v>
      </c>
      <c r="J19" s="283">
        <f t="shared" si="1"/>
        <v>150.30290000000002</v>
      </c>
      <c r="L19" s="291">
        <f t="shared" si="2"/>
        <v>6.9098000000000184</v>
      </c>
      <c r="M19" s="292">
        <f t="shared" si="3"/>
        <v>4.8187813779045283E-2</v>
      </c>
      <c r="Q19" s="283"/>
    </row>
    <row r="20" spans="1:17">
      <c r="A20">
        <f t="shared" si="8"/>
        <v>110</v>
      </c>
      <c r="B20" s="213">
        <f t="shared" si="4"/>
        <v>9.5</v>
      </c>
      <c r="C20" s="213">
        <f t="shared" si="10"/>
        <v>90.536530000000013</v>
      </c>
      <c r="D20" s="213">
        <f t="shared" si="13"/>
        <v>57.808759999999992</v>
      </c>
      <c r="E20" s="213">
        <f t="shared" si="5"/>
        <v>157.84529000000001</v>
      </c>
      <c r="F20" s="213"/>
      <c r="G20" s="213">
        <f t="shared" si="6"/>
        <v>15</v>
      </c>
      <c r="H20" s="213">
        <f t="shared" si="11"/>
        <v>91.442330000000013</v>
      </c>
      <c r="I20" s="213">
        <f t="shared" si="12"/>
        <v>58.480759999999989</v>
      </c>
      <c r="J20" s="283">
        <f t="shared" si="1"/>
        <v>164.92309</v>
      </c>
      <c r="L20" s="291">
        <f t="shared" si="2"/>
        <v>7.0777999999999963</v>
      </c>
      <c r="M20" s="292">
        <f t="shared" si="3"/>
        <v>4.4840108944650778E-2</v>
      </c>
    </row>
    <row r="21" spans="1:17">
      <c r="A21">
        <f t="shared" si="8"/>
        <v>120</v>
      </c>
      <c r="B21" s="213">
        <f t="shared" si="4"/>
        <v>9.5</v>
      </c>
      <c r="C21" s="213">
        <f t="shared" si="10"/>
        <v>90.536530000000013</v>
      </c>
      <c r="D21" s="213">
        <f t="shared" si="13"/>
        <v>72.260949999999994</v>
      </c>
      <c r="E21" s="213">
        <f t="shared" si="5"/>
        <v>172.29748000000001</v>
      </c>
      <c r="F21" s="213"/>
      <c r="G21" s="213">
        <f t="shared" si="6"/>
        <v>15</v>
      </c>
      <c r="H21" s="213">
        <f t="shared" si="11"/>
        <v>91.442330000000013</v>
      </c>
      <c r="I21" s="213">
        <f t="shared" si="12"/>
        <v>73.100949999999983</v>
      </c>
      <c r="J21" s="283">
        <f t="shared" si="1"/>
        <v>179.54327999999998</v>
      </c>
      <c r="L21" s="291">
        <f t="shared" si="2"/>
        <v>7.2457999999999743</v>
      </c>
      <c r="M21" s="292">
        <f t="shared" si="3"/>
        <v>4.205401030821794E-2</v>
      </c>
    </row>
    <row r="22" spans="1:17">
      <c r="A22">
        <f t="shared" si="8"/>
        <v>130</v>
      </c>
      <c r="B22" s="213">
        <f t="shared" si="4"/>
        <v>9.5</v>
      </c>
      <c r="C22" s="213">
        <f t="shared" si="10"/>
        <v>90.536530000000013</v>
      </c>
      <c r="D22" s="213">
        <f t="shared" si="13"/>
        <v>86.713139999999981</v>
      </c>
      <c r="E22" s="213">
        <f t="shared" si="5"/>
        <v>186.74966999999998</v>
      </c>
      <c r="F22" s="213"/>
      <c r="G22" s="213">
        <f t="shared" si="6"/>
        <v>15</v>
      </c>
      <c r="H22" s="213">
        <f t="shared" si="11"/>
        <v>91.442330000000013</v>
      </c>
      <c r="I22" s="213">
        <f t="shared" si="12"/>
        <v>87.721139999999991</v>
      </c>
      <c r="J22" s="283">
        <f t="shared" si="1"/>
        <v>194.16347000000002</v>
      </c>
      <c r="L22" s="291">
        <f t="shared" si="2"/>
        <v>7.4138000000000375</v>
      </c>
      <c r="M22" s="292">
        <f t="shared" si="3"/>
        <v>3.9699133069418746E-2</v>
      </c>
    </row>
    <row r="23" spans="1:17">
      <c r="A23">
        <f t="shared" si="8"/>
        <v>140</v>
      </c>
      <c r="B23" s="213">
        <f t="shared" si="4"/>
        <v>9.5</v>
      </c>
      <c r="C23" s="213">
        <f t="shared" si="10"/>
        <v>90.536530000000013</v>
      </c>
      <c r="D23" s="213">
        <f t="shared" si="13"/>
        <v>101.16532999999998</v>
      </c>
      <c r="E23" s="213">
        <f t="shared" si="5"/>
        <v>201.20186000000001</v>
      </c>
      <c r="F23" s="213"/>
      <c r="G23" s="213">
        <f t="shared" si="6"/>
        <v>15</v>
      </c>
      <c r="H23" s="213">
        <f t="shared" si="11"/>
        <v>91.442330000000013</v>
      </c>
      <c r="I23" s="213">
        <f t="shared" si="12"/>
        <v>102.34132999999999</v>
      </c>
      <c r="J23" s="283">
        <f t="shared" si="1"/>
        <v>208.78366</v>
      </c>
      <c r="L23" s="291">
        <f t="shared" si="2"/>
        <v>7.581799999999987</v>
      </c>
      <c r="M23" s="292">
        <f t="shared" si="3"/>
        <v>3.7682554226884317E-2</v>
      </c>
    </row>
    <row r="24" spans="1:17">
      <c r="A24">
        <f t="shared" si="8"/>
        <v>150</v>
      </c>
      <c r="B24" s="213">
        <f t="shared" si="4"/>
        <v>9.5</v>
      </c>
      <c r="C24" s="213">
        <f t="shared" si="10"/>
        <v>90.536530000000013</v>
      </c>
      <c r="D24" s="213">
        <f t="shared" si="13"/>
        <v>115.61751999999998</v>
      </c>
      <c r="E24" s="213">
        <f t="shared" si="5"/>
        <v>215.65404999999998</v>
      </c>
      <c r="F24" s="213"/>
      <c r="G24" s="213">
        <f t="shared" si="6"/>
        <v>15</v>
      </c>
      <c r="H24" s="213">
        <f t="shared" si="11"/>
        <v>91.442330000000013</v>
      </c>
      <c r="I24" s="213">
        <f t="shared" si="12"/>
        <v>116.96151999999998</v>
      </c>
      <c r="J24" s="283">
        <f t="shared" si="1"/>
        <v>223.40384999999998</v>
      </c>
      <c r="L24" s="291">
        <f t="shared" si="2"/>
        <v>7.7497999999999934</v>
      </c>
      <c r="M24" s="292">
        <f t="shared" si="3"/>
        <v>3.5936259949673997E-2</v>
      </c>
    </row>
    <row r="25" spans="1:17">
      <c r="A25">
        <f t="shared" si="8"/>
        <v>160</v>
      </c>
      <c r="B25" s="213">
        <f t="shared" si="4"/>
        <v>9.5</v>
      </c>
      <c r="C25" s="213">
        <f t="shared" si="10"/>
        <v>90.536530000000013</v>
      </c>
      <c r="D25" s="213">
        <f t="shared" si="13"/>
        <v>130.06970999999999</v>
      </c>
      <c r="E25" s="213">
        <f t="shared" si="5"/>
        <v>230.10624000000001</v>
      </c>
      <c r="F25" s="213"/>
      <c r="G25" s="213">
        <f t="shared" si="6"/>
        <v>15</v>
      </c>
      <c r="H25" s="213">
        <f t="shared" si="11"/>
        <v>91.442330000000013</v>
      </c>
      <c r="I25" s="213">
        <f t="shared" si="12"/>
        <v>131.58170999999999</v>
      </c>
      <c r="J25" s="283">
        <f t="shared" si="1"/>
        <v>238.02404000000001</v>
      </c>
      <c r="L25" s="291">
        <f t="shared" si="2"/>
        <v>7.9177999999999997</v>
      </c>
      <c r="M25" s="292">
        <f t="shared" si="3"/>
        <v>3.440932327606587E-2</v>
      </c>
    </row>
    <row r="26" spans="1:17">
      <c r="A26">
        <f t="shared" si="8"/>
        <v>170</v>
      </c>
      <c r="B26" s="213">
        <f t="shared" si="4"/>
        <v>9.5</v>
      </c>
      <c r="C26" s="213">
        <f t="shared" si="10"/>
        <v>90.536530000000013</v>
      </c>
      <c r="D26" s="213">
        <f t="shared" si="13"/>
        <v>144.52189999999999</v>
      </c>
      <c r="E26" s="213">
        <f t="shared" si="5"/>
        <v>244.55842999999999</v>
      </c>
      <c r="F26" s="213"/>
      <c r="G26" s="213">
        <f t="shared" si="6"/>
        <v>15</v>
      </c>
      <c r="H26" s="213">
        <f t="shared" si="11"/>
        <v>91.442330000000013</v>
      </c>
      <c r="I26" s="213">
        <f t="shared" si="12"/>
        <v>146.20189999999997</v>
      </c>
      <c r="J26" s="283">
        <f t="shared" si="1"/>
        <v>252.64422999999999</v>
      </c>
      <c r="L26" s="291">
        <f t="shared" si="2"/>
        <v>8.0858000000000061</v>
      </c>
      <c r="M26" s="292">
        <f t="shared" si="3"/>
        <v>3.3062855367529169E-2</v>
      </c>
    </row>
    <row r="27" spans="1:17">
      <c r="A27">
        <f t="shared" si="8"/>
        <v>180</v>
      </c>
      <c r="B27" s="213">
        <f t="shared" si="4"/>
        <v>9.5</v>
      </c>
      <c r="C27" s="213">
        <f t="shared" si="10"/>
        <v>90.536530000000013</v>
      </c>
      <c r="D27" s="213">
        <f t="shared" si="13"/>
        <v>158.97408999999999</v>
      </c>
      <c r="E27" s="213">
        <f t="shared" si="5"/>
        <v>259.01062000000002</v>
      </c>
      <c r="F27" s="213"/>
      <c r="G27" s="213">
        <f t="shared" si="6"/>
        <v>15</v>
      </c>
      <c r="H27" s="213">
        <f t="shared" si="11"/>
        <v>91.442330000000013</v>
      </c>
      <c r="I27" s="213">
        <f t="shared" si="12"/>
        <v>160.82208999999997</v>
      </c>
      <c r="J27" s="283">
        <f t="shared" si="1"/>
        <v>267.26441999999997</v>
      </c>
      <c r="L27" s="291">
        <f t="shared" si="2"/>
        <v>8.2537999999999556</v>
      </c>
      <c r="M27" s="292">
        <f t="shared" si="3"/>
        <v>3.1866647012388741E-2</v>
      </c>
    </row>
    <row r="28" spans="1:17">
      <c r="A28">
        <f t="shared" si="8"/>
        <v>190</v>
      </c>
      <c r="B28" s="213">
        <f t="shared" si="4"/>
        <v>9.5</v>
      </c>
      <c r="C28" s="213">
        <f t="shared" si="10"/>
        <v>90.536530000000013</v>
      </c>
      <c r="D28" s="213">
        <f t="shared" si="13"/>
        <v>173.42627999999996</v>
      </c>
      <c r="E28" s="213">
        <f t="shared" si="5"/>
        <v>273.46280999999999</v>
      </c>
      <c r="F28" s="213"/>
      <c r="G28" s="213">
        <f t="shared" si="6"/>
        <v>15</v>
      </c>
      <c r="H28" s="213">
        <f t="shared" si="11"/>
        <v>91.442330000000013</v>
      </c>
      <c r="I28" s="213">
        <f t="shared" si="12"/>
        <v>175.44227999999998</v>
      </c>
      <c r="J28" s="283">
        <f t="shared" si="1"/>
        <v>281.88461000000001</v>
      </c>
      <c r="L28" s="291">
        <f t="shared" si="2"/>
        <v>8.4218000000000188</v>
      </c>
      <c r="M28" s="292">
        <f t="shared" si="3"/>
        <v>3.0796875085135046E-2</v>
      </c>
    </row>
    <row r="29" spans="1:17">
      <c r="A29" s="81">
        <f t="shared" si="8"/>
        <v>200</v>
      </c>
      <c r="B29" s="289">
        <f t="shared" si="4"/>
        <v>9.5</v>
      </c>
      <c r="C29" s="213">
        <f t="shared" si="10"/>
        <v>90.536530000000013</v>
      </c>
      <c r="D29" s="213">
        <f t="shared" si="13"/>
        <v>187.87846999999996</v>
      </c>
      <c r="E29" s="289">
        <f t="shared" si="5"/>
        <v>287.91499999999996</v>
      </c>
      <c r="F29" s="289"/>
      <c r="G29" s="289">
        <f t="shared" si="6"/>
        <v>15</v>
      </c>
      <c r="H29" s="289">
        <f t="shared" si="11"/>
        <v>91.442330000000013</v>
      </c>
      <c r="I29" s="289">
        <f t="shared" si="12"/>
        <v>190.06246999999996</v>
      </c>
      <c r="J29" s="290">
        <f t="shared" si="1"/>
        <v>296.50479999999999</v>
      </c>
      <c r="K29" s="81"/>
      <c r="L29" s="293">
        <f t="shared" si="2"/>
        <v>8.5898000000000252</v>
      </c>
      <c r="M29" s="294">
        <f t="shared" si="3"/>
        <v>2.9834499765555897E-2</v>
      </c>
    </row>
    <row r="30" spans="1:17">
      <c r="A30">
        <f t="shared" si="8"/>
        <v>210</v>
      </c>
      <c r="B30" s="213">
        <f t="shared" si="4"/>
        <v>9.5</v>
      </c>
      <c r="C30" s="213">
        <f t="shared" si="10"/>
        <v>90.536530000000013</v>
      </c>
      <c r="D30" s="213">
        <f t="shared" si="13"/>
        <v>202.33065999999997</v>
      </c>
      <c r="E30" s="213">
        <f t="shared" si="5"/>
        <v>302.36718999999999</v>
      </c>
      <c r="F30" s="213"/>
      <c r="G30" s="213">
        <f t="shared" si="6"/>
        <v>15</v>
      </c>
      <c r="H30" s="213">
        <f t="shared" si="11"/>
        <v>91.442330000000013</v>
      </c>
      <c r="I30" s="213">
        <f t="shared" si="12"/>
        <v>204.68265999999997</v>
      </c>
      <c r="J30" s="283">
        <f t="shared" si="1"/>
        <v>311.12498999999997</v>
      </c>
      <c r="L30" s="291">
        <f t="shared" si="2"/>
        <v>8.7577999999999747</v>
      </c>
      <c r="M30" s="292">
        <f t="shared" si="3"/>
        <v>2.8964121404838849E-2</v>
      </c>
    </row>
    <row r="31" spans="1:17">
      <c r="A31">
        <f t="shared" si="8"/>
        <v>220</v>
      </c>
      <c r="B31" s="213">
        <f t="shared" si="4"/>
        <v>9.5</v>
      </c>
      <c r="C31" s="213">
        <f t="shared" si="10"/>
        <v>90.536530000000013</v>
      </c>
      <c r="D31" s="213">
        <f t="shared" si="13"/>
        <v>216.78284999999997</v>
      </c>
      <c r="E31" s="213">
        <f t="shared" si="5"/>
        <v>316.81937999999997</v>
      </c>
      <c r="F31" s="213"/>
      <c r="G31" s="213">
        <f t="shared" si="6"/>
        <v>15</v>
      </c>
      <c r="H31" s="213">
        <f t="shared" si="11"/>
        <v>91.442330000000013</v>
      </c>
      <c r="I31" s="213">
        <f t="shared" si="12"/>
        <v>219.30284999999995</v>
      </c>
      <c r="J31" s="283">
        <f t="shared" si="1"/>
        <v>325.74517999999995</v>
      </c>
      <c r="L31" s="291">
        <f t="shared" si="2"/>
        <v>8.9257999999999811</v>
      </c>
      <c r="M31" s="292">
        <f t="shared" si="3"/>
        <v>2.817315026624944E-2</v>
      </c>
    </row>
    <row r="32" spans="1:17">
      <c r="A32">
        <f t="shared" si="8"/>
        <v>230</v>
      </c>
      <c r="B32" s="213">
        <f t="shared" si="4"/>
        <v>9.5</v>
      </c>
      <c r="C32" s="213">
        <f t="shared" si="10"/>
        <v>90.536530000000013</v>
      </c>
      <c r="D32" s="213">
        <f t="shared" si="13"/>
        <v>231.23503999999997</v>
      </c>
      <c r="E32" s="213">
        <f t="shared" si="5"/>
        <v>331.27157</v>
      </c>
      <c r="F32" s="213"/>
      <c r="G32" s="213">
        <f t="shared" si="6"/>
        <v>15</v>
      </c>
      <c r="H32" s="213">
        <f t="shared" si="11"/>
        <v>91.442330000000013</v>
      </c>
      <c r="I32" s="213">
        <f t="shared" si="12"/>
        <v>233.92303999999996</v>
      </c>
      <c r="J32" s="283">
        <f t="shared" si="1"/>
        <v>340.36536999999998</v>
      </c>
      <c r="L32" s="291">
        <f t="shared" si="2"/>
        <v>9.0937999999999874</v>
      </c>
      <c r="M32" s="292">
        <f t="shared" si="3"/>
        <v>2.7451193593220173E-2</v>
      </c>
    </row>
    <row r="33" spans="1:13">
      <c r="A33">
        <f t="shared" si="8"/>
        <v>240</v>
      </c>
      <c r="B33" s="213">
        <f t="shared" si="4"/>
        <v>9.5</v>
      </c>
      <c r="C33" s="213">
        <f t="shared" si="10"/>
        <v>90.536530000000013</v>
      </c>
      <c r="D33" s="213">
        <f t="shared" si="13"/>
        <v>245.68722999999997</v>
      </c>
      <c r="E33" s="213">
        <f t="shared" si="5"/>
        <v>345.72375999999997</v>
      </c>
      <c r="F33" s="213"/>
      <c r="G33" s="213">
        <f t="shared" si="6"/>
        <v>15</v>
      </c>
      <c r="H33" s="213">
        <f t="shared" si="11"/>
        <v>91.442330000000013</v>
      </c>
      <c r="I33" s="213">
        <f t="shared" si="12"/>
        <v>248.54322999999997</v>
      </c>
      <c r="J33" s="283">
        <f t="shared" si="1"/>
        <v>354.98555999999996</v>
      </c>
      <c r="L33" s="291">
        <f t="shared" si="2"/>
        <v>9.2617999999999938</v>
      </c>
      <c r="M33" s="292">
        <f t="shared" si="3"/>
        <v>2.6789596410729755E-2</v>
      </c>
    </row>
    <row r="34" spans="1:13">
      <c r="A34">
        <f t="shared" si="8"/>
        <v>250</v>
      </c>
      <c r="B34" s="213">
        <f t="shared" si="4"/>
        <v>9.5</v>
      </c>
      <c r="C34" s="213">
        <f t="shared" si="10"/>
        <v>90.536530000000013</v>
      </c>
      <c r="D34" s="213">
        <f t="shared" si="13"/>
        <v>260.13941999999997</v>
      </c>
      <c r="E34" s="213">
        <f t="shared" si="5"/>
        <v>360.17595</v>
      </c>
      <c r="F34" s="213"/>
      <c r="G34" s="213">
        <f t="shared" si="6"/>
        <v>15</v>
      </c>
      <c r="H34" s="213">
        <f t="shared" si="11"/>
        <v>91.442330000000013</v>
      </c>
      <c r="I34" s="213">
        <f t="shared" si="12"/>
        <v>263.16341999999997</v>
      </c>
      <c r="J34" s="283">
        <f t="shared" si="1"/>
        <v>369.60575</v>
      </c>
      <c r="L34" s="291">
        <f t="shared" si="2"/>
        <v>9.4298000000000002</v>
      </c>
      <c r="M34" s="292">
        <f t="shared" si="3"/>
        <v>2.6181092879743916E-2</v>
      </c>
    </row>
    <row r="35" spans="1:13">
      <c r="A35">
        <f t="shared" si="8"/>
        <v>260</v>
      </c>
      <c r="B35" s="213">
        <f t="shared" si="4"/>
        <v>9.5</v>
      </c>
      <c r="C35" s="213">
        <f t="shared" si="10"/>
        <v>90.536530000000013</v>
      </c>
      <c r="D35" s="213">
        <f t="shared" si="13"/>
        <v>274.59160999999995</v>
      </c>
      <c r="E35" s="213">
        <f t="shared" si="5"/>
        <v>374.62813999999997</v>
      </c>
      <c r="F35" s="213"/>
      <c r="G35" s="213">
        <f t="shared" si="6"/>
        <v>15</v>
      </c>
      <c r="H35" s="213">
        <f t="shared" si="11"/>
        <v>91.442330000000013</v>
      </c>
      <c r="I35" s="213">
        <f t="shared" si="12"/>
        <v>277.78360999999995</v>
      </c>
      <c r="J35" s="283">
        <f t="shared" si="1"/>
        <v>384.22593999999998</v>
      </c>
      <c r="L35" s="291">
        <f t="shared" si="2"/>
        <v>9.5978000000000065</v>
      </c>
      <c r="M35" s="292">
        <f t="shared" si="3"/>
        <v>2.5619538350749645E-2</v>
      </c>
    </row>
    <row r="36" spans="1:13">
      <c r="A36">
        <f t="shared" si="8"/>
        <v>270</v>
      </c>
      <c r="B36" s="213">
        <f t="shared" si="4"/>
        <v>9.5</v>
      </c>
      <c r="C36" s="213">
        <f t="shared" si="10"/>
        <v>90.536530000000013</v>
      </c>
      <c r="D36" s="213">
        <f t="shared" si="13"/>
        <v>289.04379999999998</v>
      </c>
      <c r="E36" s="213">
        <f t="shared" si="5"/>
        <v>389.08033</v>
      </c>
      <c r="F36" s="213"/>
      <c r="G36" s="213">
        <f t="shared" si="6"/>
        <v>15</v>
      </c>
      <c r="H36" s="213">
        <f t="shared" si="11"/>
        <v>91.442330000000013</v>
      </c>
      <c r="I36" s="213">
        <f t="shared" si="12"/>
        <v>292.40379999999993</v>
      </c>
      <c r="J36" s="283">
        <f t="shared" si="1"/>
        <v>398.84612999999996</v>
      </c>
      <c r="L36" s="291">
        <f t="shared" si="2"/>
        <v>9.7657999999999561</v>
      </c>
      <c r="M36" s="292">
        <f t="shared" si="3"/>
        <v>2.5099701133696365E-2</v>
      </c>
    </row>
    <row r="37" spans="1:13">
      <c r="A37">
        <f t="shared" si="8"/>
        <v>280</v>
      </c>
      <c r="B37" s="213">
        <f t="shared" si="4"/>
        <v>9.5</v>
      </c>
      <c r="C37" s="213">
        <f t="shared" si="10"/>
        <v>90.536530000000013</v>
      </c>
      <c r="D37" s="213">
        <f t="shared" si="13"/>
        <v>303.49598999999995</v>
      </c>
      <c r="E37" s="213">
        <f t="shared" si="5"/>
        <v>403.53251999999998</v>
      </c>
      <c r="F37" s="213"/>
      <c r="G37" s="213">
        <f t="shared" si="6"/>
        <v>15</v>
      </c>
      <c r="H37" s="213">
        <f t="shared" si="11"/>
        <v>91.442330000000013</v>
      </c>
      <c r="I37" s="213">
        <f t="shared" si="12"/>
        <v>307.02398999999997</v>
      </c>
      <c r="J37" s="283">
        <f t="shared" si="1"/>
        <v>413.46632</v>
      </c>
      <c r="L37" s="291">
        <f t="shared" si="2"/>
        <v>9.9338000000000193</v>
      </c>
      <c r="M37" s="292">
        <f t="shared" si="3"/>
        <v>2.4617099013482285E-2</v>
      </c>
    </row>
    <row r="38" spans="1:13">
      <c r="A38">
        <f t="shared" si="8"/>
        <v>290</v>
      </c>
      <c r="B38" s="213">
        <f t="shared" si="4"/>
        <v>9.5</v>
      </c>
      <c r="C38" s="213">
        <f t="shared" si="10"/>
        <v>90.536530000000013</v>
      </c>
      <c r="D38" s="213">
        <f t="shared" si="13"/>
        <v>317.94817999999998</v>
      </c>
      <c r="E38" s="213">
        <f>SUM(B38:D38)</f>
        <v>417.98471000000001</v>
      </c>
      <c r="F38" s="213"/>
      <c r="G38" s="213">
        <f t="shared" si="6"/>
        <v>15</v>
      </c>
      <c r="H38" s="213">
        <f t="shared" si="11"/>
        <v>91.442330000000013</v>
      </c>
      <c r="I38" s="213">
        <f t="shared" si="12"/>
        <v>321.64417999999995</v>
      </c>
      <c r="J38" s="283">
        <f t="shared" si="1"/>
        <v>428.08650999999998</v>
      </c>
      <c r="L38" s="291">
        <f t="shared" si="2"/>
        <v>10.101799999999969</v>
      </c>
      <c r="M38" s="292">
        <f t="shared" si="3"/>
        <v>2.4167869681166014E-2</v>
      </c>
    </row>
    <row r="39" spans="1:13">
      <c r="A39">
        <f t="shared" si="8"/>
        <v>300</v>
      </c>
      <c r="B39" s="213">
        <f t="shared" si="4"/>
        <v>9.5</v>
      </c>
      <c r="C39" s="213">
        <f t="shared" si="10"/>
        <v>90.536530000000013</v>
      </c>
      <c r="D39" s="213">
        <f t="shared" si="13"/>
        <v>332.40036999999995</v>
      </c>
      <c r="E39" s="213">
        <f t="shared" si="5"/>
        <v>432.43689999999998</v>
      </c>
      <c r="F39" s="213"/>
      <c r="G39" s="213">
        <f t="shared" si="6"/>
        <v>15</v>
      </c>
      <c r="H39" s="213">
        <f t="shared" si="11"/>
        <v>91.442330000000013</v>
      </c>
      <c r="I39" s="213">
        <f t="shared" si="12"/>
        <v>336.26436999999993</v>
      </c>
      <c r="J39" s="283">
        <f t="shared" si="1"/>
        <v>442.70669999999996</v>
      </c>
      <c r="L39" s="291">
        <f t="shared" si="2"/>
        <v>10.269799999999975</v>
      </c>
      <c r="M39" s="292">
        <f t="shared" si="3"/>
        <v>2.3748667146582487E-2</v>
      </c>
    </row>
    <row r="40" spans="1:13">
      <c r="A40">
        <f t="shared" si="8"/>
        <v>310</v>
      </c>
      <c r="B40" s="213">
        <f t="shared" si="4"/>
        <v>9.5</v>
      </c>
      <c r="C40" s="213">
        <f t="shared" si="10"/>
        <v>90.536530000000013</v>
      </c>
      <c r="D40" s="213">
        <f t="shared" ref="D40:D49" si="14">(A40-70)*$D$8</f>
        <v>346.85255999999993</v>
      </c>
      <c r="E40" s="213">
        <f t="shared" ref="E40:E49" si="15">SUM(B40:D40)</f>
        <v>446.88908999999995</v>
      </c>
      <c r="F40" s="213"/>
      <c r="G40" s="213">
        <f t="shared" si="6"/>
        <v>15</v>
      </c>
      <c r="H40" s="213">
        <f t="shared" si="11"/>
        <v>91.442330000000013</v>
      </c>
      <c r="I40" s="213">
        <f t="shared" ref="I40:I49" si="16">(A40-70)*$I$8</f>
        <v>350.88455999999996</v>
      </c>
      <c r="J40" s="283">
        <f t="shared" ref="J40:J49" si="17">SUM(G40:I40)</f>
        <v>457.32688999999999</v>
      </c>
      <c r="L40" s="291">
        <f t="shared" si="2"/>
        <v>10.437800000000038</v>
      </c>
      <c r="M40" s="292">
        <f t="shared" si="3"/>
        <v>2.33565782507692E-2</v>
      </c>
    </row>
    <row r="41" spans="1:13">
      <c r="A41">
        <f t="shared" si="8"/>
        <v>320</v>
      </c>
      <c r="B41" s="213">
        <f t="shared" si="4"/>
        <v>9.5</v>
      </c>
      <c r="C41" s="213">
        <f t="shared" si="10"/>
        <v>90.536530000000013</v>
      </c>
      <c r="D41" s="213">
        <f t="shared" si="14"/>
        <v>361.30474999999996</v>
      </c>
      <c r="E41" s="213">
        <f t="shared" si="15"/>
        <v>461.34127999999998</v>
      </c>
      <c r="F41" s="213"/>
      <c r="G41" s="213">
        <f t="shared" si="6"/>
        <v>15</v>
      </c>
      <c r="H41" s="213">
        <f t="shared" si="11"/>
        <v>91.442330000000013</v>
      </c>
      <c r="I41" s="213">
        <f t="shared" si="16"/>
        <v>365.50474999999994</v>
      </c>
      <c r="J41" s="283">
        <f t="shared" si="17"/>
        <v>471.94707999999997</v>
      </c>
      <c r="L41" s="291">
        <f t="shared" si="2"/>
        <v>10.605799999999988</v>
      </c>
      <c r="M41" s="292">
        <f t="shared" si="3"/>
        <v>2.2989054870615498E-2</v>
      </c>
    </row>
    <row r="42" spans="1:13">
      <c r="A42">
        <f t="shared" si="8"/>
        <v>330</v>
      </c>
      <c r="B42" s="213">
        <f t="shared" si="4"/>
        <v>9.5</v>
      </c>
      <c r="C42" s="213">
        <f t="shared" si="10"/>
        <v>90.536530000000013</v>
      </c>
      <c r="D42" s="213">
        <f t="shared" si="14"/>
        <v>375.75693999999993</v>
      </c>
      <c r="E42" s="213">
        <f t="shared" si="15"/>
        <v>475.79346999999996</v>
      </c>
      <c r="F42" s="213"/>
      <c r="G42" s="213">
        <f t="shared" si="6"/>
        <v>15</v>
      </c>
      <c r="H42" s="213">
        <f t="shared" si="11"/>
        <v>91.442330000000013</v>
      </c>
      <c r="I42" s="213">
        <f t="shared" si="16"/>
        <v>380.12493999999992</v>
      </c>
      <c r="J42" s="283">
        <f t="shared" si="17"/>
        <v>486.56726999999995</v>
      </c>
      <c r="L42" s="291">
        <f t="shared" si="2"/>
        <v>10.773799999999994</v>
      </c>
      <c r="M42" s="292">
        <f t="shared" si="3"/>
        <v>2.2643858479184247E-2</v>
      </c>
    </row>
    <row r="43" spans="1:13">
      <c r="A43">
        <f t="shared" si="8"/>
        <v>340</v>
      </c>
      <c r="B43" s="213">
        <f t="shared" si="4"/>
        <v>9.5</v>
      </c>
      <c r="C43" s="213">
        <f t="shared" si="10"/>
        <v>90.536530000000013</v>
      </c>
      <c r="D43" s="213">
        <f t="shared" si="14"/>
        <v>390.20912999999996</v>
      </c>
      <c r="E43" s="213">
        <f t="shared" si="15"/>
        <v>490.24565999999999</v>
      </c>
      <c r="F43" s="213"/>
      <c r="G43" s="213">
        <f t="shared" si="6"/>
        <v>15</v>
      </c>
      <c r="H43" s="213">
        <f t="shared" si="11"/>
        <v>91.442330000000013</v>
      </c>
      <c r="I43" s="213">
        <f t="shared" si="16"/>
        <v>394.7451299999999</v>
      </c>
      <c r="J43" s="283">
        <f t="shared" si="17"/>
        <v>501.18745999999993</v>
      </c>
      <c r="L43" s="291">
        <f t="shared" si="2"/>
        <v>10.941799999999944</v>
      </c>
      <c r="M43" s="292">
        <f t="shared" si="3"/>
        <v>2.2319014512030447E-2</v>
      </c>
    </row>
    <row r="44" spans="1:13">
      <c r="A44">
        <f t="shared" si="8"/>
        <v>350</v>
      </c>
      <c r="B44" s="213">
        <f t="shared" si="4"/>
        <v>9.5</v>
      </c>
      <c r="C44" s="213">
        <f t="shared" si="10"/>
        <v>90.536530000000013</v>
      </c>
      <c r="D44" s="213">
        <f t="shared" si="14"/>
        <v>404.66131999999993</v>
      </c>
      <c r="E44" s="213">
        <f t="shared" si="15"/>
        <v>504.69784999999996</v>
      </c>
      <c r="F44" s="213"/>
      <c r="G44" s="213">
        <f t="shared" si="6"/>
        <v>15</v>
      </c>
      <c r="H44" s="213">
        <f t="shared" si="11"/>
        <v>91.442330000000013</v>
      </c>
      <c r="I44" s="213">
        <f t="shared" si="16"/>
        <v>409.36531999999994</v>
      </c>
      <c r="J44" s="283">
        <f t="shared" si="17"/>
        <v>515.80764999999997</v>
      </c>
      <c r="L44" s="291">
        <f t="shared" si="2"/>
        <v>11.109800000000007</v>
      </c>
      <c r="M44" s="292">
        <f t="shared" si="3"/>
        <v>2.2012774573935689E-2</v>
      </c>
    </row>
    <row r="45" spans="1:13">
      <c r="A45">
        <f t="shared" si="8"/>
        <v>360</v>
      </c>
      <c r="B45" s="213">
        <f t="shared" si="4"/>
        <v>9.5</v>
      </c>
      <c r="C45" s="213">
        <f t="shared" si="10"/>
        <v>90.536530000000013</v>
      </c>
      <c r="D45" s="213">
        <f t="shared" si="14"/>
        <v>419.11350999999996</v>
      </c>
      <c r="E45" s="213">
        <f t="shared" si="15"/>
        <v>519.15003999999999</v>
      </c>
      <c r="F45" s="213"/>
      <c r="G45" s="213">
        <f t="shared" si="6"/>
        <v>15</v>
      </c>
      <c r="H45" s="213">
        <f t="shared" si="11"/>
        <v>91.442330000000013</v>
      </c>
      <c r="I45" s="213">
        <f t="shared" si="16"/>
        <v>423.98550999999992</v>
      </c>
      <c r="J45" s="283">
        <f t="shared" si="17"/>
        <v>530.42783999999995</v>
      </c>
      <c r="L45" s="291">
        <f t="shared" si="2"/>
        <v>11.277799999999957</v>
      </c>
      <c r="M45" s="292">
        <f t="shared" si="3"/>
        <v>2.1723584958213537E-2</v>
      </c>
    </row>
    <row r="46" spans="1:13">
      <c r="A46">
        <f t="shared" si="8"/>
        <v>370</v>
      </c>
      <c r="B46" s="213">
        <f t="shared" si="4"/>
        <v>9.5</v>
      </c>
      <c r="C46" s="213">
        <f t="shared" si="10"/>
        <v>90.536530000000013</v>
      </c>
      <c r="D46" s="213">
        <f t="shared" si="14"/>
        <v>433.56569999999994</v>
      </c>
      <c r="E46" s="213">
        <f t="shared" si="15"/>
        <v>533.60222999999996</v>
      </c>
      <c r="F46" s="213"/>
      <c r="G46" s="213">
        <f t="shared" si="6"/>
        <v>15</v>
      </c>
      <c r="H46" s="213">
        <f t="shared" si="11"/>
        <v>91.442330000000013</v>
      </c>
      <c r="I46" s="213">
        <f t="shared" si="16"/>
        <v>438.6056999999999</v>
      </c>
      <c r="J46" s="283">
        <f t="shared" si="17"/>
        <v>545.04802999999993</v>
      </c>
      <c r="L46" s="291">
        <f t="shared" si="2"/>
        <v>11.445799999999963</v>
      </c>
      <c r="M46" s="292">
        <f t="shared" si="3"/>
        <v>2.145006028179448E-2</v>
      </c>
    </row>
    <row r="47" spans="1:13">
      <c r="A47">
        <f t="shared" si="8"/>
        <v>380</v>
      </c>
      <c r="B47" s="213">
        <f t="shared" si="4"/>
        <v>9.5</v>
      </c>
      <c r="C47" s="213">
        <f t="shared" si="10"/>
        <v>90.536530000000013</v>
      </c>
      <c r="D47" s="213">
        <f>(A47-70)*$D$8</f>
        <v>448.01788999999997</v>
      </c>
      <c r="E47" s="213">
        <f>SUM(B47:D47)</f>
        <v>548.05441999999994</v>
      </c>
      <c r="F47" s="213"/>
      <c r="G47" s="213">
        <f t="shared" si="6"/>
        <v>15</v>
      </c>
      <c r="H47" s="213">
        <f t="shared" si="11"/>
        <v>91.442330000000013</v>
      </c>
      <c r="I47" s="213">
        <f t="shared" si="16"/>
        <v>453.22588999999994</v>
      </c>
      <c r="J47" s="283">
        <f t="shared" si="17"/>
        <v>559.66821999999991</v>
      </c>
      <c r="L47" s="291">
        <f t="shared" si="2"/>
        <v>11.613799999999969</v>
      </c>
      <c r="M47" s="292">
        <f t="shared" si="3"/>
        <v>2.1190961291763635E-2</v>
      </c>
    </row>
    <row r="48" spans="1:13">
      <c r="A48">
        <f t="shared" si="8"/>
        <v>390</v>
      </c>
      <c r="B48" s="213">
        <f t="shared" si="4"/>
        <v>9.5</v>
      </c>
      <c r="C48" s="213">
        <f t="shared" si="10"/>
        <v>90.536530000000013</v>
      </c>
      <c r="D48" s="213">
        <f t="shared" si="14"/>
        <v>462.47007999999994</v>
      </c>
      <c r="E48" s="213">
        <f t="shared" si="15"/>
        <v>562.50660999999991</v>
      </c>
      <c r="F48" s="213"/>
      <c r="G48" s="213">
        <f t="shared" si="6"/>
        <v>15</v>
      </c>
      <c r="H48" s="213">
        <f t="shared" si="11"/>
        <v>91.442330000000013</v>
      </c>
      <c r="I48" s="213">
        <f t="shared" si="16"/>
        <v>467.84607999999992</v>
      </c>
      <c r="J48" s="283">
        <f t="shared" si="17"/>
        <v>574.28840999999989</v>
      </c>
      <c r="L48" s="291">
        <f t="shared" si="2"/>
        <v>11.781799999999976</v>
      </c>
      <c r="M48" s="292">
        <f t="shared" si="3"/>
        <v>2.0945176093130669E-2</v>
      </c>
    </row>
    <row r="49" spans="1:13">
      <c r="A49">
        <f t="shared" si="8"/>
        <v>400</v>
      </c>
      <c r="B49" s="213">
        <f t="shared" si="4"/>
        <v>9.5</v>
      </c>
      <c r="C49" s="213">
        <f t="shared" si="10"/>
        <v>90.536530000000013</v>
      </c>
      <c r="D49" s="213">
        <f t="shared" si="14"/>
        <v>476.92226999999991</v>
      </c>
      <c r="E49" s="213">
        <f t="shared" si="15"/>
        <v>576.95879999999988</v>
      </c>
      <c r="F49" s="213"/>
      <c r="G49" s="213">
        <f t="shared" si="6"/>
        <v>15</v>
      </c>
      <c r="H49" s="213">
        <f t="shared" si="11"/>
        <v>91.442330000000013</v>
      </c>
      <c r="I49" s="213">
        <f t="shared" si="16"/>
        <v>482.46626999999989</v>
      </c>
      <c r="J49" s="283">
        <f t="shared" si="17"/>
        <v>588.90859999999986</v>
      </c>
      <c r="L49" s="291">
        <f t="shared" si="2"/>
        <v>11.949799999999982</v>
      </c>
      <c r="M49" s="292">
        <f t="shared" si="3"/>
        <v>2.0711704197942701E-2</v>
      </c>
    </row>
    <row r="53" spans="1:13" ht="15.75">
      <c r="A53" s="307" t="s">
        <v>352</v>
      </c>
      <c r="B53" s="135"/>
    </row>
    <row r="55" spans="1:13">
      <c r="A55" s="29" t="s">
        <v>63</v>
      </c>
      <c r="G55" s="29" t="s">
        <v>312</v>
      </c>
    </row>
    <row r="56" spans="1:13">
      <c r="B56" t="s">
        <v>212</v>
      </c>
      <c r="C56" t="s">
        <v>309</v>
      </c>
      <c r="D56" t="s">
        <v>310</v>
      </c>
      <c r="E56" t="s">
        <v>311</v>
      </c>
      <c r="G56" t="s">
        <v>313</v>
      </c>
      <c r="H56" t="s">
        <v>309</v>
      </c>
      <c r="I56" t="s">
        <v>310</v>
      </c>
      <c r="J56" t="s">
        <v>314</v>
      </c>
      <c r="K56" t="s">
        <v>311</v>
      </c>
      <c r="M56" t="s">
        <v>320</v>
      </c>
    </row>
    <row r="57" spans="1:13">
      <c r="B57" s="287">
        <f>'JDM-7 pg 3'!K13</f>
        <v>15</v>
      </c>
      <c r="C57" s="288">
        <f>'Rate Design'!D28/100</f>
        <v>0.51963000000000004</v>
      </c>
      <c r="D57" s="288">
        <f>'Rate Design'!D29/100</f>
        <v>0.67532999999999999</v>
      </c>
      <c r="E57" s="226"/>
      <c r="F57" s="213"/>
      <c r="G57" s="287">
        <f>'Rate Design'!E27</f>
        <v>139.16999999999999</v>
      </c>
      <c r="H57" s="288">
        <f>'Rate Design'!E28/100</f>
        <v>0</v>
      </c>
      <c r="I57" s="288">
        <f>'Rate Design'!E29/100</f>
        <v>0.44938</v>
      </c>
      <c r="J57" s="288">
        <f>'Rate Design'!E30/100</f>
        <v>0.34253999999999996</v>
      </c>
    </row>
    <row r="58" spans="1:13">
      <c r="A58">
        <v>10</v>
      </c>
      <c r="B58" s="213">
        <f t="shared" ref="B58:B93" si="18">$B$57</f>
        <v>15</v>
      </c>
      <c r="C58" s="213">
        <f>A58*$C$57</f>
        <v>5.1963000000000008</v>
      </c>
      <c r="D58" s="213"/>
      <c r="E58" s="213">
        <f>SUM(B58:D58)</f>
        <v>20.196300000000001</v>
      </c>
      <c r="F58" s="213"/>
      <c r="G58" s="213">
        <f>$G$57</f>
        <v>139.16999999999999</v>
      </c>
      <c r="H58" s="213">
        <f>A58*$H$57</f>
        <v>0</v>
      </c>
      <c r="I58" s="213"/>
      <c r="J58" s="213"/>
      <c r="K58" s="283">
        <f>SUM(G58:J58)</f>
        <v>139.16999999999999</v>
      </c>
      <c r="M58" s="283">
        <f t="shared" ref="M58:M93" si="19">K58-E58</f>
        <v>118.97369999999998</v>
      </c>
    </row>
    <row r="59" spans="1:13">
      <c r="A59">
        <f>A58+10</f>
        <v>20</v>
      </c>
      <c r="B59" s="213">
        <f t="shared" si="18"/>
        <v>15</v>
      </c>
      <c r="C59" s="213">
        <f t="shared" ref="C59:C63" si="20">A59*$C$57</f>
        <v>10.392600000000002</v>
      </c>
      <c r="D59" s="213"/>
      <c r="E59" s="213">
        <f t="shared" ref="E59:E92" si="21">SUM(B59:D59)</f>
        <v>25.392600000000002</v>
      </c>
      <c r="F59" s="213"/>
      <c r="G59" s="213">
        <f t="shared" ref="G59:G93" si="22">$G$57</f>
        <v>139.16999999999999</v>
      </c>
      <c r="H59" s="213">
        <f t="shared" ref="H59:H77" si="23">A59*$H$57</f>
        <v>0</v>
      </c>
      <c r="I59" s="213"/>
      <c r="J59" s="213"/>
      <c r="K59" s="283">
        <f t="shared" ref="K59:K92" si="24">SUM(G59:J59)</f>
        <v>139.16999999999999</v>
      </c>
      <c r="M59" s="283">
        <f t="shared" si="19"/>
        <v>113.77739999999999</v>
      </c>
    </row>
    <row r="60" spans="1:13">
      <c r="A60">
        <f t="shared" ref="A60:A92" si="25">A59+10</f>
        <v>30</v>
      </c>
      <c r="B60" s="213">
        <f t="shared" si="18"/>
        <v>15</v>
      </c>
      <c r="C60" s="213">
        <f t="shared" si="20"/>
        <v>15.588900000000001</v>
      </c>
      <c r="D60" s="213"/>
      <c r="E60" s="213">
        <f t="shared" si="21"/>
        <v>30.588900000000002</v>
      </c>
      <c r="F60" s="213"/>
      <c r="G60" s="213">
        <f t="shared" si="22"/>
        <v>139.16999999999999</v>
      </c>
      <c r="H60" s="213">
        <f t="shared" si="23"/>
        <v>0</v>
      </c>
      <c r="I60" s="213"/>
      <c r="J60" s="213"/>
      <c r="K60" s="283">
        <f t="shared" si="24"/>
        <v>139.16999999999999</v>
      </c>
      <c r="M60" s="283">
        <f t="shared" si="19"/>
        <v>108.58109999999999</v>
      </c>
    </row>
    <row r="61" spans="1:13">
      <c r="A61">
        <f t="shared" si="25"/>
        <v>40</v>
      </c>
      <c r="B61" s="213">
        <f t="shared" si="18"/>
        <v>15</v>
      </c>
      <c r="C61" s="213">
        <f t="shared" si="20"/>
        <v>20.785200000000003</v>
      </c>
      <c r="D61" s="213"/>
      <c r="E61" s="213">
        <f t="shared" si="21"/>
        <v>35.785200000000003</v>
      </c>
      <c r="F61" s="213"/>
      <c r="G61" s="213">
        <f t="shared" si="22"/>
        <v>139.16999999999999</v>
      </c>
      <c r="H61" s="213">
        <f t="shared" si="23"/>
        <v>0</v>
      </c>
      <c r="I61" s="213"/>
      <c r="J61" s="213"/>
      <c r="K61" s="283">
        <f t="shared" si="24"/>
        <v>139.16999999999999</v>
      </c>
      <c r="M61" s="283">
        <f t="shared" si="19"/>
        <v>103.38479999999998</v>
      </c>
    </row>
    <row r="62" spans="1:13">
      <c r="A62">
        <f t="shared" si="25"/>
        <v>50</v>
      </c>
      <c r="B62" s="213">
        <f t="shared" si="18"/>
        <v>15</v>
      </c>
      <c r="C62" s="213">
        <f t="shared" si="20"/>
        <v>25.9815</v>
      </c>
      <c r="D62" s="213"/>
      <c r="E62" s="213">
        <f t="shared" si="21"/>
        <v>40.981499999999997</v>
      </c>
      <c r="F62" s="213"/>
      <c r="G62" s="213">
        <f t="shared" si="22"/>
        <v>139.16999999999999</v>
      </c>
      <c r="H62" s="213">
        <f t="shared" si="23"/>
        <v>0</v>
      </c>
      <c r="I62" s="213"/>
      <c r="J62" s="213"/>
      <c r="K62" s="283">
        <f t="shared" si="24"/>
        <v>139.16999999999999</v>
      </c>
      <c r="M62" s="283">
        <f t="shared" si="19"/>
        <v>98.188499999999991</v>
      </c>
    </row>
    <row r="63" spans="1:13">
      <c r="A63">
        <f t="shared" si="25"/>
        <v>60</v>
      </c>
      <c r="B63" s="213">
        <f t="shared" si="18"/>
        <v>15</v>
      </c>
      <c r="C63" s="213">
        <f t="shared" si="20"/>
        <v>31.177800000000001</v>
      </c>
      <c r="D63" s="213"/>
      <c r="E63" s="213">
        <f t="shared" si="21"/>
        <v>46.177800000000005</v>
      </c>
      <c r="F63" s="213"/>
      <c r="G63" s="213">
        <f t="shared" si="22"/>
        <v>139.16999999999999</v>
      </c>
      <c r="H63" s="213">
        <f t="shared" si="23"/>
        <v>0</v>
      </c>
      <c r="I63" s="213"/>
      <c r="J63" s="213"/>
      <c r="K63" s="283">
        <f t="shared" si="24"/>
        <v>139.16999999999999</v>
      </c>
      <c r="M63" s="283">
        <f t="shared" si="19"/>
        <v>92.992199999999983</v>
      </c>
    </row>
    <row r="64" spans="1:13">
      <c r="A64">
        <f t="shared" si="25"/>
        <v>70</v>
      </c>
      <c r="B64" s="213">
        <f t="shared" si="18"/>
        <v>15</v>
      </c>
      <c r="C64" s="213">
        <f>A64*$C$57</f>
        <v>36.374100000000006</v>
      </c>
      <c r="D64" s="213"/>
      <c r="E64" s="213">
        <f t="shared" si="21"/>
        <v>51.374100000000006</v>
      </c>
      <c r="F64" s="213"/>
      <c r="G64" s="213">
        <f t="shared" si="22"/>
        <v>139.16999999999999</v>
      </c>
      <c r="H64" s="213">
        <f t="shared" si="23"/>
        <v>0</v>
      </c>
      <c r="I64" s="213"/>
      <c r="J64" s="213"/>
      <c r="K64" s="283">
        <f t="shared" si="24"/>
        <v>139.16999999999999</v>
      </c>
      <c r="M64" s="283">
        <f t="shared" si="19"/>
        <v>87.795899999999989</v>
      </c>
    </row>
    <row r="65" spans="1:13">
      <c r="A65">
        <f t="shared" si="25"/>
        <v>80</v>
      </c>
      <c r="B65" s="213">
        <f t="shared" si="18"/>
        <v>15</v>
      </c>
      <c r="C65" s="213">
        <f>70*$C$57</f>
        <v>36.374100000000006</v>
      </c>
      <c r="D65" s="213">
        <f>(A65-70)*$D$57</f>
        <v>6.7532999999999994</v>
      </c>
      <c r="E65" s="213">
        <f t="shared" si="21"/>
        <v>58.127400000000009</v>
      </c>
      <c r="F65" s="213"/>
      <c r="G65" s="213">
        <f t="shared" si="22"/>
        <v>139.16999999999999</v>
      </c>
      <c r="H65" s="213">
        <f t="shared" si="23"/>
        <v>0</v>
      </c>
      <c r="I65" s="213"/>
      <c r="J65" s="213"/>
      <c r="K65" s="283">
        <f t="shared" si="24"/>
        <v>139.16999999999999</v>
      </c>
      <c r="M65" s="283">
        <f t="shared" si="19"/>
        <v>81.042599999999979</v>
      </c>
    </row>
    <row r="66" spans="1:13">
      <c r="A66">
        <f t="shared" si="25"/>
        <v>90</v>
      </c>
      <c r="B66" s="213">
        <f t="shared" si="18"/>
        <v>15</v>
      </c>
      <c r="C66" s="213">
        <f t="shared" ref="C66:C93" si="26">70*$C$57</f>
        <v>36.374100000000006</v>
      </c>
      <c r="D66" s="213">
        <f t="shared" ref="D66:D92" si="27">(A66-70)*$D$57</f>
        <v>13.506599999999999</v>
      </c>
      <c r="E66" s="213">
        <f t="shared" si="21"/>
        <v>64.880700000000004</v>
      </c>
      <c r="F66" s="213"/>
      <c r="G66" s="213">
        <f t="shared" si="22"/>
        <v>139.16999999999999</v>
      </c>
      <c r="H66" s="213">
        <f t="shared" si="23"/>
        <v>0</v>
      </c>
      <c r="I66" s="213"/>
      <c r="J66" s="213"/>
      <c r="K66" s="283">
        <f t="shared" si="24"/>
        <v>139.16999999999999</v>
      </c>
      <c r="M66" s="283">
        <f t="shared" si="19"/>
        <v>74.289299999999983</v>
      </c>
    </row>
    <row r="67" spans="1:13">
      <c r="A67">
        <f t="shared" si="25"/>
        <v>100</v>
      </c>
      <c r="B67" s="213">
        <f t="shared" si="18"/>
        <v>15</v>
      </c>
      <c r="C67" s="213">
        <f t="shared" si="26"/>
        <v>36.374100000000006</v>
      </c>
      <c r="D67" s="213">
        <f t="shared" si="27"/>
        <v>20.259899999999998</v>
      </c>
      <c r="E67" s="213">
        <f t="shared" si="21"/>
        <v>71.634</v>
      </c>
      <c r="F67" s="213"/>
      <c r="G67" s="213">
        <f t="shared" si="22"/>
        <v>139.16999999999999</v>
      </c>
      <c r="H67" s="213">
        <f t="shared" si="23"/>
        <v>0</v>
      </c>
      <c r="I67" s="213"/>
      <c r="J67" s="213"/>
      <c r="K67" s="283">
        <f t="shared" si="24"/>
        <v>139.16999999999999</v>
      </c>
      <c r="M67" s="283">
        <f t="shared" si="19"/>
        <v>67.535999999999987</v>
      </c>
    </row>
    <row r="68" spans="1:13">
      <c r="A68">
        <f t="shared" si="25"/>
        <v>110</v>
      </c>
      <c r="B68" s="213">
        <f t="shared" si="18"/>
        <v>15</v>
      </c>
      <c r="C68" s="213">
        <f t="shared" si="26"/>
        <v>36.374100000000006</v>
      </c>
      <c r="D68" s="213">
        <f t="shared" si="27"/>
        <v>27.013199999999998</v>
      </c>
      <c r="E68" s="213">
        <f t="shared" si="21"/>
        <v>78.38730000000001</v>
      </c>
      <c r="F68" s="213"/>
      <c r="G68" s="213">
        <f t="shared" si="22"/>
        <v>139.16999999999999</v>
      </c>
      <c r="H68" s="213">
        <f t="shared" si="23"/>
        <v>0</v>
      </c>
      <c r="I68" s="213"/>
      <c r="J68" s="213"/>
      <c r="K68" s="283">
        <f t="shared" si="24"/>
        <v>139.16999999999999</v>
      </c>
      <c r="M68" s="283">
        <f t="shared" si="19"/>
        <v>60.782699999999977</v>
      </c>
    </row>
    <row r="69" spans="1:13">
      <c r="A69">
        <f t="shared" si="25"/>
        <v>120</v>
      </c>
      <c r="B69" s="213">
        <f t="shared" si="18"/>
        <v>15</v>
      </c>
      <c r="C69" s="213">
        <f t="shared" si="26"/>
        <v>36.374100000000006</v>
      </c>
      <c r="D69" s="213">
        <f t="shared" si="27"/>
        <v>33.766500000000001</v>
      </c>
      <c r="E69" s="213">
        <f t="shared" si="21"/>
        <v>85.140600000000006</v>
      </c>
      <c r="F69" s="213"/>
      <c r="G69" s="213">
        <f t="shared" si="22"/>
        <v>139.16999999999999</v>
      </c>
      <c r="H69" s="213">
        <f t="shared" si="23"/>
        <v>0</v>
      </c>
      <c r="I69" s="213"/>
      <c r="J69" s="213"/>
      <c r="K69" s="283">
        <f t="shared" si="24"/>
        <v>139.16999999999999</v>
      </c>
      <c r="M69" s="283">
        <f t="shared" si="19"/>
        <v>54.029399999999981</v>
      </c>
    </row>
    <row r="70" spans="1:13">
      <c r="A70">
        <f t="shared" si="25"/>
        <v>130</v>
      </c>
      <c r="B70" s="213">
        <f t="shared" si="18"/>
        <v>15</v>
      </c>
      <c r="C70" s="213">
        <f t="shared" si="26"/>
        <v>36.374100000000006</v>
      </c>
      <c r="D70" s="213">
        <f t="shared" si="27"/>
        <v>40.519799999999996</v>
      </c>
      <c r="E70" s="213">
        <f t="shared" si="21"/>
        <v>91.893900000000002</v>
      </c>
      <c r="F70" s="213"/>
      <c r="G70" s="213">
        <f t="shared" si="22"/>
        <v>139.16999999999999</v>
      </c>
      <c r="H70" s="213">
        <f t="shared" si="23"/>
        <v>0</v>
      </c>
      <c r="I70" s="213"/>
      <c r="J70" s="213"/>
      <c r="K70" s="283">
        <f t="shared" si="24"/>
        <v>139.16999999999999</v>
      </c>
      <c r="M70" s="283">
        <f t="shared" si="19"/>
        <v>47.276099999999985</v>
      </c>
    </row>
    <row r="71" spans="1:13">
      <c r="A71">
        <f t="shared" si="25"/>
        <v>140</v>
      </c>
      <c r="B71" s="213">
        <f t="shared" si="18"/>
        <v>15</v>
      </c>
      <c r="C71" s="213">
        <f t="shared" si="26"/>
        <v>36.374100000000006</v>
      </c>
      <c r="D71" s="213">
        <f t="shared" si="27"/>
        <v>47.273099999999999</v>
      </c>
      <c r="E71" s="213">
        <f t="shared" si="21"/>
        <v>98.647199999999998</v>
      </c>
      <c r="F71" s="213"/>
      <c r="G71" s="213">
        <f t="shared" si="22"/>
        <v>139.16999999999999</v>
      </c>
      <c r="H71" s="213">
        <f t="shared" si="23"/>
        <v>0</v>
      </c>
      <c r="I71" s="213"/>
      <c r="J71" s="213"/>
      <c r="K71" s="283">
        <f t="shared" si="24"/>
        <v>139.16999999999999</v>
      </c>
      <c r="M71" s="283">
        <f t="shared" si="19"/>
        <v>40.522799999999989</v>
      </c>
    </row>
    <row r="72" spans="1:13">
      <c r="A72">
        <f t="shared" si="25"/>
        <v>150</v>
      </c>
      <c r="B72" s="213">
        <f t="shared" si="18"/>
        <v>15</v>
      </c>
      <c r="C72" s="213">
        <f t="shared" si="26"/>
        <v>36.374100000000006</v>
      </c>
      <c r="D72" s="213">
        <f t="shared" si="27"/>
        <v>54.026399999999995</v>
      </c>
      <c r="E72" s="213">
        <f t="shared" si="21"/>
        <v>105.40049999999999</v>
      </c>
      <c r="F72" s="213"/>
      <c r="G72" s="213">
        <f t="shared" si="22"/>
        <v>139.16999999999999</v>
      </c>
      <c r="H72" s="213">
        <f t="shared" si="23"/>
        <v>0</v>
      </c>
      <c r="I72" s="213"/>
      <c r="J72" s="213"/>
      <c r="K72" s="283">
        <f t="shared" si="24"/>
        <v>139.16999999999999</v>
      </c>
      <c r="M72" s="283">
        <f t="shared" si="19"/>
        <v>33.769499999999994</v>
      </c>
    </row>
    <row r="73" spans="1:13">
      <c r="A73">
        <f t="shared" si="25"/>
        <v>160</v>
      </c>
      <c r="B73" s="213">
        <f t="shared" si="18"/>
        <v>15</v>
      </c>
      <c r="C73" s="213">
        <f t="shared" si="26"/>
        <v>36.374100000000006</v>
      </c>
      <c r="D73" s="213">
        <f t="shared" si="27"/>
        <v>60.779699999999998</v>
      </c>
      <c r="E73" s="213">
        <f t="shared" si="21"/>
        <v>112.1538</v>
      </c>
      <c r="F73" s="213"/>
      <c r="G73" s="213">
        <f t="shared" si="22"/>
        <v>139.16999999999999</v>
      </c>
      <c r="H73" s="213">
        <f t="shared" si="23"/>
        <v>0</v>
      </c>
      <c r="I73" s="213"/>
      <c r="J73" s="213"/>
      <c r="K73" s="283">
        <f t="shared" si="24"/>
        <v>139.16999999999999</v>
      </c>
      <c r="M73" s="283">
        <f t="shared" si="19"/>
        <v>27.016199999999984</v>
      </c>
    </row>
    <row r="74" spans="1:13">
      <c r="A74">
        <f t="shared" si="25"/>
        <v>170</v>
      </c>
      <c r="B74" s="213">
        <f t="shared" si="18"/>
        <v>15</v>
      </c>
      <c r="C74" s="213">
        <f t="shared" si="26"/>
        <v>36.374100000000006</v>
      </c>
      <c r="D74" s="213">
        <f t="shared" si="27"/>
        <v>67.533000000000001</v>
      </c>
      <c r="E74" s="213">
        <f t="shared" si="21"/>
        <v>118.90710000000001</v>
      </c>
      <c r="F74" s="213"/>
      <c r="G74" s="213">
        <f t="shared" si="22"/>
        <v>139.16999999999999</v>
      </c>
      <c r="H74" s="213">
        <f t="shared" si="23"/>
        <v>0</v>
      </c>
      <c r="I74" s="213"/>
      <c r="J74" s="213"/>
      <c r="K74" s="283">
        <f t="shared" si="24"/>
        <v>139.16999999999999</v>
      </c>
      <c r="M74" s="283">
        <f t="shared" si="19"/>
        <v>20.262899999999973</v>
      </c>
    </row>
    <row r="75" spans="1:13">
      <c r="A75">
        <f t="shared" si="25"/>
        <v>180</v>
      </c>
      <c r="B75" s="213">
        <f t="shared" si="18"/>
        <v>15</v>
      </c>
      <c r="C75" s="213">
        <f t="shared" si="26"/>
        <v>36.374100000000006</v>
      </c>
      <c r="D75" s="213">
        <f t="shared" si="27"/>
        <v>74.286299999999997</v>
      </c>
      <c r="E75" s="213">
        <f t="shared" si="21"/>
        <v>125.66040000000001</v>
      </c>
      <c r="F75" s="213"/>
      <c r="G75" s="213">
        <f t="shared" si="22"/>
        <v>139.16999999999999</v>
      </c>
      <c r="H75" s="213">
        <f t="shared" si="23"/>
        <v>0</v>
      </c>
      <c r="I75" s="213"/>
      <c r="J75" s="213"/>
      <c r="K75" s="283">
        <f t="shared" si="24"/>
        <v>139.16999999999999</v>
      </c>
      <c r="M75" s="283">
        <f t="shared" si="19"/>
        <v>13.509599999999978</v>
      </c>
    </row>
    <row r="76" spans="1:13" ht="13.5" thickBot="1">
      <c r="A76">
        <f t="shared" si="25"/>
        <v>190</v>
      </c>
      <c r="B76" s="213">
        <f t="shared" si="18"/>
        <v>15</v>
      </c>
      <c r="C76" s="213">
        <f t="shared" si="26"/>
        <v>36.374100000000006</v>
      </c>
      <c r="D76" s="213">
        <f t="shared" si="27"/>
        <v>81.039599999999993</v>
      </c>
      <c r="E76" s="213">
        <f t="shared" si="21"/>
        <v>132.41370000000001</v>
      </c>
      <c r="F76" s="213"/>
      <c r="G76" s="213">
        <f t="shared" si="22"/>
        <v>139.16999999999999</v>
      </c>
      <c r="H76" s="213">
        <f t="shared" si="23"/>
        <v>0</v>
      </c>
      <c r="I76" s="213"/>
      <c r="J76" s="213"/>
      <c r="K76" s="283">
        <f t="shared" si="24"/>
        <v>139.16999999999999</v>
      </c>
      <c r="M76" s="283">
        <f t="shared" si="19"/>
        <v>6.7562999999999818</v>
      </c>
    </row>
    <row r="77" spans="1:13" ht="13.5" thickBot="1">
      <c r="A77" s="284">
        <f t="shared" si="25"/>
        <v>200</v>
      </c>
      <c r="B77" s="285">
        <f t="shared" si="18"/>
        <v>15</v>
      </c>
      <c r="C77" s="285">
        <f t="shared" si="26"/>
        <v>36.374100000000006</v>
      </c>
      <c r="D77" s="285">
        <f t="shared" si="27"/>
        <v>87.792900000000003</v>
      </c>
      <c r="E77" s="285">
        <f t="shared" si="21"/>
        <v>139.167</v>
      </c>
      <c r="F77" s="285"/>
      <c r="G77" s="285">
        <f t="shared" si="22"/>
        <v>139.16999999999999</v>
      </c>
      <c r="H77" s="285">
        <f t="shared" si="23"/>
        <v>0</v>
      </c>
      <c r="I77" s="285"/>
      <c r="J77" s="285"/>
      <c r="K77" s="295">
        <f t="shared" si="24"/>
        <v>139.16999999999999</v>
      </c>
      <c r="L77" s="296"/>
      <c r="M77" s="286">
        <f t="shared" si="19"/>
        <v>2.9999999999859028E-3</v>
      </c>
    </row>
    <row r="78" spans="1:13">
      <c r="A78">
        <f t="shared" si="25"/>
        <v>210</v>
      </c>
      <c r="B78" s="213">
        <f t="shared" si="18"/>
        <v>15</v>
      </c>
      <c r="C78" s="213">
        <f t="shared" si="26"/>
        <v>36.374100000000006</v>
      </c>
      <c r="D78" s="213">
        <f t="shared" si="27"/>
        <v>94.546199999999999</v>
      </c>
      <c r="E78" s="213">
        <f t="shared" si="21"/>
        <v>145.9203</v>
      </c>
      <c r="F78" s="213"/>
      <c r="G78" s="213">
        <f t="shared" si="22"/>
        <v>139.16999999999999</v>
      </c>
      <c r="H78" s="213">
        <f t="shared" ref="H78:H93" si="28">200*$H$57</f>
        <v>0</v>
      </c>
      <c r="I78" s="213">
        <f>(A78-200)*$I$57</f>
        <v>4.4938000000000002</v>
      </c>
      <c r="J78" s="213"/>
      <c r="K78" s="283">
        <f t="shared" si="24"/>
        <v>143.66379999999998</v>
      </c>
      <c r="M78" s="283">
        <f t="shared" si="19"/>
        <v>-2.2565000000000168</v>
      </c>
    </row>
    <row r="79" spans="1:13">
      <c r="A79">
        <f t="shared" si="25"/>
        <v>220</v>
      </c>
      <c r="B79" s="213">
        <f t="shared" si="18"/>
        <v>15</v>
      </c>
      <c r="C79" s="213">
        <f t="shared" si="26"/>
        <v>36.374100000000006</v>
      </c>
      <c r="D79" s="213">
        <f t="shared" si="27"/>
        <v>101.29949999999999</v>
      </c>
      <c r="E79" s="213">
        <f t="shared" si="21"/>
        <v>152.67359999999999</v>
      </c>
      <c r="F79" s="213"/>
      <c r="G79" s="213">
        <f t="shared" si="22"/>
        <v>139.16999999999999</v>
      </c>
      <c r="H79" s="213">
        <f t="shared" si="28"/>
        <v>0</v>
      </c>
      <c r="I79" s="213">
        <f t="shared" ref="I79:I92" si="29">(A79-200)*$I$57</f>
        <v>8.9876000000000005</v>
      </c>
      <c r="J79" s="213"/>
      <c r="K79" s="283">
        <f t="shared" si="24"/>
        <v>148.1576</v>
      </c>
      <c r="M79" s="283">
        <f t="shared" si="19"/>
        <v>-4.5159999999999911</v>
      </c>
    </row>
    <row r="80" spans="1:13">
      <c r="A80">
        <f t="shared" si="25"/>
        <v>230</v>
      </c>
      <c r="B80" s="213">
        <f t="shared" si="18"/>
        <v>15</v>
      </c>
      <c r="C80" s="213">
        <f t="shared" si="26"/>
        <v>36.374100000000006</v>
      </c>
      <c r="D80" s="213">
        <f t="shared" si="27"/>
        <v>108.05279999999999</v>
      </c>
      <c r="E80" s="213">
        <f t="shared" si="21"/>
        <v>159.42689999999999</v>
      </c>
      <c r="F80" s="213"/>
      <c r="G80" s="213">
        <f t="shared" si="22"/>
        <v>139.16999999999999</v>
      </c>
      <c r="H80" s="213">
        <f t="shared" si="28"/>
        <v>0</v>
      </c>
      <c r="I80" s="213">
        <f t="shared" si="29"/>
        <v>13.481400000000001</v>
      </c>
      <c r="J80" s="213"/>
      <c r="K80" s="283">
        <f t="shared" si="24"/>
        <v>152.6514</v>
      </c>
      <c r="M80" s="283">
        <f t="shared" si="19"/>
        <v>-6.7754999999999939</v>
      </c>
    </row>
    <row r="81" spans="1:13">
      <c r="A81">
        <f t="shared" si="25"/>
        <v>240</v>
      </c>
      <c r="B81" s="213">
        <f t="shared" si="18"/>
        <v>15</v>
      </c>
      <c r="C81" s="213">
        <f t="shared" si="26"/>
        <v>36.374100000000006</v>
      </c>
      <c r="D81" s="213">
        <f t="shared" si="27"/>
        <v>114.8061</v>
      </c>
      <c r="E81" s="213">
        <f t="shared" si="21"/>
        <v>166.18020000000001</v>
      </c>
      <c r="F81" s="213"/>
      <c r="G81" s="213">
        <f t="shared" si="22"/>
        <v>139.16999999999999</v>
      </c>
      <c r="H81" s="213">
        <f t="shared" si="28"/>
        <v>0</v>
      </c>
      <c r="I81" s="213">
        <f t="shared" si="29"/>
        <v>17.975200000000001</v>
      </c>
      <c r="J81" s="213"/>
      <c r="K81" s="283">
        <f t="shared" si="24"/>
        <v>157.14519999999999</v>
      </c>
      <c r="M81" s="283">
        <f t="shared" si="19"/>
        <v>-9.035000000000025</v>
      </c>
    </row>
    <row r="82" spans="1:13">
      <c r="A82">
        <f t="shared" si="25"/>
        <v>250</v>
      </c>
      <c r="B82" s="213">
        <f t="shared" si="18"/>
        <v>15</v>
      </c>
      <c r="C82" s="213">
        <f t="shared" si="26"/>
        <v>36.374100000000006</v>
      </c>
      <c r="D82" s="213">
        <f t="shared" si="27"/>
        <v>121.5594</v>
      </c>
      <c r="E82" s="213">
        <f t="shared" si="21"/>
        <v>172.93350000000001</v>
      </c>
      <c r="F82" s="213"/>
      <c r="G82" s="213">
        <f t="shared" si="22"/>
        <v>139.16999999999999</v>
      </c>
      <c r="H82" s="213">
        <f t="shared" si="28"/>
        <v>0</v>
      </c>
      <c r="I82" s="213">
        <f t="shared" si="29"/>
        <v>22.469000000000001</v>
      </c>
      <c r="J82" s="213"/>
      <c r="K82" s="283">
        <f t="shared" si="24"/>
        <v>161.63899999999998</v>
      </c>
      <c r="M82" s="283">
        <f t="shared" si="19"/>
        <v>-11.294500000000028</v>
      </c>
    </row>
    <row r="83" spans="1:13">
      <c r="A83">
        <f t="shared" si="25"/>
        <v>260</v>
      </c>
      <c r="B83" s="213">
        <f t="shared" si="18"/>
        <v>15</v>
      </c>
      <c r="C83" s="213">
        <f t="shared" si="26"/>
        <v>36.374100000000006</v>
      </c>
      <c r="D83" s="213">
        <f t="shared" si="27"/>
        <v>128.31270000000001</v>
      </c>
      <c r="E83" s="213">
        <f t="shared" si="21"/>
        <v>179.68680000000001</v>
      </c>
      <c r="F83" s="213"/>
      <c r="G83" s="213">
        <f t="shared" si="22"/>
        <v>139.16999999999999</v>
      </c>
      <c r="H83" s="213">
        <f t="shared" si="28"/>
        <v>0</v>
      </c>
      <c r="I83" s="213">
        <f t="shared" si="29"/>
        <v>26.962800000000001</v>
      </c>
      <c r="J83" s="213"/>
      <c r="K83" s="283">
        <f t="shared" si="24"/>
        <v>166.13279999999997</v>
      </c>
      <c r="M83" s="283">
        <f t="shared" si="19"/>
        <v>-13.55400000000003</v>
      </c>
    </row>
    <row r="84" spans="1:13">
      <c r="A84">
        <f t="shared" si="25"/>
        <v>270</v>
      </c>
      <c r="B84" s="213">
        <f t="shared" si="18"/>
        <v>15</v>
      </c>
      <c r="C84" s="213">
        <f t="shared" si="26"/>
        <v>36.374100000000006</v>
      </c>
      <c r="D84" s="213">
        <f t="shared" si="27"/>
        <v>135.066</v>
      </c>
      <c r="E84" s="213">
        <f t="shared" si="21"/>
        <v>186.4401</v>
      </c>
      <c r="F84" s="213"/>
      <c r="G84" s="213">
        <f t="shared" si="22"/>
        <v>139.16999999999999</v>
      </c>
      <c r="H84" s="213">
        <f t="shared" si="28"/>
        <v>0</v>
      </c>
      <c r="I84" s="213">
        <f t="shared" si="29"/>
        <v>31.456600000000002</v>
      </c>
      <c r="J84" s="213"/>
      <c r="K84" s="283">
        <f t="shared" si="24"/>
        <v>170.6266</v>
      </c>
      <c r="M84" s="283">
        <f t="shared" si="19"/>
        <v>-15.813500000000005</v>
      </c>
    </row>
    <row r="85" spans="1:13">
      <c r="A85">
        <f t="shared" si="25"/>
        <v>280</v>
      </c>
      <c r="B85" s="213">
        <f t="shared" si="18"/>
        <v>15</v>
      </c>
      <c r="C85" s="213">
        <f t="shared" si="26"/>
        <v>36.374100000000006</v>
      </c>
      <c r="D85" s="213">
        <f t="shared" si="27"/>
        <v>141.8193</v>
      </c>
      <c r="E85" s="213">
        <f t="shared" si="21"/>
        <v>193.1934</v>
      </c>
      <c r="F85" s="213"/>
      <c r="G85" s="213">
        <f t="shared" si="22"/>
        <v>139.16999999999999</v>
      </c>
      <c r="H85" s="213">
        <f t="shared" si="28"/>
        <v>0</v>
      </c>
      <c r="I85" s="213">
        <f t="shared" si="29"/>
        <v>35.950400000000002</v>
      </c>
      <c r="J85" s="213"/>
      <c r="K85" s="283">
        <f t="shared" si="24"/>
        <v>175.12039999999999</v>
      </c>
      <c r="M85" s="283">
        <f t="shared" si="19"/>
        <v>-18.073000000000008</v>
      </c>
    </row>
    <row r="86" spans="1:13">
      <c r="A86">
        <f t="shared" si="25"/>
        <v>290</v>
      </c>
      <c r="B86" s="213">
        <f t="shared" si="18"/>
        <v>15</v>
      </c>
      <c r="C86" s="213">
        <f t="shared" si="26"/>
        <v>36.374100000000006</v>
      </c>
      <c r="D86" s="213">
        <f t="shared" si="27"/>
        <v>148.57259999999999</v>
      </c>
      <c r="E86" s="213">
        <f t="shared" si="21"/>
        <v>199.94669999999999</v>
      </c>
      <c r="F86" s="213"/>
      <c r="G86" s="213">
        <f t="shared" si="22"/>
        <v>139.16999999999999</v>
      </c>
      <c r="H86" s="213">
        <f t="shared" si="28"/>
        <v>0</v>
      </c>
      <c r="I86" s="213">
        <f t="shared" si="29"/>
        <v>40.444200000000002</v>
      </c>
      <c r="J86" s="213"/>
      <c r="K86" s="283">
        <f t="shared" si="24"/>
        <v>179.61419999999998</v>
      </c>
      <c r="M86" s="283">
        <f t="shared" si="19"/>
        <v>-20.33250000000001</v>
      </c>
    </row>
    <row r="87" spans="1:13">
      <c r="A87">
        <f t="shared" si="25"/>
        <v>300</v>
      </c>
      <c r="B87" s="213">
        <f t="shared" si="18"/>
        <v>15</v>
      </c>
      <c r="C87" s="213">
        <f t="shared" si="26"/>
        <v>36.374100000000006</v>
      </c>
      <c r="D87" s="213">
        <f t="shared" si="27"/>
        <v>155.32589999999999</v>
      </c>
      <c r="E87" s="213">
        <f t="shared" si="21"/>
        <v>206.7</v>
      </c>
      <c r="F87" s="213"/>
      <c r="G87" s="213">
        <f t="shared" si="22"/>
        <v>139.16999999999999</v>
      </c>
      <c r="H87" s="213">
        <f t="shared" si="28"/>
        <v>0</v>
      </c>
      <c r="I87" s="213">
        <f t="shared" si="29"/>
        <v>44.938000000000002</v>
      </c>
      <c r="J87" s="213"/>
      <c r="K87" s="283">
        <f t="shared" si="24"/>
        <v>184.108</v>
      </c>
      <c r="M87" s="283">
        <f t="shared" si="19"/>
        <v>-22.591999999999985</v>
      </c>
    </row>
    <row r="88" spans="1:13">
      <c r="A88">
        <f t="shared" si="25"/>
        <v>310</v>
      </c>
      <c r="B88" s="213">
        <f t="shared" si="18"/>
        <v>15</v>
      </c>
      <c r="C88" s="213">
        <f t="shared" si="26"/>
        <v>36.374100000000006</v>
      </c>
      <c r="D88" s="213">
        <f t="shared" si="27"/>
        <v>162.07919999999999</v>
      </c>
      <c r="E88" s="213">
        <f t="shared" si="21"/>
        <v>213.45329999999998</v>
      </c>
      <c r="F88" s="213"/>
      <c r="G88" s="213">
        <f t="shared" si="22"/>
        <v>139.16999999999999</v>
      </c>
      <c r="H88" s="213">
        <f t="shared" si="28"/>
        <v>0</v>
      </c>
      <c r="I88" s="213">
        <f t="shared" si="29"/>
        <v>49.431800000000003</v>
      </c>
      <c r="J88" s="213"/>
      <c r="K88" s="283">
        <f t="shared" si="24"/>
        <v>188.6018</v>
      </c>
      <c r="M88" s="283">
        <f t="shared" si="19"/>
        <v>-24.851499999999987</v>
      </c>
    </row>
    <row r="89" spans="1:13">
      <c r="A89">
        <f t="shared" si="25"/>
        <v>320</v>
      </c>
      <c r="B89" s="213">
        <f t="shared" si="18"/>
        <v>15</v>
      </c>
      <c r="C89" s="213">
        <f t="shared" si="26"/>
        <v>36.374100000000006</v>
      </c>
      <c r="D89" s="213">
        <f t="shared" si="27"/>
        <v>168.83250000000001</v>
      </c>
      <c r="E89" s="213">
        <f t="shared" si="21"/>
        <v>220.20660000000001</v>
      </c>
      <c r="F89" s="213"/>
      <c r="G89" s="213">
        <f t="shared" si="22"/>
        <v>139.16999999999999</v>
      </c>
      <c r="H89" s="213">
        <f t="shared" si="28"/>
        <v>0</v>
      </c>
      <c r="I89" s="213">
        <f t="shared" si="29"/>
        <v>53.925600000000003</v>
      </c>
      <c r="J89" s="213"/>
      <c r="K89" s="283">
        <f t="shared" si="24"/>
        <v>193.09559999999999</v>
      </c>
      <c r="M89" s="283">
        <f t="shared" si="19"/>
        <v>-27.111000000000018</v>
      </c>
    </row>
    <row r="90" spans="1:13">
      <c r="A90">
        <f t="shared" si="25"/>
        <v>330</v>
      </c>
      <c r="B90" s="213">
        <f t="shared" si="18"/>
        <v>15</v>
      </c>
      <c r="C90" s="213">
        <f t="shared" si="26"/>
        <v>36.374100000000006</v>
      </c>
      <c r="D90" s="213">
        <f t="shared" si="27"/>
        <v>175.58580000000001</v>
      </c>
      <c r="E90" s="213">
        <f t="shared" si="21"/>
        <v>226.9599</v>
      </c>
      <c r="F90" s="213"/>
      <c r="G90" s="213">
        <f t="shared" si="22"/>
        <v>139.16999999999999</v>
      </c>
      <c r="H90" s="213">
        <f t="shared" si="28"/>
        <v>0</v>
      </c>
      <c r="I90" s="213">
        <f t="shared" si="29"/>
        <v>58.419400000000003</v>
      </c>
      <c r="J90" s="213"/>
      <c r="K90" s="283">
        <f t="shared" si="24"/>
        <v>197.58939999999998</v>
      </c>
      <c r="M90" s="283">
        <f t="shared" si="19"/>
        <v>-29.370500000000021</v>
      </c>
    </row>
    <row r="91" spans="1:13">
      <c r="A91">
        <f t="shared" si="25"/>
        <v>340</v>
      </c>
      <c r="B91" s="213">
        <f t="shared" si="18"/>
        <v>15</v>
      </c>
      <c r="C91" s="213">
        <f t="shared" si="26"/>
        <v>36.374100000000006</v>
      </c>
      <c r="D91" s="213">
        <f t="shared" si="27"/>
        <v>182.3391</v>
      </c>
      <c r="E91" s="213">
        <f t="shared" si="21"/>
        <v>233.7132</v>
      </c>
      <c r="F91" s="213"/>
      <c r="G91" s="213">
        <f t="shared" si="22"/>
        <v>139.16999999999999</v>
      </c>
      <c r="H91" s="213">
        <f t="shared" si="28"/>
        <v>0</v>
      </c>
      <c r="I91" s="213">
        <f t="shared" si="29"/>
        <v>62.913200000000003</v>
      </c>
      <c r="J91" s="213"/>
      <c r="K91" s="283">
        <f t="shared" si="24"/>
        <v>202.08319999999998</v>
      </c>
      <c r="M91" s="283">
        <f t="shared" si="19"/>
        <v>-31.630000000000024</v>
      </c>
    </row>
    <row r="92" spans="1:13">
      <c r="A92">
        <f t="shared" si="25"/>
        <v>350</v>
      </c>
      <c r="B92" s="213">
        <f t="shared" si="18"/>
        <v>15</v>
      </c>
      <c r="C92" s="213">
        <f t="shared" si="26"/>
        <v>36.374100000000006</v>
      </c>
      <c r="D92" s="213">
        <f t="shared" si="27"/>
        <v>189.0924</v>
      </c>
      <c r="E92" s="213">
        <f t="shared" si="21"/>
        <v>240.4665</v>
      </c>
      <c r="F92" s="213"/>
      <c r="G92" s="213">
        <f t="shared" si="22"/>
        <v>139.16999999999999</v>
      </c>
      <c r="H92" s="213">
        <f t="shared" si="28"/>
        <v>0</v>
      </c>
      <c r="I92" s="213">
        <f t="shared" si="29"/>
        <v>67.406999999999996</v>
      </c>
      <c r="J92" s="213"/>
      <c r="K92" s="283">
        <f t="shared" si="24"/>
        <v>206.577</v>
      </c>
      <c r="M92" s="283">
        <f t="shared" si="19"/>
        <v>-33.889499999999998</v>
      </c>
    </row>
    <row r="93" spans="1:13">
      <c r="A93">
        <v>500</v>
      </c>
      <c r="B93" s="213">
        <f t="shared" si="18"/>
        <v>15</v>
      </c>
      <c r="C93" s="213">
        <f t="shared" si="26"/>
        <v>36.374100000000006</v>
      </c>
      <c r="D93" s="213">
        <f t="shared" ref="D93" si="30">(A93-70)*$D$57</f>
        <v>290.39190000000002</v>
      </c>
      <c r="E93" s="213">
        <f t="shared" ref="E93" si="31">SUM(B93:D93)</f>
        <v>341.76600000000002</v>
      </c>
      <c r="F93" s="213"/>
      <c r="G93" s="213">
        <f t="shared" si="22"/>
        <v>139.16999999999999</v>
      </c>
      <c r="H93" s="213">
        <f t="shared" si="28"/>
        <v>0</v>
      </c>
      <c r="I93" s="213">
        <f>(A93-200)*$I$57</f>
        <v>134.81399999999999</v>
      </c>
      <c r="J93" s="213"/>
      <c r="K93" s="283">
        <f t="shared" ref="K93" si="32">SUM(G93:J93)</f>
        <v>273.98399999999998</v>
      </c>
      <c r="M93" s="283">
        <f t="shared" si="19"/>
        <v>-67.782000000000039</v>
      </c>
    </row>
  </sheetData>
  <pageMargins left="0.18" right="0.18" top="0.75" bottom="0.75" header="0.3" footer="0.3"/>
  <pageSetup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5969-41CC-4BBA-9701-9E628DDA268F}">
  <dimension ref="B4:V34"/>
  <sheetViews>
    <sheetView workbookViewId="0">
      <selection activeCell="R13" sqref="R13"/>
    </sheetView>
  </sheetViews>
  <sheetFormatPr defaultRowHeight="12.75"/>
  <cols>
    <col min="1" max="1" width="2.140625" customWidth="1"/>
    <col min="2" max="2" width="26.7109375" customWidth="1"/>
    <col min="3" max="3" width="10.28515625" bestFit="1" customWidth="1"/>
    <col min="4" max="4" width="21" bestFit="1" customWidth="1"/>
    <col min="5" max="6" width="13.5703125" bestFit="1" customWidth="1"/>
    <col min="7" max="7" width="13.5703125" hidden="1" customWidth="1"/>
    <col min="8" max="8" width="13.42578125" hidden="1" customWidth="1"/>
    <col min="9" max="9" width="10.140625" hidden="1" customWidth="1"/>
    <col min="10" max="10" width="3.85546875" hidden="1" customWidth="1"/>
    <col min="11" max="11" width="14.5703125" hidden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8" max="18" width="14" bestFit="1" customWidth="1"/>
  </cols>
  <sheetData>
    <row r="4" spans="2:22">
      <c r="B4" s="349" t="s">
        <v>520</v>
      </c>
    </row>
    <row r="7" spans="2:22">
      <c r="N7" s="32"/>
      <c r="O7" s="32"/>
      <c r="P7" s="32"/>
    </row>
    <row r="8" spans="2:22">
      <c r="D8" s="32"/>
      <c r="E8" s="351" t="s">
        <v>507</v>
      </c>
      <c r="F8" s="351" t="s">
        <v>507</v>
      </c>
      <c r="G8" s="394"/>
      <c r="H8" s="32" t="s">
        <v>216</v>
      </c>
      <c r="I8" s="32" t="s">
        <v>216</v>
      </c>
      <c r="J8" s="32"/>
      <c r="K8" s="32" t="s">
        <v>58</v>
      </c>
      <c r="L8" s="32"/>
      <c r="M8" s="32"/>
      <c r="N8" s="32"/>
      <c r="O8" s="32"/>
      <c r="P8" s="32"/>
      <c r="R8" s="32" t="s">
        <v>207</v>
      </c>
    </row>
    <row r="9" spans="2:22">
      <c r="B9" s="351" t="s">
        <v>215</v>
      </c>
      <c r="C9" s="351" t="s">
        <v>192</v>
      </c>
      <c r="D9" s="32" t="s">
        <v>209</v>
      </c>
      <c r="E9" s="32" t="s">
        <v>490</v>
      </c>
      <c r="F9" s="32" t="s">
        <v>490</v>
      </c>
      <c r="G9" s="32" t="s">
        <v>490</v>
      </c>
      <c r="H9" s="32" t="s">
        <v>490</v>
      </c>
      <c r="I9" s="32" t="s">
        <v>491</v>
      </c>
      <c r="J9" s="32"/>
      <c r="K9" s="32" t="s">
        <v>492</v>
      </c>
      <c r="L9" s="32"/>
      <c r="M9" s="32"/>
      <c r="N9" s="32"/>
      <c r="O9" s="32"/>
      <c r="P9" s="32"/>
      <c r="R9" s="32" t="s">
        <v>493</v>
      </c>
    </row>
    <row r="10" spans="2:22">
      <c r="B10" s="249" t="s">
        <v>218</v>
      </c>
      <c r="C10" s="249" t="s">
        <v>219</v>
      </c>
      <c r="D10" s="395" t="s">
        <v>494</v>
      </c>
      <c r="E10" s="395" t="s">
        <v>290</v>
      </c>
      <c r="F10" s="395" t="s">
        <v>214</v>
      </c>
      <c r="G10" s="395" t="s">
        <v>495</v>
      </c>
      <c r="H10" s="395" t="s">
        <v>214</v>
      </c>
      <c r="I10" s="395" t="s">
        <v>290</v>
      </c>
      <c r="J10" s="395"/>
      <c r="K10" s="32" t="s">
        <v>290</v>
      </c>
      <c r="L10" s="395"/>
      <c r="M10" s="395"/>
      <c r="N10" s="395"/>
      <c r="O10" s="32"/>
      <c r="P10" s="32"/>
      <c r="R10" s="32" t="s">
        <v>214</v>
      </c>
    </row>
    <row r="11" spans="2:22">
      <c r="B11" s="351" t="s">
        <v>193</v>
      </c>
      <c r="C11" s="351" t="s">
        <v>194</v>
      </c>
      <c r="D11" s="351" t="s">
        <v>195</v>
      </c>
      <c r="E11" s="351" t="s">
        <v>196</v>
      </c>
      <c r="F11" s="351" t="s">
        <v>197</v>
      </c>
      <c r="G11" s="351" t="s">
        <v>198</v>
      </c>
      <c r="H11" s="351" t="s">
        <v>211</v>
      </c>
      <c r="I11" s="351" t="s">
        <v>220</v>
      </c>
      <c r="J11" s="351"/>
      <c r="K11" s="395" t="s">
        <v>496</v>
      </c>
      <c r="L11" s="351"/>
      <c r="M11" s="351"/>
      <c r="N11" s="351"/>
      <c r="O11" s="351"/>
      <c r="P11" s="32"/>
    </row>
    <row r="12" spans="2:22">
      <c r="B12" s="349"/>
      <c r="C12" s="351"/>
      <c r="K12" s="32" t="s">
        <v>497</v>
      </c>
    </row>
    <row r="13" spans="2:22">
      <c r="B13" s="349" t="s">
        <v>199</v>
      </c>
      <c r="C13" s="253" t="s">
        <v>226</v>
      </c>
      <c r="D13" s="315">
        <f>'Pres &amp; Prop Rev'!D46</f>
        <v>136106732.85768002</v>
      </c>
      <c r="E13" s="396">
        <v>0</v>
      </c>
      <c r="F13" s="326">
        <f>D13*E13</f>
        <v>0</v>
      </c>
      <c r="G13" s="402"/>
      <c r="H13" s="346">
        <f>F13+G13</f>
        <v>0</v>
      </c>
      <c r="I13" s="396">
        <f>ROUND(H13/D13,5)</f>
        <v>0</v>
      </c>
      <c r="J13" s="396"/>
      <c r="K13" s="397">
        <f>I13-E13</f>
        <v>0</v>
      </c>
      <c r="L13" s="396"/>
      <c r="M13" s="396"/>
      <c r="N13" s="346"/>
      <c r="O13" s="396"/>
      <c r="P13" s="226"/>
      <c r="R13" s="326">
        <f>RS!H14*1000</f>
        <v>194577505.32999998</v>
      </c>
      <c r="S13" s="214">
        <f>(G13)/R13</f>
        <v>0</v>
      </c>
      <c r="U13" s="182"/>
      <c r="V13" s="327"/>
    </row>
    <row r="14" spans="2:22">
      <c r="B14" s="349" t="s">
        <v>200</v>
      </c>
      <c r="C14" s="253" t="s">
        <v>299</v>
      </c>
      <c r="D14" s="315">
        <f>'Pres &amp; Prop Rev'!E46</f>
        <v>65945771.77595</v>
      </c>
      <c r="E14" s="396">
        <v>0</v>
      </c>
      <c r="F14" s="326">
        <f t="shared" ref="F14:F17" si="0">D14*E14</f>
        <v>0</v>
      </c>
      <c r="G14" s="402"/>
      <c r="H14" s="346">
        <f t="shared" ref="H14:H17" si="1">F14+G14</f>
        <v>0</v>
      </c>
      <c r="I14" s="396">
        <f t="shared" ref="I14:I16" si="2">ROUND(H14/D14,5)</f>
        <v>0</v>
      </c>
      <c r="J14" s="396"/>
      <c r="K14" s="397">
        <f t="shared" ref="K14:K16" si="3">I14-E14</f>
        <v>0</v>
      </c>
      <c r="L14" s="396"/>
      <c r="M14" s="396"/>
      <c r="N14" s="346"/>
      <c r="O14" s="396"/>
      <c r="P14" s="226"/>
      <c r="R14" s="326">
        <f>RS!H15*1000</f>
        <v>73738958</v>
      </c>
      <c r="S14" s="214">
        <f t="shared" ref="S14:S18" si="4">(G14)/R14</f>
        <v>0</v>
      </c>
      <c r="U14" s="182"/>
      <c r="V14" s="327"/>
    </row>
    <row r="15" spans="2:22">
      <c r="B15" s="349" t="s">
        <v>221</v>
      </c>
      <c r="C15" s="351" t="s">
        <v>301</v>
      </c>
      <c r="D15" s="315">
        <f>'Pres &amp; Prop Rev'!G46</f>
        <v>2692866.4820002159</v>
      </c>
      <c r="E15" s="396">
        <v>0</v>
      </c>
      <c r="F15" s="326">
        <f t="shared" si="0"/>
        <v>0</v>
      </c>
      <c r="G15" s="402"/>
      <c r="H15" s="346">
        <f t="shared" si="1"/>
        <v>0</v>
      </c>
      <c r="I15" s="396">
        <f t="shared" si="2"/>
        <v>0</v>
      </c>
      <c r="J15" s="396"/>
      <c r="K15" s="397">
        <f t="shared" si="3"/>
        <v>0</v>
      </c>
      <c r="L15" s="396"/>
      <c r="M15" s="396"/>
      <c r="N15" s="346"/>
      <c r="O15" s="396"/>
      <c r="P15" s="226"/>
      <c r="R15" s="326">
        <f>RS!H17*1000</f>
        <v>1707098.3199999998</v>
      </c>
      <c r="S15" s="214">
        <f t="shared" si="4"/>
        <v>0</v>
      </c>
      <c r="U15" s="182"/>
      <c r="V15" s="327"/>
    </row>
    <row r="16" spans="2:22">
      <c r="B16" s="349" t="s">
        <v>201</v>
      </c>
      <c r="C16" s="253" t="s">
        <v>228</v>
      </c>
      <c r="D16" s="315">
        <f>'Pres &amp; Prop Rev'!H46</f>
        <v>32193352</v>
      </c>
      <c r="E16" s="396">
        <v>0</v>
      </c>
      <c r="F16" s="326">
        <f t="shared" si="0"/>
        <v>0</v>
      </c>
      <c r="G16" s="402"/>
      <c r="H16" s="346">
        <f t="shared" si="1"/>
        <v>0</v>
      </c>
      <c r="I16" s="396">
        <f t="shared" si="2"/>
        <v>0</v>
      </c>
      <c r="J16" s="396"/>
      <c r="K16" s="397">
        <f t="shared" si="3"/>
        <v>0</v>
      </c>
      <c r="L16" s="396"/>
      <c r="M16" s="396"/>
      <c r="N16" s="346"/>
      <c r="O16" s="396"/>
      <c r="P16" s="226"/>
      <c r="R16" s="326">
        <f>RS!H18*1000</f>
        <v>3604401.1135</v>
      </c>
      <c r="S16" s="214">
        <f t="shared" si="4"/>
        <v>0</v>
      </c>
      <c r="U16" s="182"/>
      <c r="V16" s="327"/>
    </row>
    <row r="17" spans="2:22" ht="15">
      <c r="B17" s="349" t="s">
        <v>222</v>
      </c>
      <c r="C17" s="253" t="s">
        <v>238</v>
      </c>
      <c r="D17" s="398">
        <f>'Pres &amp; Prop Rev'!I46+'Pres &amp; Prop Rev'!J46</f>
        <v>53933012</v>
      </c>
      <c r="E17" s="226"/>
      <c r="F17" s="399">
        <f t="shared" si="0"/>
        <v>0</v>
      </c>
      <c r="G17" s="403"/>
      <c r="H17" s="400">
        <f t="shared" si="1"/>
        <v>0</v>
      </c>
      <c r="I17" s="396"/>
      <c r="J17" s="396"/>
      <c r="K17" s="400"/>
      <c r="L17" s="396"/>
      <c r="M17" s="396"/>
      <c r="N17" s="400"/>
      <c r="O17" s="396"/>
      <c r="R17" s="326">
        <f>RS!H19*1000</f>
        <v>1659425.2599999998</v>
      </c>
      <c r="S17" s="214">
        <f t="shared" si="4"/>
        <v>0</v>
      </c>
      <c r="U17" s="182"/>
      <c r="V17" s="327"/>
    </row>
    <row r="18" spans="2:22">
      <c r="B18" s="256" t="s">
        <v>58</v>
      </c>
      <c r="C18" s="351"/>
      <c r="D18" s="315">
        <f>SUM(D13:D17)</f>
        <v>290871735.11563027</v>
      </c>
      <c r="F18" s="346">
        <f>SUM(F13:F17)</f>
        <v>0</v>
      </c>
      <c r="G18" s="346">
        <f>SUM(G13:G17)</f>
        <v>0</v>
      </c>
      <c r="H18" s="346">
        <f>SUM(H13:H17)</f>
        <v>0</v>
      </c>
      <c r="I18" s="346"/>
      <c r="J18" s="346"/>
      <c r="K18" s="346"/>
      <c r="L18" s="346"/>
      <c r="M18" s="346"/>
      <c r="N18" s="346"/>
      <c r="R18" s="326">
        <f>SUM(R13:R17)</f>
        <v>275287388.02349997</v>
      </c>
      <c r="S18" s="214">
        <f t="shared" si="4"/>
        <v>0</v>
      </c>
      <c r="V18" s="327"/>
    </row>
    <row r="20" spans="2:22">
      <c r="F20" s="326"/>
      <c r="G20" s="326" t="e">
        <f>G18*#REF!</f>
        <v>#REF!</v>
      </c>
      <c r="H20" s="326" t="e">
        <f>H18*#REF!</f>
        <v>#REF!</v>
      </c>
      <c r="I20" s="326"/>
      <c r="J20" s="326"/>
      <c r="K20" s="326"/>
      <c r="L20" s="326"/>
      <c r="M20" s="326"/>
      <c r="N20" s="326"/>
      <c r="O20" s="346"/>
    </row>
    <row r="21" spans="2:22">
      <c r="G21" s="214">
        <v>0</v>
      </c>
    </row>
    <row r="24" spans="2:22">
      <c r="B24" s="135"/>
    </row>
    <row r="25" spans="2:22">
      <c r="B25" s="349"/>
      <c r="C25" s="214"/>
      <c r="D25" s="349"/>
    </row>
    <row r="26" spans="2:22">
      <c r="B26" s="349"/>
      <c r="C26" s="214"/>
    </row>
    <row r="27" spans="2:22">
      <c r="B27" s="349"/>
      <c r="C27" s="401"/>
    </row>
    <row r="28" spans="2:22">
      <c r="B28" s="349"/>
      <c r="C28" s="142"/>
    </row>
    <row r="34" spans="7:7">
      <c r="G34" s="32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P94"/>
  <sheetViews>
    <sheetView showGridLines="0" view="pageBreakPreview" zoomScaleNormal="85" zoomScaleSheetLayoutView="100" workbookViewId="0">
      <selection activeCell="J80" sqref="J80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0" t="s">
        <v>96</v>
      </c>
      <c r="B1" s="49"/>
      <c r="C1" s="170"/>
      <c r="D1" s="170"/>
      <c r="E1" s="170"/>
      <c r="F1" s="170"/>
      <c r="G1" s="170"/>
      <c r="H1" s="170"/>
    </row>
    <row r="2" spans="1:16" ht="14.1" customHeight="1">
      <c r="A2" s="180" t="s">
        <v>269</v>
      </c>
      <c r="B2" s="49"/>
      <c r="C2" s="170"/>
      <c r="D2" s="170"/>
      <c r="E2" s="170"/>
      <c r="F2" s="170"/>
      <c r="G2" s="170"/>
      <c r="H2" s="170"/>
    </row>
    <row r="3" spans="1:16" ht="14.1" customHeight="1">
      <c r="A3" s="180" t="s">
        <v>250</v>
      </c>
      <c r="B3" s="49"/>
      <c r="C3" s="170"/>
      <c r="D3" s="170"/>
      <c r="E3" s="170"/>
      <c r="F3" s="170"/>
      <c r="G3" s="170"/>
      <c r="H3" s="170"/>
    </row>
    <row r="4" spans="1:16" ht="14.1" customHeight="1">
      <c r="A4" s="180" t="s">
        <v>522</v>
      </c>
      <c r="B4" s="49"/>
      <c r="C4" s="170"/>
      <c r="D4" s="170"/>
      <c r="E4" s="170"/>
      <c r="F4" s="170"/>
      <c r="G4" s="170"/>
      <c r="H4" s="170"/>
    </row>
    <row r="5" spans="1:16">
      <c r="C5" s="48"/>
      <c r="D5" s="48"/>
      <c r="E5" s="273"/>
      <c r="F5" s="273"/>
      <c r="G5" s="273"/>
      <c r="H5" s="273"/>
    </row>
    <row r="6" spans="1:16">
      <c r="A6" s="40" t="s">
        <v>63</v>
      </c>
      <c r="B6" s="41" t="s">
        <v>64</v>
      </c>
      <c r="C6" s="171" t="s">
        <v>254</v>
      </c>
      <c r="D6" s="48"/>
      <c r="E6" s="280" t="s">
        <v>321</v>
      </c>
      <c r="F6" s="280" t="s">
        <v>307</v>
      </c>
      <c r="G6" s="278" t="s">
        <v>308</v>
      </c>
      <c r="H6" s="278"/>
    </row>
    <row r="7" spans="1:16">
      <c r="A7" s="349" t="s">
        <v>354</v>
      </c>
      <c r="B7" s="61">
        <f>'12MEJUN23'!P166</f>
        <v>136543272.85767996</v>
      </c>
      <c r="C7" s="353">
        <f>'12MEJUN23'!O26</f>
        <v>2077306</v>
      </c>
      <c r="D7" s="48"/>
      <c r="E7" s="319">
        <f>'Block Usage'!O17</f>
        <v>80993659.046190009</v>
      </c>
      <c r="F7" s="319">
        <f>'Block Usage'!O18</f>
        <v>55549613.811489999</v>
      </c>
      <c r="G7" s="279">
        <f>SUM(D7:F7)</f>
        <v>136543272.85768002</v>
      </c>
      <c r="H7" s="279"/>
      <c r="K7" s="315">
        <f>'12MEJUN23'!P166</f>
        <v>136543272.85767996</v>
      </c>
      <c r="L7" s="315">
        <f>G7-K7</f>
        <v>0</v>
      </c>
      <c r="M7" s="315">
        <f>'12MEJUN23'!P10+'12MEJUN23'!P11</f>
        <v>2077306</v>
      </c>
      <c r="N7" s="315">
        <f>M7-C7</f>
        <v>0</v>
      </c>
      <c r="O7" s="315"/>
      <c r="P7" s="315"/>
    </row>
    <row r="8" spans="1:16">
      <c r="B8" s="172"/>
      <c r="C8" s="172"/>
      <c r="D8" s="172"/>
      <c r="E8" s="273"/>
      <c r="F8" s="273"/>
      <c r="G8" s="281">
        <f>'12MEJUN23'!P166</f>
        <v>136543272.85767996</v>
      </c>
      <c r="H8" s="271"/>
      <c r="K8" s="315"/>
      <c r="L8" s="315"/>
      <c r="M8" s="315"/>
      <c r="N8" s="315"/>
      <c r="O8" s="315"/>
      <c r="P8" s="315"/>
    </row>
    <row r="9" spans="1:16">
      <c r="B9" s="172"/>
      <c r="C9" s="172"/>
      <c r="D9" s="172"/>
      <c r="E9" s="273"/>
      <c r="F9" s="273"/>
      <c r="G9" s="420">
        <f>G8-G7</f>
        <v>0</v>
      </c>
      <c r="H9" s="271"/>
      <c r="K9" s="315"/>
      <c r="L9" s="315"/>
      <c r="M9" s="315"/>
      <c r="N9" s="315"/>
      <c r="O9" s="315"/>
      <c r="P9" s="315"/>
    </row>
    <row r="10" spans="1:16">
      <c r="B10" s="172"/>
      <c r="C10" s="172"/>
      <c r="D10" s="172" t="s">
        <v>69</v>
      </c>
      <c r="E10" s="172" t="s">
        <v>70</v>
      </c>
      <c r="F10" s="273"/>
      <c r="G10" s="279"/>
      <c r="H10" s="271"/>
      <c r="K10" s="315"/>
      <c r="L10" s="315"/>
      <c r="M10" s="315"/>
      <c r="N10" s="315"/>
      <c r="O10" s="315"/>
      <c r="P10" s="315"/>
    </row>
    <row r="11" spans="1:16">
      <c r="A11" s="40" t="s">
        <v>483</v>
      </c>
      <c r="B11" s="171" t="s">
        <v>65</v>
      </c>
      <c r="C11" s="171" t="s">
        <v>66</v>
      </c>
      <c r="D11" s="171" t="s">
        <v>67</v>
      </c>
      <c r="E11" s="171" t="s">
        <v>73</v>
      </c>
      <c r="F11" s="163" t="s">
        <v>74</v>
      </c>
      <c r="G11" s="171" t="s">
        <v>58</v>
      </c>
      <c r="H11" s="171" t="s">
        <v>433</v>
      </c>
      <c r="I11" s="279"/>
      <c r="J11" s="279"/>
      <c r="K11" s="315"/>
      <c r="L11" s="315"/>
      <c r="M11" s="315"/>
      <c r="N11" s="315"/>
      <c r="O11" s="315"/>
      <c r="P11" s="315"/>
    </row>
    <row r="12" spans="1:16">
      <c r="A12" s="349" t="s">
        <v>68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15">
        <f>'12MEJUN23'!P167</f>
        <v>63418671.775950007</v>
      </c>
      <c r="L12" s="315">
        <f>G17-K12</f>
        <v>2470337.9999999925</v>
      </c>
      <c r="M12" s="315">
        <f>'12MEJUN23'!P12+'12MEJUN23'!P13</f>
        <v>41563</v>
      </c>
      <c r="N12" s="315">
        <f>H17-M12</f>
        <v>16</v>
      </c>
      <c r="O12" s="315"/>
      <c r="P12" s="315"/>
    </row>
    <row r="13" spans="1:16">
      <c r="A13" t="s">
        <v>289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15"/>
      <c r="L13" s="315"/>
      <c r="M13" s="315"/>
      <c r="N13" s="315"/>
      <c r="O13" s="315"/>
      <c r="P13" s="315"/>
    </row>
    <row r="14" spans="1:16">
      <c r="A14" s="35" t="s">
        <v>265</v>
      </c>
      <c r="B14" s="173"/>
      <c r="C14" s="173"/>
      <c r="D14" s="173"/>
      <c r="E14" s="173"/>
      <c r="F14" s="173"/>
      <c r="G14" s="509">
        <f>'12MEJUN23'!P167</f>
        <v>63418671.775950007</v>
      </c>
      <c r="H14" s="63">
        <f>'12MEJUN23'!O27</f>
        <v>41563</v>
      </c>
      <c r="I14" s="48"/>
      <c r="J14" s="48"/>
      <c r="K14" s="315"/>
      <c r="L14" s="315"/>
      <c r="M14" s="315"/>
      <c r="N14" s="315"/>
      <c r="O14" s="315"/>
      <c r="P14" s="315"/>
    </row>
    <row r="15" spans="1:16">
      <c r="A15" s="411" t="s">
        <v>528</v>
      </c>
      <c r="B15" s="510">
        <f>'Big Schedules'!Q54</f>
        <v>3200</v>
      </c>
      <c r="C15" s="510">
        <f>'Big Schedules'!R54</f>
        <v>15200</v>
      </c>
      <c r="D15" s="510">
        <f>'Big Schedules'!S54</f>
        <v>156000</v>
      </c>
      <c r="E15" s="510">
        <f>'Big Schedules'!T54</f>
        <v>296399</v>
      </c>
      <c r="F15" s="510">
        <f>'Big Schedules'!U54</f>
        <v>1999539</v>
      </c>
      <c r="G15" s="511">
        <f>SUM(B15:F15)</f>
        <v>2470338</v>
      </c>
      <c r="H15" s="513">
        <v>16</v>
      </c>
      <c r="I15" s="48"/>
      <c r="J15" s="48"/>
      <c r="K15" s="315"/>
      <c r="L15" s="315"/>
      <c r="M15" s="315"/>
      <c r="N15" s="315"/>
      <c r="O15" s="315"/>
      <c r="P15" s="315"/>
    </row>
    <row r="16" spans="1:16">
      <c r="A16" s="429"/>
      <c r="B16" s="510"/>
      <c r="C16" s="510"/>
      <c r="D16" s="510"/>
      <c r="E16" s="510"/>
      <c r="F16" s="510"/>
      <c r="G16" s="512"/>
      <c r="H16" s="514"/>
      <c r="I16" s="273"/>
      <c r="J16" s="273"/>
      <c r="K16" s="315"/>
      <c r="L16" s="315"/>
      <c r="M16" s="315"/>
      <c r="N16" s="315"/>
      <c r="O16" s="315"/>
      <c r="P16" s="315"/>
    </row>
    <row r="17" spans="1:16">
      <c r="A17" s="429" t="s">
        <v>58</v>
      </c>
      <c r="B17" s="430">
        <f>SUM(B13:B15)</f>
        <v>7004339.4199599996</v>
      </c>
      <c r="C17" s="430">
        <f>SUM(C13:C15)</f>
        <v>18294954.25451</v>
      </c>
      <c r="D17" s="430">
        <f>SUM(D13:D15)</f>
        <v>31380403.08151</v>
      </c>
      <c r="E17" s="430">
        <f>SUM(E13:E15)</f>
        <v>5263380.6339700008</v>
      </c>
      <c r="F17" s="430">
        <f>SUM(F13:F15)</f>
        <v>3945932.3859999999</v>
      </c>
      <c r="G17" s="430">
        <f>G13+G15</f>
        <v>65889009.77595</v>
      </c>
      <c r="H17" s="431">
        <f>H14+H15</f>
        <v>41579</v>
      </c>
      <c r="I17" s="48"/>
      <c r="J17" s="48"/>
      <c r="K17" s="315"/>
      <c r="L17" s="315"/>
      <c r="M17" s="315"/>
      <c r="N17" s="315"/>
      <c r="O17" s="315"/>
      <c r="P17" s="315"/>
    </row>
    <row r="18" spans="1:16">
      <c r="A18" s="157" t="s">
        <v>253</v>
      </c>
      <c r="B18" s="173"/>
      <c r="C18" s="173"/>
      <c r="D18" s="173"/>
      <c r="E18" s="173"/>
      <c r="F18" s="173"/>
      <c r="G18" s="173"/>
      <c r="H18" s="173"/>
      <c r="I18" s="48"/>
      <c r="J18" s="48"/>
      <c r="K18" s="315"/>
      <c r="L18" s="315"/>
      <c r="M18" s="315"/>
      <c r="N18" s="315"/>
      <c r="O18" s="315"/>
      <c r="P18" s="315"/>
    </row>
    <row r="19" spans="1:16" hidden="1">
      <c r="A19" s="157"/>
      <c r="B19" s="172"/>
      <c r="C19" s="172"/>
      <c r="D19" s="172" t="s">
        <v>69</v>
      </c>
      <c r="E19" s="172" t="s">
        <v>70</v>
      </c>
      <c r="F19" s="273"/>
      <c r="G19" s="172" t="s">
        <v>58</v>
      </c>
      <c r="H19" s="172"/>
      <c r="K19" s="315"/>
      <c r="L19" s="315"/>
      <c r="M19" s="315"/>
      <c r="N19" s="315"/>
      <c r="O19" s="315"/>
      <c r="P19" s="315"/>
    </row>
    <row r="20" spans="1:16" hidden="1">
      <c r="A20" s="40" t="s">
        <v>486</v>
      </c>
      <c r="B20" s="171" t="s">
        <v>65</v>
      </c>
      <c r="C20" s="171" t="s">
        <v>66</v>
      </c>
      <c r="D20" s="171" t="s">
        <v>67</v>
      </c>
      <c r="E20" s="171" t="s">
        <v>73</v>
      </c>
      <c r="F20" s="163" t="s">
        <v>74</v>
      </c>
      <c r="G20" s="171" t="s">
        <v>67</v>
      </c>
      <c r="H20" s="171" t="s">
        <v>254</v>
      </c>
      <c r="K20" s="315"/>
      <c r="L20" s="315"/>
      <c r="M20" s="315"/>
      <c r="N20" s="315"/>
      <c r="O20" s="315"/>
      <c r="P20" s="315"/>
    </row>
    <row r="21" spans="1:16" hidden="1">
      <c r="A21" t="s">
        <v>68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3">
        <f>SUM(B21:F21)</f>
        <v>0</v>
      </c>
      <c r="H21" s="173">
        <v>0</v>
      </c>
      <c r="K21" s="315"/>
      <c r="L21" s="315"/>
      <c r="M21" s="315"/>
      <c r="N21" s="315"/>
      <c r="O21" s="315"/>
      <c r="P21" s="315"/>
    </row>
    <row r="22" spans="1:16" hidden="1">
      <c r="A22" s="349" t="s">
        <v>484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3">
        <f t="shared" ref="G22:G24" si="1">SUM(B22:F22)</f>
        <v>0</v>
      </c>
      <c r="H22" s="63">
        <v>0</v>
      </c>
      <c r="K22" s="315"/>
      <c r="L22" s="315"/>
      <c r="M22" s="315"/>
      <c r="N22" s="315"/>
      <c r="O22" s="315"/>
      <c r="P22" s="315"/>
    </row>
    <row r="23" spans="1:16" hidden="1">
      <c r="A23" s="349" t="s">
        <v>485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3">
        <f t="shared" si="1"/>
        <v>0</v>
      </c>
      <c r="H23" s="63">
        <v>0</v>
      </c>
      <c r="K23" s="315"/>
      <c r="L23" s="315"/>
      <c r="M23" s="315"/>
      <c r="N23" s="315"/>
      <c r="O23" s="315"/>
      <c r="P23" s="315"/>
    </row>
    <row r="24" spans="1:16" hidden="1">
      <c r="A24" t="s">
        <v>475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15"/>
      <c r="L24" s="315"/>
      <c r="M24" s="315"/>
      <c r="N24" s="315"/>
      <c r="O24" s="315"/>
      <c r="P24" s="315"/>
    </row>
    <row r="25" spans="1:16" hidden="1">
      <c r="A25" t="s">
        <v>58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15"/>
      <c r="L25" s="315"/>
      <c r="M25" s="315"/>
      <c r="N25" s="315"/>
      <c r="O25" s="315"/>
      <c r="P25" s="315"/>
    </row>
    <row r="26" spans="1:16" hidden="1">
      <c r="B26" s="63"/>
      <c r="C26" s="63"/>
      <c r="D26" s="63"/>
      <c r="E26" s="220"/>
      <c r="G26" s="273"/>
      <c r="H26" s="273"/>
      <c r="K26" s="315"/>
      <c r="L26" s="315"/>
      <c r="M26" s="315"/>
      <c r="N26" s="315"/>
      <c r="O26" s="315"/>
      <c r="P26" s="315"/>
    </row>
    <row r="27" spans="1:16" hidden="1">
      <c r="B27" s="172"/>
      <c r="C27" s="172"/>
      <c r="D27" s="172" t="s">
        <v>69</v>
      </c>
      <c r="E27" s="172" t="s">
        <v>70</v>
      </c>
      <c r="F27" s="48"/>
      <c r="G27" s="172" t="s">
        <v>58</v>
      </c>
      <c r="H27" s="172"/>
      <c r="K27" s="315"/>
      <c r="L27" s="315"/>
      <c r="M27" s="315"/>
      <c r="N27" s="315"/>
      <c r="O27" s="315"/>
      <c r="P27" s="315"/>
    </row>
    <row r="28" spans="1:16" hidden="1">
      <c r="A28" s="40" t="s">
        <v>487</v>
      </c>
      <c r="B28" s="171" t="s">
        <v>71</v>
      </c>
      <c r="C28" s="171" t="s">
        <v>72</v>
      </c>
      <c r="D28" s="171" t="s">
        <v>67</v>
      </c>
      <c r="E28" s="171" t="s">
        <v>73</v>
      </c>
      <c r="F28" s="163" t="s">
        <v>74</v>
      </c>
      <c r="G28" s="171" t="s">
        <v>67</v>
      </c>
      <c r="H28" s="171" t="s">
        <v>254</v>
      </c>
      <c r="K28" s="315"/>
      <c r="L28" s="315"/>
      <c r="M28" s="315"/>
      <c r="N28" s="315"/>
      <c r="O28" s="315"/>
      <c r="P28" s="315"/>
    </row>
    <row r="29" spans="1:16" hidden="1">
      <c r="A29" t="s">
        <v>75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15"/>
      <c r="L29" s="315"/>
      <c r="M29" s="315"/>
      <c r="N29" s="315"/>
      <c r="O29" s="315"/>
      <c r="P29" s="315"/>
    </row>
    <row r="30" spans="1:16" hidden="1">
      <c r="A30" t="s">
        <v>454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15"/>
      <c r="L30" s="315"/>
      <c r="M30" s="315"/>
      <c r="N30" s="315"/>
      <c r="O30" s="315"/>
      <c r="P30" s="315"/>
    </row>
    <row r="31" spans="1:16" hidden="1">
      <c r="A31" t="s">
        <v>289</v>
      </c>
      <c r="B31" s="173">
        <f>SUM(B29:B30)</f>
        <v>0</v>
      </c>
      <c r="C31" s="173">
        <f t="shared" ref="C31:H31" si="3">SUM(C29:C30)</f>
        <v>0</v>
      </c>
      <c r="D31" s="173">
        <f t="shared" si="3"/>
        <v>0</v>
      </c>
      <c r="E31" s="173">
        <f t="shared" si="3"/>
        <v>0</v>
      </c>
      <c r="F31" s="173">
        <f t="shared" si="3"/>
        <v>0</v>
      </c>
      <c r="G31" s="173">
        <f t="shared" si="3"/>
        <v>0</v>
      </c>
      <c r="H31" s="173">
        <f t="shared" si="3"/>
        <v>0</v>
      </c>
      <c r="K31" s="315"/>
      <c r="L31" s="315"/>
      <c r="M31" s="315"/>
      <c r="N31" s="315"/>
      <c r="O31" s="315"/>
      <c r="P31" s="315"/>
    </row>
    <row r="32" spans="1:16" hidden="1">
      <c r="A32" s="35" t="s">
        <v>265</v>
      </c>
      <c r="B32" s="173"/>
      <c r="C32" s="173"/>
      <c r="D32" s="173"/>
      <c r="E32" s="173"/>
      <c r="F32" s="173"/>
      <c r="G32" s="173">
        <f>'12MEJUN23'!P168</f>
        <v>0</v>
      </c>
      <c r="H32" s="173"/>
      <c r="K32" s="315"/>
      <c r="L32" s="315"/>
      <c r="M32" s="315"/>
      <c r="N32" s="315"/>
      <c r="O32" s="315"/>
      <c r="P32" s="315"/>
    </row>
    <row r="33" spans="1:16" hidden="1">
      <c r="A33" s="35" t="s">
        <v>455</v>
      </c>
      <c r="B33" s="173"/>
      <c r="C33" s="173"/>
      <c r="D33" s="173"/>
      <c r="E33" s="173"/>
      <c r="F33" s="173"/>
      <c r="G33" s="173">
        <f>G30</f>
        <v>0</v>
      </c>
      <c r="H33" s="173"/>
      <c r="K33" s="315"/>
      <c r="L33" s="315"/>
      <c r="M33" s="315"/>
      <c r="N33" s="315"/>
      <c r="O33" s="315"/>
      <c r="P33" s="315"/>
    </row>
    <row r="34" spans="1:16" hidden="1">
      <c r="A34" s="35" t="s">
        <v>58</v>
      </c>
      <c r="B34" s="173"/>
      <c r="C34" s="173"/>
      <c r="D34" s="173"/>
      <c r="E34" s="173"/>
      <c r="F34" s="173"/>
      <c r="G34" s="173">
        <f>G32+G33</f>
        <v>0</v>
      </c>
      <c r="H34" s="173"/>
      <c r="K34" s="315"/>
      <c r="L34" s="315"/>
      <c r="M34" s="315"/>
      <c r="N34" s="315"/>
      <c r="O34" s="315"/>
      <c r="P34" s="315"/>
    </row>
    <row r="35" spans="1:16" hidden="1">
      <c r="B35" s="173"/>
      <c r="C35" s="173"/>
      <c r="D35" s="173"/>
      <c r="E35" s="173"/>
      <c r="F35" s="173"/>
      <c r="G35" s="173">
        <f>G31-G34</f>
        <v>0</v>
      </c>
      <c r="H35" s="173"/>
      <c r="K35" s="315"/>
      <c r="L35" s="315"/>
      <c r="M35" s="315"/>
      <c r="N35" s="315"/>
      <c r="O35" s="315"/>
      <c r="P35" s="315"/>
    </row>
    <row r="36" spans="1:16">
      <c r="B36" s="172" t="s">
        <v>76</v>
      </c>
      <c r="C36" s="172" t="s">
        <v>77</v>
      </c>
      <c r="D36" s="172" t="s">
        <v>77</v>
      </c>
      <c r="E36" s="172" t="s">
        <v>78</v>
      </c>
      <c r="F36" s="172" t="s">
        <v>58</v>
      </c>
      <c r="G36" s="48"/>
      <c r="H36" s="48"/>
      <c r="K36" s="315"/>
      <c r="L36" s="315"/>
      <c r="M36" s="315"/>
      <c r="N36" s="315"/>
      <c r="O36" s="315"/>
      <c r="P36" s="315"/>
    </row>
    <row r="37" spans="1:16">
      <c r="A37" s="40" t="s">
        <v>108</v>
      </c>
      <c r="B37" s="171" t="s">
        <v>79</v>
      </c>
      <c r="C37" s="171" t="s">
        <v>80</v>
      </c>
      <c r="D37" s="171" t="s">
        <v>73</v>
      </c>
      <c r="E37" s="171" t="s">
        <v>81</v>
      </c>
      <c r="F37" s="171" t="s">
        <v>67</v>
      </c>
      <c r="G37" s="171" t="s">
        <v>254</v>
      </c>
      <c r="H37" s="48"/>
      <c r="K37" s="315"/>
      <c r="L37" s="315"/>
      <c r="M37" s="315"/>
      <c r="N37" s="315"/>
      <c r="O37" s="315"/>
      <c r="P37" s="315"/>
    </row>
    <row r="38" spans="1:16">
      <c r="A38" t="s">
        <v>304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525">
        <f>4*12</f>
        <v>48</v>
      </c>
      <c r="H38" s="48"/>
      <c r="K38" s="315">
        <f>'12MEJUN23'!P169</f>
        <v>2231175.7719999999</v>
      </c>
      <c r="L38" s="315">
        <f>F38-K38</f>
        <v>461690.71000021603</v>
      </c>
      <c r="M38" s="315">
        <f>'12MEJUN23'!P15</f>
        <v>39</v>
      </c>
      <c r="N38" s="315">
        <f>G38-M38</f>
        <v>9</v>
      </c>
      <c r="O38" s="315"/>
      <c r="P38" s="315"/>
    </row>
    <row r="39" spans="1:16">
      <c r="A39" s="157"/>
      <c r="B39" s="62"/>
      <c r="C39" s="273"/>
      <c r="D39" s="273"/>
      <c r="E39" s="273"/>
      <c r="F39" s="520"/>
      <c r="G39" s="273"/>
      <c r="H39" s="62"/>
      <c r="K39" s="315"/>
      <c r="L39" s="315"/>
      <c r="M39" s="315"/>
      <c r="N39" s="315"/>
      <c r="O39" s="315"/>
      <c r="P39" s="315"/>
    </row>
    <row r="40" spans="1:16">
      <c r="B40" s="172" t="s">
        <v>76</v>
      </c>
      <c r="C40" s="172" t="s">
        <v>77</v>
      </c>
      <c r="D40" s="172" t="s">
        <v>77</v>
      </c>
      <c r="E40" s="172" t="s">
        <v>77</v>
      </c>
      <c r="F40" s="172" t="s">
        <v>78</v>
      </c>
      <c r="G40" s="172" t="s">
        <v>58</v>
      </c>
      <c r="H40" s="48"/>
      <c r="K40" s="315"/>
      <c r="L40" s="315"/>
      <c r="M40" s="315"/>
      <c r="N40" s="315"/>
      <c r="O40" s="315"/>
      <c r="P40" s="315"/>
    </row>
    <row r="41" spans="1:16">
      <c r="A41" s="40" t="s">
        <v>83</v>
      </c>
      <c r="B41" s="171" t="s">
        <v>84</v>
      </c>
      <c r="C41" s="171" t="s">
        <v>85</v>
      </c>
      <c r="D41" s="171" t="s">
        <v>86</v>
      </c>
      <c r="E41" s="171" t="s">
        <v>87</v>
      </c>
      <c r="F41" s="163" t="s">
        <v>88</v>
      </c>
      <c r="G41" s="171" t="s">
        <v>67</v>
      </c>
      <c r="H41" s="171" t="s">
        <v>254</v>
      </c>
      <c r="K41" s="315">
        <f>'12MEJUN23'!P170</f>
        <v>33498214</v>
      </c>
      <c r="L41" s="315">
        <f>G42-K41</f>
        <v>-1304862</v>
      </c>
      <c r="M41" s="315">
        <f>'12MEJUN23'!P16</f>
        <v>431</v>
      </c>
      <c r="N41" s="315">
        <f>M41-H42</f>
        <v>11</v>
      </c>
      <c r="O41" s="315"/>
      <c r="P41" s="315"/>
    </row>
    <row r="42" spans="1:16">
      <c r="A42" t="s">
        <v>82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61">
        <f>35*12</f>
        <v>420</v>
      </c>
      <c r="K42" s="315"/>
      <c r="L42" s="315"/>
      <c r="M42" s="315"/>
      <c r="N42" s="315"/>
      <c r="O42" s="315"/>
      <c r="P42" s="315"/>
    </row>
    <row r="43" spans="1:16">
      <c r="B43" s="48"/>
      <c r="C43" s="48"/>
      <c r="D43" s="48"/>
      <c r="E43" s="48"/>
      <c r="F43" s="48"/>
      <c r="G43" s="48"/>
      <c r="H43" s="48"/>
      <c r="K43" s="315"/>
      <c r="L43" s="315"/>
      <c r="M43" s="315"/>
      <c r="N43" s="315"/>
      <c r="O43" s="315"/>
      <c r="P43" s="315"/>
    </row>
    <row r="44" spans="1:16">
      <c r="A44" s="40" t="s">
        <v>305</v>
      </c>
      <c r="B44" s="171" t="s">
        <v>64</v>
      </c>
      <c r="C44" s="48"/>
      <c r="D44" s="48"/>
      <c r="E44" s="48"/>
      <c r="F44" s="48"/>
      <c r="G44" s="48"/>
      <c r="H44" s="48"/>
      <c r="K44" s="315"/>
      <c r="L44" s="315"/>
      <c r="M44" s="315"/>
      <c r="N44" s="315"/>
      <c r="O44" s="315"/>
      <c r="P44" s="315"/>
    </row>
    <row r="45" spans="1:16">
      <c r="A45" t="s">
        <v>105</v>
      </c>
      <c r="B45" s="438">
        <f>'12MEJUN23'!P150</f>
        <v>10047176</v>
      </c>
      <c r="C45" s="48"/>
      <c r="D45" s="48"/>
      <c r="E45" s="48"/>
      <c r="F45" s="62"/>
      <c r="G45" s="48"/>
      <c r="H45" s="48"/>
      <c r="K45" s="315">
        <f>'12MEJUN23'!P171</f>
        <v>10047176</v>
      </c>
      <c r="L45" s="315">
        <f>B45-K45</f>
        <v>0</v>
      </c>
      <c r="M45" s="315"/>
      <c r="N45" s="315"/>
      <c r="O45" s="315"/>
      <c r="P45" s="315"/>
    </row>
    <row r="46" spans="1:16">
      <c r="B46" s="48"/>
      <c r="C46" s="48"/>
      <c r="D46" s="48"/>
      <c r="E46" s="48"/>
      <c r="F46" s="48"/>
      <c r="G46" s="48"/>
      <c r="H46" s="48"/>
      <c r="K46" s="315"/>
      <c r="L46" s="315"/>
      <c r="M46" s="315"/>
      <c r="N46" s="315"/>
      <c r="O46" s="315"/>
      <c r="P46" s="315"/>
    </row>
    <row r="47" spans="1:16">
      <c r="A47" s="40" t="s">
        <v>306</v>
      </c>
      <c r="B47" s="171" t="s">
        <v>64</v>
      </c>
      <c r="C47" s="171" t="s">
        <v>254</v>
      </c>
      <c r="D47" s="48"/>
      <c r="E47" s="48"/>
      <c r="F47" s="48"/>
      <c r="G47" s="48"/>
      <c r="H47" s="48"/>
      <c r="K47" s="315"/>
      <c r="L47" s="315"/>
      <c r="M47" s="315"/>
      <c r="N47" s="315"/>
      <c r="O47" s="315"/>
      <c r="P47" s="315"/>
    </row>
    <row r="48" spans="1:16">
      <c r="A48" s="369" t="s">
        <v>182</v>
      </c>
      <c r="B48" s="61">
        <f>'Big Schedules'!O93</f>
        <v>23379996</v>
      </c>
      <c r="C48" s="367">
        <v>12</v>
      </c>
      <c r="D48" s="48"/>
      <c r="E48" s="48"/>
      <c r="F48" s="48"/>
      <c r="G48" s="48"/>
      <c r="H48" s="48"/>
      <c r="K48" s="315"/>
      <c r="L48" s="315"/>
      <c r="M48" s="315"/>
      <c r="N48" s="315"/>
      <c r="O48" s="315"/>
      <c r="P48" s="315"/>
    </row>
    <row r="49" spans="1:16">
      <c r="A49" s="369" t="s">
        <v>93</v>
      </c>
      <c r="B49" s="61">
        <f>'Big Schedules'!O94</f>
        <v>5164136</v>
      </c>
      <c r="C49" s="367">
        <v>12</v>
      </c>
      <c r="D49" s="48"/>
      <c r="E49" s="48"/>
      <c r="F49" s="48"/>
      <c r="G49" s="48"/>
      <c r="H49" s="48"/>
      <c r="K49" s="315"/>
      <c r="L49" s="315"/>
      <c r="M49" s="315"/>
      <c r="N49" s="315"/>
      <c r="O49" s="315"/>
      <c r="P49" s="315"/>
    </row>
    <row r="50" spans="1:16">
      <c r="A50" s="369" t="s">
        <v>183</v>
      </c>
      <c r="B50" s="438">
        <v>0</v>
      </c>
      <c r="C50" s="439">
        <v>0</v>
      </c>
      <c r="D50" s="48"/>
      <c r="E50" s="48"/>
      <c r="F50" s="48"/>
      <c r="G50" s="48"/>
      <c r="H50" s="48"/>
      <c r="K50" s="315"/>
      <c r="L50" s="315"/>
      <c r="M50" s="315"/>
      <c r="N50" s="315"/>
      <c r="O50" s="315"/>
      <c r="P50" s="315"/>
    </row>
    <row r="51" spans="1:16">
      <c r="A51" s="369" t="s">
        <v>92</v>
      </c>
      <c r="B51" s="353">
        <f>'Big Schedules'!O95</f>
        <v>5714117</v>
      </c>
      <c r="C51" s="368">
        <v>12</v>
      </c>
      <c r="D51" s="48"/>
      <c r="E51" s="48"/>
      <c r="F51" s="48"/>
      <c r="G51" s="48"/>
      <c r="H51" s="48"/>
      <c r="K51" s="315">
        <f>'12MEJUN23'!P172</f>
        <v>45513003</v>
      </c>
      <c r="L51" s="315">
        <f>B52+B54-K51</f>
        <v>-1627167</v>
      </c>
      <c r="M51" s="315">
        <f>'12MEJUN23'!P17+'12MEJUN23'!P18</f>
        <v>95</v>
      </c>
      <c r="N51" s="315">
        <v>-12</v>
      </c>
      <c r="O51" s="315"/>
      <c r="P51" s="315"/>
    </row>
    <row r="52" spans="1:16">
      <c r="A52" s="35" t="s">
        <v>58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15"/>
      <c r="L52" s="315"/>
      <c r="M52" s="315"/>
      <c r="N52" s="315"/>
      <c r="O52" s="315"/>
      <c r="P52" s="315"/>
    </row>
    <row r="53" spans="1:16">
      <c r="B53" s="62"/>
      <c r="C53" s="62"/>
      <c r="D53" s="48"/>
      <c r="E53" s="48"/>
      <c r="F53" s="48"/>
      <c r="G53" s="48"/>
      <c r="H53" s="48"/>
      <c r="K53" s="315"/>
      <c r="L53" s="315"/>
      <c r="M53" s="315" t="s">
        <v>537</v>
      </c>
      <c r="N53" s="315">
        <v>-24</v>
      </c>
      <c r="O53" s="315"/>
      <c r="P53" s="315"/>
    </row>
    <row r="54" spans="1:16">
      <c r="A54" s="369" t="s">
        <v>184</v>
      </c>
      <c r="B54" s="61">
        <f>MAX(8000000,'Big Schedules'!O96)</f>
        <v>9627587</v>
      </c>
      <c r="C54" s="361">
        <v>12</v>
      </c>
      <c r="D54" s="48"/>
      <c r="E54" s="48"/>
      <c r="F54" s="172"/>
      <c r="G54" s="172"/>
      <c r="H54" s="172"/>
      <c r="I54" s="32"/>
      <c r="K54" s="544"/>
      <c r="L54" s="315"/>
      <c r="M54" s="315"/>
      <c r="N54" s="315"/>
      <c r="O54" s="315"/>
      <c r="P54" s="315"/>
    </row>
    <row r="55" spans="1:16">
      <c r="B55" s="48"/>
      <c r="C55" s="48"/>
      <c r="D55" s="48"/>
      <c r="E55" s="48"/>
      <c r="F55" s="48"/>
      <c r="G55" s="48"/>
      <c r="H55" s="48"/>
      <c r="K55" s="315">
        <f>SUM(K7:K53)</f>
        <v>291251513.40562999</v>
      </c>
      <c r="L55" s="315">
        <f>SUM(L7:L53)</f>
        <v>-0.28999979142099619</v>
      </c>
      <c r="M55" s="315">
        <f t="shared" ref="M55" si="4">SUM(M7:M53)</f>
        <v>2119434</v>
      </c>
      <c r="N55" s="315">
        <f>SUM(N7:N53)</f>
        <v>0</v>
      </c>
      <c r="O55" s="315"/>
      <c r="P55" s="315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79" t="s">
        <v>278</v>
      </c>
    </row>
    <row r="63" spans="1:16" ht="13.5" thickBot="1">
      <c r="A63" s="58" t="s">
        <v>274</v>
      </c>
      <c r="B63" s="521">
        <f>B7+G17+F38+G42+B45+B52+B54+G29</f>
        <v>291251513.11563015</v>
      </c>
    </row>
    <row r="64" spans="1:16" ht="13.5" thickTop="1">
      <c r="A64" s="58"/>
      <c r="B64" s="522"/>
    </row>
    <row r="65" spans="1:7">
      <c r="A65" s="58" t="s">
        <v>275</v>
      </c>
      <c r="B65" s="443">
        <f>'12MEJUN23'!P173</f>
        <v>291251513.40562999</v>
      </c>
    </row>
    <row r="66" spans="1:7">
      <c r="A66" s="442" t="s">
        <v>106</v>
      </c>
      <c r="B66" s="443"/>
    </row>
    <row r="67" spans="1:7">
      <c r="A67" s="442" t="s">
        <v>438</v>
      </c>
      <c r="B67" s="443">
        <f>-'Big Schedules'!C89</f>
        <v>4.0000000000873115E-2</v>
      </c>
      <c r="E67" s="34"/>
      <c r="F67" s="34"/>
      <c r="G67" s="34"/>
    </row>
    <row r="68" spans="1:7">
      <c r="A68" s="442" t="s">
        <v>439</v>
      </c>
      <c r="B68" s="443">
        <f>G30</f>
        <v>0</v>
      </c>
      <c r="E68" s="34"/>
      <c r="F68" s="34"/>
      <c r="G68" s="34"/>
    </row>
    <row r="69" spans="1:7">
      <c r="A69" s="442" t="s">
        <v>440</v>
      </c>
      <c r="B69" s="443"/>
      <c r="E69" s="34"/>
      <c r="F69" s="34"/>
      <c r="G69" s="34"/>
    </row>
    <row r="70" spans="1:7">
      <c r="A70" s="442" t="s">
        <v>288</v>
      </c>
      <c r="B70" s="443"/>
      <c r="E70" s="34"/>
      <c r="F70" s="34"/>
      <c r="G70" s="34"/>
    </row>
    <row r="71" spans="1:7" ht="13.5" thickBot="1">
      <c r="A71" s="58"/>
      <c r="B71" s="523">
        <f>B65-SUM(B66:B70)</f>
        <v>291251513.36562997</v>
      </c>
      <c r="E71" s="34"/>
      <c r="F71" s="34"/>
      <c r="G71" s="34"/>
    </row>
    <row r="72" spans="1:7" ht="13.5" thickTop="1">
      <c r="A72" s="58" t="s">
        <v>107</v>
      </c>
      <c r="B72" s="524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255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256</v>
      </c>
      <c r="B75" s="132">
        <f>B63</f>
        <v>291251513.11563015</v>
      </c>
      <c r="E75" s="34"/>
      <c r="F75" s="34"/>
      <c r="G75" s="34"/>
    </row>
    <row r="76" spans="1:7">
      <c r="A76" s="58" t="s">
        <v>107</v>
      </c>
      <c r="B76" s="165">
        <f>B74-B75</f>
        <v>0</v>
      </c>
      <c r="E76" s="34"/>
      <c r="F76" s="34"/>
      <c r="G76" s="34"/>
    </row>
    <row r="77" spans="1:7">
      <c r="A77" s="167"/>
      <c r="B77" s="166"/>
      <c r="E77" s="34"/>
      <c r="F77" s="34"/>
      <c r="G77" s="34"/>
    </row>
    <row r="78" spans="1:7">
      <c r="B78" s="37"/>
      <c r="G78" s="34"/>
    </row>
    <row r="79" spans="1:7">
      <c r="A79" s="179" t="s">
        <v>97</v>
      </c>
      <c r="B79" s="37"/>
      <c r="G79" s="34"/>
    </row>
    <row r="80" spans="1:7" ht="13.5" thickBot="1">
      <c r="A80" s="58" t="s">
        <v>259</v>
      </c>
      <c r="B80" s="169">
        <f>C7+H17+G38+H42+C52+C54+H29</f>
        <v>2119401</v>
      </c>
      <c r="D80" s="543"/>
    </row>
    <row r="81" spans="1:8" ht="13.5" thickTop="1">
      <c r="B81" s="37"/>
    </row>
    <row r="82" spans="1:8">
      <c r="A82" s="37" t="s">
        <v>257</v>
      </c>
      <c r="B82" s="39">
        <f>'12MEJUN23'!O33</f>
        <v>2119434</v>
      </c>
    </row>
    <row r="83" spans="1:8">
      <c r="A83" s="59" t="s">
        <v>106</v>
      </c>
      <c r="B83" s="39"/>
    </row>
    <row r="84" spans="1:8">
      <c r="A84" s="59" t="s">
        <v>59</v>
      </c>
      <c r="B84" s="39">
        <f>-H15</f>
        <v>-16</v>
      </c>
      <c r="D84" t="s">
        <v>532</v>
      </c>
      <c r="G84">
        <v>12</v>
      </c>
      <c r="H84" t="s">
        <v>534</v>
      </c>
    </row>
    <row r="85" spans="1:8">
      <c r="A85" s="59" t="s">
        <v>276</v>
      </c>
      <c r="B85" s="39">
        <v>0</v>
      </c>
      <c r="D85" t="s">
        <v>533</v>
      </c>
      <c r="H85" t="s">
        <v>535</v>
      </c>
    </row>
    <row r="86" spans="1:8">
      <c r="A86" s="59" t="s">
        <v>272</v>
      </c>
      <c r="B86" s="164">
        <v>0</v>
      </c>
      <c r="C86" s="174"/>
      <c r="D86" s="426" t="s">
        <v>526</v>
      </c>
      <c r="H86" t="s">
        <v>535</v>
      </c>
    </row>
    <row r="87" spans="1:8">
      <c r="A87" s="59" t="s">
        <v>258</v>
      </c>
      <c r="B87" s="164">
        <f>'12MEJUN23'!O30-'Bill Determ'!H42</f>
        <v>11</v>
      </c>
      <c r="D87" s="426" t="s">
        <v>527</v>
      </c>
      <c r="H87" t="s">
        <v>536</v>
      </c>
    </row>
    <row r="88" spans="1:8">
      <c r="A88" s="59" t="s">
        <v>260</v>
      </c>
      <c r="B88" s="39">
        <f>'12MEJUN23'!O31</f>
        <v>35</v>
      </c>
      <c r="D88" s="426" t="s">
        <v>523</v>
      </c>
      <c r="H88" t="s">
        <v>536</v>
      </c>
    </row>
    <row r="89" spans="1:8">
      <c r="A89" s="59" t="s">
        <v>273</v>
      </c>
      <c r="B89" s="39">
        <v>12</v>
      </c>
    </row>
    <row r="90" spans="1:8" ht="13.5" thickBot="1">
      <c r="A90" s="37"/>
      <c r="B90" s="168">
        <f>B82-SUM(B83:B89)</f>
        <v>2119392</v>
      </c>
    </row>
    <row r="91" spans="1:8" ht="13.5" thickTop="1">
      <c r="A91" s="58" t="s">
        <v>107</v>
      </c>
      <c r="B91" s="165">
        <f>B80-B90</f>
        <v>9</v>
      </c>
    </row>
    <row r="92" spans="1:8">
      <c r="A92" s="37"/>
      <c r="B92" s="166"/>
    </row>
    <row r="93" spans="1:8" ht="13.5" thickBot="1">
      <c r="A93" s="37" t="s">
        <v>255</v>
      </c>
      <c r="B93" s="169">
        <f>SUM('Pres &amp; Prop Rev'!D25:J26)</f>
        <v>2119401</v>
      </c>
    </row>
    <row r="94" spans="1:8" ht="13.5" thickTop="1">
      <c r="A94" s="58" t="s">
        <v>107</v>
      </c>
      <c r="B94" s="165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1:S73"/>
  <sheetViews>
    <sheetView workbookViewId="0">
      <selection activeCell="H82" sqref="H82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348</v>
      </c>
    </row>
    <row r="2" spans="1:19">
      <c r="C2" s="32" t="s">
        <v>334</v>
      </c>
      <c r="D2" s="32" t="s">
        <v>335</v>
      </c>
      <c r="E2" s="32" t="s">
        <v>336</v>
      </c>
      <c r="F2" s="32" t="s">
        <v>337</v>
      </c>
      <c r="G2" s="32" t="s">
        <v>338</v>
      </c>
      <c r="H2" s="32" t="s">
        <v>339</v>
      </c>
      <c r="I2" s="32" t="s">
        <v>340</v>
      </c>
      <c r="J2" s="32" t="s">
        <v>341</v>
      </c>
      <c r="K2" s="32" t="s">
        <v>342</v>
      </c>
      <c r="L2" s="32" t="s">
        <v>331</v>
      </c>
      <c r="M2" s="32" t="s">
        <v>332</v>
      </c>
      <c r="N2" s="32" t="s">
        <v>333</v>
      </c>
      <c r="O2" s="32" t="s">
        <v>343</v>
      </c>
      <c r="Q2" s="32"/>
      <c r="R2" s="32"/>
      <c r="S2" s="32"/>
    </row>
    <row r="3" spans="1:19">
      <c r="A3" t="s">
        <v>344</v>
      </c>
    </row>
    <row r="4" spans="1:19">
      <c r="A4" s="273"/>
      <c r="B4" s="405" t="s">
        <v>63</v>
      </c>
      <c r="O4" s="308"/>
    </row>
    <row r="5" spans="1:19">
      <c r="B5" t="s">
        <v>309</v>
      </c>
      <c r="C5" s="309">
        <f>'12MEJUN23'!D54+'12MEJUN23'!D67-51</f>
        <v>2524143.22163</v>
      </c>
      <c r="D5" s="309">
        <f>'12MEJUN23'!E54+'12MEJUN23'!E67-27</f>
        <v>1949455.5137100001</v>
      </c>
      <c r="E5" s="309">
        <f>'12MEJUN23'!F54+'12MEJUN23'!F67-20</f>
        <v>2060189.72288</v>
      </c>
      <c r="F5" s="309">
        <f>'12MEJUN23'!G54+'12MEJUN23'!G67</f>
        <v>2961933.4218199998</v>
      </c>
      <c r="G5" s="309">
        <f>'12MEJUN23'!H54+'12MEJUN23'!H67</f>
        <v>8811721.1217800006</v>
      </c>
      <c r="H5" s="309">
        <f>'12MEJUN23'!I54+'12MEJUN23'!I67</f>
        <v>11296886.843050001</v>
      </c>
      <c r="I5" s="309">
        <f>'12MEJUN23'!J54+'12MEJUN23'!J67-27</f>
        <v>11352523.17898</v>
      </c>
      <c r="J5" s="309">
        <f>'12MEJUN23'!K54+'12MEJUN23'!K67-26</f>
        <v>10219306.060729999</v>
      </c>
      <c r="K5" s="309">
        <f>'12MEJUN23'!L54+'12MEJUN23'!L67</f>
        <v>11859310.51471</v>
      </c>
      <c r="L5" s="309">
        <f>'12MEJUN23'!M54+'12MEJUN23'!M67</f>
        <v>9428292.4011899997</v>
      </c>
      <c r="M5" s="309">
        <f>'12MEJUN23'!N54+'12MEJUN23'!N67</f>
        <v>6041265.5646900004</v>
      </c>
      <c r="N5" s="309">
        <f>'12MEJUN23'!O54+'12MEJUN23'!O67-85</f>
        <v>2488631.4810200003</v>
      </c>
      <c r="O5" s="308">
        <f>SUM(C5:N5)</f>
        <v>80993659.046190009</v>
      </c>
    </row>
    <row r="6" spans="1:19">
      <c r="B6" t="s">
        <v>310</v>
      </c>
      <c r="C6" s="309">
        <f>'12MEJUN23'!D55+'12MEJUN23'!D68</f>
        <v>205356.61752</v>
      </c>
      <c r="D6" s="309">
        <f>'12MEJUN23'!E55+'12MEJUN23'!E68</f>
        <v>118826.30682</v>
      </c>
      <c r="E6" s="309">
        <f>'12MEJUN23'!F55+'12MEJUN23'!F68</f>
        <v>158438.59107000002</v>
      </c>
      <c r="F6" s="309">
        <f>'12MEJUN23'!G55+'12MEJUN23'!G68</f>
        <v>214275.83355000001</v>
      </c>
      <c r="G6" s="309">
        <f>'12MEJUN23'!H55+'12MEJUN23'!H68</f>
        <v>3761627.5144400001</v>
      </c>
      <c r="H6" s="309">
        <f>'12MEJUN23'!I55+'12MEJUN23'!I68</f>
        <v>13685450.651520001</v>
      </c>
      <c r="I6" s="309">
        <f>'12MEJUN23'!J55+'12MEJUN23'!J68</f>
        <v>13944350.82309</v>
      </c>
      <c r="J6" s="309">
        <f>'12MEJUN23'!K55+'12MEJUN23'!K68</f>
        <v>9360350.3668900002</v>
      </c>
      <c r="K6" s="309">
        <f>'12MEJUN23'!L55+'12MEJUN23'!L68</f>
        <v>9453154.1384100001</v>
      </c>
      <c r="L6" s="309">
        <f>'12MEJUN23'!M55+'12MEJUN23'!M68</f>
        <v>3749456.15093</v>
      </c>
      <c r="M6" s="309">
        <f>'12MEJUN23'!N55+'12MEJUN23'!N68</f>
        <v>710127.06712000002</v>
      </c>
      <c r="N6" s="309">
        <f>'12MEJUN23'!O55+'12MEJUN23'!O68</f>
        <v>188199.75013</v>
      </c>
      <c r="O6" s="308">
        <f>SUM(C6:N6)</f>
        <v>55549613.811489999</v>
      </c>
    </row>
    <row r="7" spans="1:19">
      <c r="A7" t="s">
        <v>293</v>
      </c>
      <c r="B7" s="32" t="s">
        <v>58</v>
      </c>
      <c r="C7" s="310">
        <f t="shared" ref="C7:O7" si="0">SUM(C5:C6)</f>
        <v>2729499.8391499999</v>
      </c>
      <c r="D7" s="310">
        <f t="shared" si="0"/>
        <v>2068281.8205300001</v>
      </c>
      <c r="E7" s="310">
        <f t="shared" si="0"/>
        <v>2218628.3139499999</v>
      </c>
      <c r="F7" s="310">
        <f t="shared" si="0"/>
        <v>3176209.2553699999</v>
      </c>
      <c r="G7" s="310">
        <f t="shared" si="0"/>
        <v>12573348.636220001</v>
      </c>
      <c r="H7" s="310">
        <f t="shared" si="0"/>
        <v>24982337.494570002</v>
      </c>
      <c r="I7" s="310">
        <f t="shared" si="0"/>
        <v>25296874.002070002</v>
      </c>
      <c r="J7" s="310">
        <f t="shared" si="0"/>
        <v>19579656.427620001</v>
      </c>
      <c r="K7" s="310">
        <f t="shared" si="0"/>
        <v>21312464.65312</v>
      </c>
      <c r="L7" s="310">
        <f t="shared" si="0"/>
        <v>13177748.55212</v>
      </c>
      <c r="M7" s="310">
        <f t="shared" si="0"/>
        <v>6751392.6318100002</v>
      </c>
      <c r="N7" s="310">
        <f t="shared" si="0"/>
        <v>2676831.2311500004</v>
      </c>
      <c r="O7" s="310">
        <f t="shared" si="0"/>
        <v>136543272.85768002</v>
      </c>
    </row>
    <row r="8" spans="1:19">
      <c r="B8" t="s">
        <v>345</v>
      </c>
      <c r="C8" s="311">
        <f>'12MEJUN23'!C26</f>
        <v>171944</v>
      </c>
      <c r="D8" s="311">
        <f>'12MEJUN23'!D26</f>
        <v>172697</v>
      </c>
      <c r="E8" s="311">
        <f>'12MEJUN23'!E26</f>
        <v>172525</v>
      </c>
      <c r="F8" s="311">
        <f>'12MEJUN23'!F26</f>
        <v>173078</v>
      </c>
      <c r="G8" s="311">
        <f>'12MEJUN23'!G26</f>
        <v>173064</v>
      </c>
      <c r="H8" s="311">
        <f>'12MEJUN23'!H26</f>
        <v>173277</v>
      </c>
      <c r="I8" s="311">
        <f>'12MEJUN23'!I26</f>
        <v>173633</v>
      </c>
      <c r="J8" s="311">
        <f>'12MEJUN23'!J26</f>
        <v>172712</v>
      </c>
      <c r="K8" s="311">
        <f>'12MEJUN23'!K26</f>
        <v>173942</v>
      </c>
      <c r="L8" s="311">
        <f>'12MEJUN23'!L26</f>
        <v>173889</v>
      </c>
      <c r="M8" s="311">
        <f>'12MEJUN23'!M26</f>
        <v>173225</v>
      </c>
      <c r="N8" s="311">
        <f>'12MEJUN23'!N26</f>
        <v>173320</v>
      </c>
      <c r="O8" s="312">
        <f>SUM(C8:N8)</f>
        <v>2077306</v>
      </c>
    </row>
    <row r="9" spans="1:19">
      <c r="B9" t="s">
        <v>346</v>
      </c>
      <c r="C9" s="308">
        <f>C8*70</f>
        <v>12036080</v>
      </c>
      <c r="D9" s="308">
        <f t="shared" ref="D9:N9" si="1">D8*70</f>
        <v>12088790</v>
      </c>
      <c r="E9" s="308">
        <f t="shared" si="1"/>
        <v>12076750</v>
      </c>
      <c r="F9" s="308">
        <f t="shared" si="1"/>
        <v>12115460</v>
      </c>
      <c r="G9" s="308">
        <f t="shared" si="1"/>
        <v>12114480</v>
      </c>
      <c r="H9" s="308">
        <f t="shared" si="1"/>
        <v>12129390</v>
      </c>
      <c r="I9" s="308">
        <f t="shared" si="1"/>
        <v>12154310</v>
      </c>
      <c r="J9" s="308">
        <f t="shared" si="1"/>
        <v>12089840</v>
      </c>
      <c r="K9" s="308">
        <f t="shared" si="1"/>
        <v>12175940</v>
      </c>
      <c r="L9" s="308">
        <f t="shared" si="1"/>
        <v>12172230</v>
      </c>
      <c r="M9" s="308">
        <f t="shared" si="1"/>
        <v>12125750</v>
      </c>
      <c r="N9" s="308">
        <f t="shared" si="1"/>
        <v>12132400</v>
      </c>
      <c r="O9" s="312">
        <f>SUM(C9:N9)</f>
        <v>145411420</v>
      </c>
    </row>
    <row r="10" spans="1:19">
      <c r="B10" t="s">
        <v>347</v>
      </c>
      <c r="C10" s="311">
        <f>'12MEJUN23'!D166</f>
        <v>2729499.8391499999</v>
      </c>
      <c r="D10" s="311">
        <f>'12MEJUN23'!E166</f>
        <v>2068281.8205299999</v>
      </c>
      <c r="E10" s="311">
        <f>'12MEJUN23'!F166</f>
        <v>2218628.3139500003</v>
      </c>
      <c r="F10" s="311">
        <f>'12MEJUN23'!G166</f>
        <v>3176209.2553699999</v>
      </c>
      <c r="G10" s="311">
        <f>'12MEJUN23'!H166</f>
        <v>12573348.636220001</v>
      </c>
      <c r="H10" s="311">
        <f>'12MEJUN23'!I166</f>
        <v>24982337.494570002</v>
      </c>
      <c r="I10" s="311">
        <f>'12MEJUN23'!J166</f>
        <v>25296874.002070002</v>
      </c>
      <c r="J10" s="311">
        <f>'12MEJUN23'!K166</f>
        <v>19579656.427620001</v>
      </c>
      <c r="K10" s="311">
        <f>'12MEJUN23'!L166</f>
        <v>21312464.65312</v>
      </c>
      <c r="L10" s="311">
        <f>'12MEJUN23'!M166</f>
        <v>13177748.55212</v>
      </c>
      <c r="M10" s="311">
        <f>'12MEJUN23'!N166</f>
        <v>6751392.6318100002</v>
      </c>
      <c r="N10" s="311">
        <f>'12MEJUN23'!O166</f>
        <v>2676831.2311500004</v>
      </c>
      <c r="O10" s="312">
        <f>SUM(C10:N10)</f>
        <v>136543272.85767999</v>
      </c>
    </row>
    <row r="11" spans="1:19">
      <c r="B11" t="s">
        <v>283</v>
      </c>
      <c r="C11" s="308">
        <f>C10-C7</f>
        <v>0</v>
      </c>
      <c r="D11" s="308">
        <f t="shared" ref="D11:N11" si="2">D10-D7</f>
        <v>0</v>
      </c>
      <c r="E11" s="308">
        <f t="shared" si="2"/>
        <v>0</v>
      </c>
      <c r="F11" s="308">
        <f t="shared" si="2"/>
        <v>0</v>
      </c>
      <c r="G11" s="308">
        <f t="shared" si="2"/>
        <v>0</v>
      </c>
      <c r="H11" s="308">
        <f t="shared" si="2"/>
        <v>0</v>
      </c>
      <c r="I11" s="313">
        <f t="shared" si="2"/>
        <v>0</v>
      </c>
      <c r="J11" s="313">
        <f t="shared" si="2"/>
        <v>0</v>
      </c>
      <c r="K11" s="313">
        <f t="shared" si="2"/>
        <v>0</v>
      </c>
      <c r="L11" s="313">
        <f t="shared" si="2"/>
        <v>0</v>
      </c>
      <c r="M11" s="313">
        <f t="shared" si="2"/>
        <v>0</v>
      </c>
      <c r="N11" s="313">
        <f t="shared" si="2"/>
        <v>0</v>
      </c>
      <c r="O11" s="312">
        <f>SUM(C11:N11)</f>
        <v>0</v>
      </c>
      <c r="P11" s="314">
        <f>O11/O10</f>
        <v>0</v>
      </c>
    </row>
    <row r="12" spans="1:19">
      <c r="C12" s="308"/>
      <c r="D12" s="308"/>
      <c r="E12" s="308"/>
      <c r="F12" s="308"/>
      <c r="G12" s="308"/>
      <c r="H12" s="308"/>
      <c r="I12" s="313"/>
      <c r="J12" s="313"/>
      <c r="K12" s="313"/>
      <c r="L12" s="313"/>
      <c r="M12" s="313"/>
      <c r="N12" s="313"/>
      <c r="O12" s="312"/>
      <c r="P12" s="314"/>
    </row>
    <row r="13" spans="1:19">
      <c r="B13" t="s">
        <v>309</v>
      </c>
      <c r="C13" s="315">
        <f t="shared" ref="C13:N13" si="3">(C5/C$7)*C$11</f>
        <v>0</v>
      </c>
      <c r="D13" s="315">
        <f t="shared" si="3"/>
        <v>0</v>
      </c>
      <c r="E13" s="315">
        <f t="shared" si="3"/>
        <v>0</v>
      </c>
      <c r="F13" s="315">
        <f t="shared" si="3"/>
        <v>0</v>
      </c>
      <c r="G13" s="315">
        <f t="shared" si="3"/>
        <v>0</v>
      </c>
      <c r="H13" s="315">
        <f t="shared" si="3"/>
        <v>0</v>
      </c>
      <c r="I13" s="315">
        <f t="shared" si="3"/>
        <v>0</v>
      </c>
      <c r="J13" s="315">
        <f t="shared" si="3"/>
        <v>0</v>
      </c>
      <c r="K13" s="315">
        <f t="shared" si="3"/>
        <v>0</v>
      </c>
      <c r="L13" s="315">
        <f t="shared" si="3"/>
        <v>0</v>
      </c>
      <c r="M13" s="315">
        <f t="shared" si="3"/>
        <v>0</v>
      </c>
      <c r="N13" s="315">
        <f t="shared" si="3"/>
        <v>0</v>
      </c>
      <c r="O13" s="315">
        <f>SUM(C13:N13)</f>
        <v>0</v>
      </c>
      <c r="P13" s="314"/>
    </row>
    <row r="14" spans="1:19">
      <c r="B14" t="s">
        <v>310</v>
      </c>
      <c r="C14" s="316">
        <f t="shared" ref="C14:N14" si="4">(C6/C$7)*C$11</f>
        <v>0</v>
      </c>
      <c r="D14" s="316">
        <f t="shared" si="4"/>
        <v>0</v>
      </c>
      <c r="E14" s="316">
        <f t="shared" si="4"/>
        <v>0</v>
      </c>
      <c r="F14" s="316">
        <f t="shared" si="4"/>
        <v>0</v>
      </c>
      <c r="G14" s="316">
        <f t="shared" si="4"/>
        <v>0</v>
      </c>
      <c r="H14" s="316">
        <f t="shared" si="4"/>
        <v>0</v>
      </c>
      <c r="I14" s="316">
        <f t="shared" si="4"/>
        <v>0</v>
      </c>
      <c r="J14" s="316">
        <f t="shared" si="4"/>
        <v>0</v>
      </c>
      <c r="K14" s="316">
        <f t="shared" si="4"/>
        <v>0</v>
      </c>
      <c r="L14" s="316">
        <f t="shared" si="4"/>
        <v>0</v>
      </c>
      <c r="M14" s="316">
        <f t="shared" si="4"/>
        <v>0</v>
      </c>
      <c r="N14" s="316">
        <f t="shared" si="4"/>
        <v>0</v>
      </c>
      <c r="O14" s="316">
        <f t="shared" ref="O14" si="5">SUM(C14:N14)</f>
        <v>0</v>
      </c>
      <c r="P14" s="314"/>
    </row>
    <row r="15" spans="1:19">
      <c r="C15" s="315">
        <f t="shared" ref="C15:O15" si="6">SUM(C13:C14)</f>
        <v>0</v>
      </c>
      <c r="D15" s="315">
        <f t="shared" si="6"/>
        <v>0</v>
      </c>
      <c r="E15" s="315">
        <f t="shared" si="6"/>
        <v>0</v>
      </c>
      <c r="F15" s="315">
        <f t="shared" si="6"/>
        <v>0</v>
      </c>
      <c r="G15" s="315">
        <f t="shared" si="6"/>
        <v>0</v>
      </c>
      <c r="H15" s="315">
        <f t="shared" si="6"/>
        <v>0</v>
      </c>
      <c r="I15" s="315">
        <f t="shared" si="6"/>
        <v>0</v>
      </c>
      <c r="J15" s="315">
        <f t="shared" si="6"/>
        <v>0</v>
      </c>
      <c r="K15" s="315">
        <f t="shared" si="6"/>
        <v>0</v>
      </c>
      <c r="L15" s="315">
        <f t="shared" si="6"/>
        <v>0</v>
      </c>
      <c r="M15" s="315">
        <f t="shared" si="6"/>
        <v>0</v>
      </c>
      <c r="N15" s="315">
        <f t="shared" si="6"/>
        <v>0</v>
      </c>
      <c r="O15" s="315">
        <f t="shared" si="6"/>
        <v>0</v>
      </c>
      <c r="P15" s="314"/>
    </row>
    <row r="16" spans="1:19"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4"/>
    </row>
    <row r="17" spans="1:16">
      <c r="B17" t="s">
        <v>309</v>
      </c>
      <c r="C17" s="315">
        <f t="shared" ref="C17:N17" si="7">C5+C13</f>
        <v>2524143.22163</v>
      </c>
      <c r="D17" s="315">
        <f t="shared" si="7"/>
        <v>1949455.5137100001</v>
      </c>
      <c r="E17" s="315">
        <f t="shared" si="7"/>
        <v>2060189.72288</v>
      </c>
      <c r="F17" s="315">
        <f t="shared" si="7"/>
        <v>2961933.4218199998</v>
      </c>
      <c r="G17" s="315">
        <f t="shared" si="7"/>
        <v>8811721.1217800006</v>
      </c>
      <c r="H17" s="315">
        <f t="shared" si="7"/>
        <v>11296886.843050001</v>
      </c>
      <c r="I17" s="315">
        <f t="shared" si="7"/>
        <v>11352523.17898</v>
      </c>
      <c r="J17" s="315">
        <f t="shared" si="7"/>
        <v>10219306.060729999</v>
      </c>
      <c r="K17" s="315">
        <f t="shared" si="7"/>
        <v>11859310.51471</v>
      </c>
      <c r="L17" s="315">
        <f t="shared" si="7"/>
        <v>9428292.4011899997</v>
      </c>
      <c r="M17" s="315">
        <f t="shared" si="7"/>
        <v>6041265.5646900004</v>
      </c>
      <c r="N17" s="315">
        <f t="shared" si="7"/>
        <v>2488631.4810200003</v>
      </c>
      <c r="O17" s="315">
        <f>SUM(C17:N17)</f>
        <v>80993659.046190009</v>
      </c>
      <c r="P17" s="314"/>
    </row>
    <row r="18" spans="1:16">
      <c r="B18" t="s">
        <v>310</v>
      </c>
      <c r="C18" s="418">
        <f t="shared" ref="C18:N18" si="8">C6+C14</f>
        <v>205356.61752</v>
      </c>
      <c r="D18" s="418">
        <f t="shared" si="8"/>
        <v>118826.30682</v>
      </c>
      <c r="E18" s="418">
        <f t="shared" si="8"/>
        <v>158438.59107000002</v>
      </c>
      <c r="F18" s="418">
        <f t="shared" si="8"/>
        <v>214275.83355000001</v>
      </c>
      <c r="G18" s="418">
        <f t="shared" si="8"/>
        <v>3761627.5144400001</v>
      </c>
      <c r="H18" s="418">
        <f t="shared" si="8"/>
        <v>13685450.651520001</v>
      </c>
      <c r="I18" s="418">
        <f t="shared" si="8"/>
        <v>13944350.82309</v>
      </c>
      <c r="J18" s="418">
        <f t="shared" si="8"/>
        <v>9360350.3668900002</v>
      </c>
      <c r="K18" s="418">
        <f t="shared" si="8"/>
        <v>9453154.1384100001</v>
      </c>
      <c r="L18" s="418">
        <f t="shared" si="8"/>
        <v>3749456.15093</v>
      </c>
      <c r="M18" s="418">
        <f t="shared" si="8"/>
        <v>710127.06712000002</v>
      </c>
      <c r="N18" s="418">
        <f t="shared" si="8"/>
        <v>188199.75013</v>
      </c>
      <c r="O18" s="418">
        <f>SUM(C18:N18)</f>
        <v>55549613.811489999</v>
      </c>
      <c r="P18" s="314"/>
    </row>
    <row r="19" spans="1:16">
      <c r="C19" s="315">
        <f t="shared" ref="C19:O19" si="9">SUM(C17:C18)</f>
        <v>2729499.8391499999</v>
      </c>
      <c r="D19" s="315">
        <f t="shared" si="9"/>
        <v>2068281.8205300001</v>
      </c>
      <c r="E19" s="315">
        <f t="shared" si="9"/>
        <v>2218628.3139499999</v>
      </c>
      <c r="F19" s="315">
        <f t="shared" si="9"/>
        <v>3176209.2553699999</v>
      </c>
      <c r="G19" s="315">
        <f t="shared" si="9"/>
        <v>12573348.636220001</v>
      </c>
      <c r="H19" s="315">
        <f t="shared" si="9"/>
        <v>24982337.494570002</v>
      </c>
      <c r="I19" s="315">
        <f t="shared" si="9"/>
        <v>25296874.002070002</v>
      </c>
      <c r="J19" s="315">
        <f t="shared" si="9"/>
        <v>19579656.427620001</v>
      </c>
      <c r="K19" s="315">
        <f t="shared" si="9"/>
        <v>21312464.65312</v>
      </c>
      <c r="L19" s="315">
        <f t="shared" si="9"/>
        <v>13177748.55212</v>
      </c>
      <c r="M19" s="315">
        <f t="shared" si="9"/>
        <v>6751392.6318100002</v>
      </c>
      <c r="N19" s="315">
        <f t="shared" si="9"/>
        <v>2676831.2311500004</v>
      </c>
      <c r="O19" s="315">
        <f t="shared" si="9"/>
        <v>136543272.85768002</v>
      </c>
      <c r="P19" s="314"/>
    </row>
    <row r="20" spans="1:16">
      <c r="C20" s="308">
        <f t="shared" ref="C20:O20" si="10">C19-C10</f>
        <v>0</v>
      </c>
      <c r="D20" s="308">
        <f t="shared" si="10"/>
        <v>0</v>
      </c>
      <c r="E20" s="308">
        <f t="shared" si="10"/>
        <v>0</v>
      </c>
      <c r="F20" s="308">
        <f t="shared" si="10"/>
        <v>0</v>
      </c>
      <c r="G20" s="308">
        <f t="shared" si="10"/>
        <v>0</v>
      </c>
      <c r="H20" s="308">
        <f t="shared" si="10"/>
        <v>0</v>
      </c>
      <c r="I20" s="308">
        <f t="shared" si="10"/>
        <v>0</v>
      </c>
      <c r="J20" s="308">
        <f t="shared" si="10"/>
        <v>0</v>
      </c>
      <c r="K20" s="308">
        <f t="shared" si="10"/>
        <v>0</v>
      </c>
      <c r="L20" s="308">
        <f t="shared" si="10"/>
        <v>0</v>
      </c>
      <c r="M20" s="308">
        <f t="shared" si="10"/>
        <v>0</v>
      </c>
      <c r="N20" s="308">
        <f t="shared" si="10"/>
        <v>0</v>
      </c>
      <c r="O20" s="308">
        <f t="shared" si="10"/>
        <v>0</v>
      </c>
      <c r="P20" s="314"/>
    </row>
    <row r="21" spans="1:16">
      <c r="C21" s="308"/>
      <c r="D21" s="308"/>
      <c r="E21" s="308"/>
      <c r="F21" s="308"/>
      <c r="G21" s="308"/>
      <c r="H21" s="308"/>
      <c r="I21" s="313"/>
      <c r="J21" s="313"/>
      <c r="K21" s="313"/>
      <c r="L21" s="313"/>
      <c r="M21" s="313"/>
      <c r="N21" s="313"/>
      <c r="O21" s="312"/>
      <c r="P21" s="314"/>
    </row>
    <row r="22" spans="1:16">
      <c r="A22" s="273"/>
      <c r="B22" s="405" t="s">
        <v>519</v>
      </c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6">
      <c r="B23" t="s">
        <v>309</v>
      </c>
      <c r="C23" s="309">
        <f>'12MEJUN23'!D78+'12MEJUN23'!D92</f>
        <v>454064.17167000001</v>
      </c>
      <c r="D23" s="309">
        <f>'12MEJUN23'!E78+'12MEJUN23'!E92-98</f>
        <v>389326.97181999998</v>
      </c>
      <c r="E23" s="309">
        <f>'12MEJUN23'!F78+'12MEJUN23'!F92-69</f>
        <v>410075.21674</v>
      </c>
      <c r="F23" s="309">
        <f>'12MEJUN23'!G78+'12MEJUN23'!G92</f>
        <v>501518.12</v>
      </c>
      <c r="G23" s="309">
        <f>'12MEJUN23'!H78+'12MEJUN23'!H92</f>
        <v>650115.66200999997</v>
      </c>
      <c r="H23" s="309">
        <f>'12MEJUN23'!I78+'12MEJUN23'!I92</f>
        <v>687253.79359000002</v>
      </c>
      <c r="I23" s="309">
        <f>'12MEJUN23'!J78+'12MEJUN23'!J92</f>
        <v>710312.36008000001</v>
      </c>
      <c r="J23" s="309">
        <f>'12MEJUN23'!K78+'12MEJUN23'!K92</f>
        <v>613385.60036000004</v>
      </c>
      <c r="K23" s="309">
        <f>'12MEJUN23'!L78+'12MEJUN23'!L92</f>
        <v>779555.29093999998</v>
      </c>
      <c r="L23" s="309">
        <f>'12MEJUN23'!M78+'12MEJUN23'!M92</f>
        <v>660746.27141999989</v>
      </c>
      <c r="M23" s="309">
        <f>'12MEJUN23'!N78+'12MEJUN23'!N92</f>
        <v>663666.88196000003</v>
      </c>
      <c r="N23" s="309">
        <f>'12MEJUN23'!O78+'12MEJUN23'!O92</f>
        <v>481119.07936999999</v>
      </c>
      <c r="O23" s="308">
        <f t="shared" ref="O23:O27" si="11">SUM(C23:N23)</f>
        <v>7001139.4199599996</v>
      </c>
    </row>
    <row r="24" spans="1:16">
      <c r="B24" t="s">
        <v>310</v>
      </c>
      <c r="C24" s="309">
        <f>'12MEJUN23'!D79+'12MEJUN23'!D93</f>
        <v>686185.26384000003</v>
      </c>
      <c r="D24" s="309">
        <f>'12MEJUN23'!E79+'12MEJUN23'!E93</f>
        <v>560911.10641000001</v>
      </c>
      <c r="E24" s="309">
        <f>'12MEJUN23'!F79+'12MEJUN23'!F93</f>
        <v>608822.49942999997</v>
      </c>
      <c r="F24" s="309">
        <f>'12MEJUN23'!G79+'12MEJUN23'!G93</f>
        <v>784119.73300000001</v>
      </c>
      <c r="G24" s="309">
        <f>'12MEJUN23'!H79+'12MEJUN23'!H93</f>
        <v>1798232.0854499999</v>
      </c>
      <c r="H24" s="309">
        <f>'12MEJUN23'!I79+'12MEJUN23'!I93</f>
        <v>2446917.0905800001</v>
      </c>
      <c r="I24" s="309">
        <f>'12MEJUN23'!J79+'12MEJUN23'!J93</f>
        <v>2552925.0304299998</v>
      </c>
      <c r="J24" s="309">
        <f>'12MEJUN23'!K79+'12MEJUN23'!K93</f>
        <v>2133407.2811500002</v>
      </c>
      <c r="K24" s="309">
        <f>'12MEJUN23'!L79+'12MEJUN23'!L93</f>
        <v>2648122.6943000001</v>
      </c>
      <c r="L24" s="309">
        <f>'12MEJUN23'!M79+'12MEJUN23'!M93</f>
        <v>1968672.66974</v>
      </c>
      <c r="M24" s="309">
        <f>'12MEJUN23'!N79+'12MEJUN23'!N93</f>
        <v>1363690.44995</v>
      </c>
      <c r="N24" s="309">
        <f>'12MEJUN23'!O79+'12MEJUN23'!O93</f>
        <v>727748.35022999998</v>
      </c>
      <c r="O24" s="308">
        <f t="shared" si="11"/>
        <v>18279754.25451</v>
      </c>
    </row>
    <row r="25" spans="1:16">
      <c r="B25" t="s">
        <v>314</v>
      </c>
      <c r="C25" s="309">
        <f>'12MEJUN23'!D80+'12MEJUN23'!D94</f>
        <v>728414.26702000003</v>
      </c>
      <c r="D25" s="309">
        <f>'12MEJUN23'!E80+'12MEJUN23'!E94</f>
        <v>614434.96340000001</v>
      </c>
      <c r="E25" s="309">
        <f>'12MEJUN23'!F80+'12MEJUN23'!F94</f>
        <v>673457.33551</v>
      </c>
      <c r="F25" s="309">
        <f>'12MEJUN23'!G80+'12MEJUN23'!G94</f>
        <v>895490.55842000002</v>
      </c>
      <c r="G25" s="309">
        <f>'12MEJUN23'!H80+'12MEJUN23'!H94</f>
        <v>2645338.6680000001</v>
      </c>
      <c r="H25" s="309">
        <f>'12MEJUN23'!I80+'12MEJUN23'!I94</f>
        <v>5574348.6713300003</v>
      </c>
      <c r="I25" s="309">
        <f>'12MEJUN23'!J80+'12MEJUN23'!J94</f>
        <v>5958216.7159599997</v>
      </c>
      <c r="J25" s="309">
        <f>'12MEJUN23'!K80+'12MEJUN23'!K94</f>
        <v>4190289.7768000001</v>
      </c>
      <c r="K25" s="309">
        <f>'12MEJUN23'!L80+'12MEJUN23'!L94</f>
        <v>4896273.9494500002</v>
      </c>
      <c r="L25" s="309">
        <f>'12MEJUN23'!M80+'12MEJUN23'!M94</f>
        <v>2795152.8191900002</v>
      </c>
      <c r="M25" s="309">
        <f>'12MEJUN23'!N80+'12MEJUN23'!N94</f>
        <v>1496688.23814</v>
      </c>
      <c r="N25" s="309">
        <f>'12MEJUN23'!O80+'12MEJUN23'!O94</f>
        <v>756297.11829000001</v>
      </c>
      <c r="O25" s="308">
        <f t="shared" si="11"/>
        <v>31224403.08151</v>
      </c>
    </row>
    <row r="26" spans="1:16">
      <c r="B26" s="349" t="s">
        <v>353</v>
      </c>
      <c r="C26" s="309">
        <f>'12MEJUN23'!D81+'12MEJUN23'!D95</f>
        <v>172504.99221</v>
      </c>
      <c r="D26" s="309">
        <f>'12MEJUN23'!E81+'12MEJUN23'!E95</f>
        <v>148513.20282000001</v>
      </c>
      <c r="E26" s="309">
        <f>'12MEJUN23'!F81+'12MEJUN23'!F95</f>
        <v>126674.018</v>
      </c>
      <c r="F26" s="309">
        <f>'12MEJUN23'!G81+'12MEJUN23'!G95</f>
        <v>232629.32</v>
      </c>
      <c r="G26" s="309">
        <f>'12MEJUN23'!H81+'12MEJUN23'!H95</f>
        <v>468677.73119999998</v>
      </c>
      <c r="H26" s="309">
        <f>'12MEJUN23'!I81+'12MEJUN23'!I95</f>
        <v>968905.32608000003</v>
      </c>
      <c r="I26" s="309">
        <f>'12MEJUN23'!J81+'12MEJUN23'!J95</f>
        <v>910758.27890000003</v>
      </c>
      <c r="J26" s="309">
        <f>'12MEJUN23'!K81+'12MEJUN23'!K95</f>
        <v>610561.72132999997</v>
      </c>
      <c r="K26" s="309">
        <f>'12MEJUN23'!L81+'12MEJUN23'!L95</f>
        <v>661911.40720000002</v>
      </c>
      <c r="L26" s="309">
        <f>'12MEJUN23'!M81+'12MEJUN23'!M95</f>
        <v>310514.12219999998</v>
      </c>
      <c r="M26" s="309">
        <f>'12MEJUN23'!N81+'12MEJUN23'!N95</f>
        <v>204427.80960000001</v>
      </c>
      <c r="N26" s="309">
        <f>'12MEJUN23'!O81+'12MEJUN23'!O95</f>
        <v>150903.70442999998</v>
      </c>
      <c r="O26" s="308">
        <f t="shared" si="11"/>
        <v>4966981.6339700008</v>
      </c>
    </row>
    <row r="27" spans="1:16">
      <c r="B27" s="349" t="s">
        <v>375</v>
      </c>
      <c r="C27" s="309">
        <f>'12MEJUN23'!D82+'12MEJUN23'!D96</f>
        <v>56958.762000000002</v>
      </c>
      <c r="D27" s="309">
        <f>'12MEJUN23'!E82+'12MEJUN23'!E96</f>
        <v>79172.877999999997</v>
      </c>
      <c r="E27" s="309">
        <f>'12MEJUN23'!F82+'12MEJUN23'!F96</f>
        <v>94725.058999999994</v>
      </c>
      <c r="F27" s="309">
        <f>'12MEJUN23'!G82+'12MEJUN23'!G96</f>
        <v>84760.525999999998</v>
      </c>
      <c r="G27" s="309">
        <f>'12MEJUN23'!H82+'12MEJUN23'!H96</f>
        <v>195467.234</v>
      </c>
      <c r="H27" s="309">
        <f>'12MEJUN23'!I82+'12MEJUN23'!I96</f>
        <v>395536.891</v>
      </c>
      <c r="I27" s="309">
        <f>'12MEJUN23'!J82+'12MEJUN23'!J96</f>
        <v>324036.87300000002</v>
      </c>
      <c r="J27" s="309">
        <f>'12MEJUN23'!K82+'12MEJUN23'!K96</f>
        <v>253845.503</v>
      </c>
      <c r="K27" s="309">
        <f>'12MEJUN23'!L82+'12MEJUN23'!L96</f>
        <v>214148.976</v>
      </c>
      <c r="L27" s="309">
        <f>'12MEJUN23'!M82+'12MEJUN23'!M96</f>
        <v>93767.491000000009</v>
      </c>
      <c r="M27" s="309">
        <f>'12MEJUN23'!N82+'12MEJUN23'!N96</f>
        <v>118472.193</v>
      </c>
      <c r="N27" s="309">
        <f>'12MEJUN23'!O82+'12MEJUN23'!O96</f>
        <v>35501</v>
      </c>
      <c r="O27" s="308">
        <f t="shared" si="11"/>
        <v>1946393.3860000002</v>
      </c>
    </row>
    <row r="28" spans="1:16">
      <c r="A28" t="s">
        <v>293</v>
      </c>
      <c r="B28" s="32" t="s">
        <v>58</v>
      </c>
      <c r="C28" s="310">
        <f t="shared" ref="C28:O28" si="12">SUM(C23:C27)</f>
        <v>2098127.4567399998</v>
      </c>
      <c r="D28" s="310">
        <f t="shared" si="12"/>
        <v>1792359.1224499999</v>
      </c>
      <c r="E28" s="310">
        <f t="shared" si="12"/>
        <v>1913754.1286799998</v>
      </c>
      <c r="F28" s="310">
        <f t="shared" si="12"/>
        <v>2498518.2574200002</v>
      </c>
      <c r="G28" s="310">
        <f t="shared" si="12"/>
        <v>5757831.3806600003</v>
      </c>
      <c r="H28" s="310">
        <f t="shared" si="12"/>
        <v>10072961.772580002</v>
      </c>
      <c r="I28" s="310">
        <f t="shared" si="12"/>
        <v>10456249.258369999</v>
      </c>
      <c r="J28" s="310">
        <f t="shared" si="12"/>
        <v>7801489.8826399995</v>
      </c>
      <c r="K28" s="310">
        <f t="shared" si="12"/>
        <v>9200012.3178899996</v>
      </c>
      <c r="L28" s="310">
        <f t="shared" si="12"/>
        <v>5828853.3735500006</v>
      </c>
      <c r="M28" s="310">
        <f t="shared" si="12"/>
        <v>3846945.57265</v>
      </c>
      <c r="N28" s="310">
        <f t="shared" si="12"/>
        <v>2151569.25232</v>
      </c>
      <c r="O28" s="310">
        <f t="shared" si="12"/>
        <v>63418671.77595</v>
      </c>
    </row>
    <row r="29" spans="1:16">
      <c r="B29" t="s">
        <v>347</v>
      </c>
      <c r="C29" s="317">
        <f>'12MEJUN23'!D167</f>
        <v>2098127.4567399998</v>
      </c>
      <c r="D29" s="317">
        <f>'12MEJUN23'!E167</f>
        <v>1792359.1224499999</v>
      </c>
      <c r="E29" s="317">
        <f>'12MEJUN23'!F167</f>
        <v>1913754.1286799998</v>
      </c>
      <c r="F29" s="317">
        <f>'12MEJUN23'!G167</f>
        <v>2498518.2574199997</v>
      </c>
      <c r="G29" s="317">
        <f>'12MEJUN23'!H167</f>
        <v>5757831.3806599993</v>
      </c>
      <c r="H29" s="317">
        <f>'12MEJUN23'!I167</f>
        <v>10072961.77258</v>
      </c>
      <c r="I29" s="317">
        <f>'12MEJUN23'!J167</f>
        <v>10456249.258369999</v>
      </c>
      <c r="J29" s="317">
        <f>'12MEJUN23'!K167</f>
        <v>7801489.8826400004</v>
      </c>
      <c r="K29" s="317">
        <f>'12MEJUN23'!L167</f>
        <v>9200012.3178899996</v>
      </c>
      <c r="L29" s="317">
        <f>'12MEJUN23'!M167</f>
        <v>5828853.3735500006</v>
      </c>
      <c r="M29" s="317">
        <f>'12MEJUN23'!N167</f>
        <v>3846945.57265</v>
      </c>
      <c r="N29" s="317">
        <f>'12MEJUN23'!O167</f>
        <v>2151569.25232</v>
      </c>
      <c r="O29" s="308">
        <f>SUM(C29:N29)</f>
        <v>63418671.775949992</v>
      </c>
    </row>
    <row r="30" spans="1:16">
      <c r="C30" s="312">
        <f t="shared" ref="C30:N30" si="13">C29-C28</f>
        <v>0</v>
      </c>
      <c r="D30" s="312">
        <f t="shared" si="13"/>
        <v>0</v>
      </c>
      <c r="E30" s="312">
        <f t="shared" si="13"/>
        <v>0</v>
      </c>
      <c r="F30" s="312">
        <f t="shared" si="13"/>
        <v>0</v>
      </c>
      <c r="G30" s="312">
        <f t="shared" si="13"/>
        <v>0</v>
      </c>
      <c r="H30" s="312">
        <f t="shared" si="13"/>
        <v>0</v>
      </c>
      <c r="I30" s="312">
        <f t="shared" si="13"/>
        <v>0</v>
      </c>
      <c r="J30" s="318">
        <f t="shared" si="13"/>
        <v>0</v>
      </c>
      <c r="K30" s="312">
        <f t="shared" si="13"/>
        <v>0</v>
      </c>
      <c r="L30" s="318">
        <f t="shared" si="13"/>
        <v>0</v>
      </c>
      <c r="M30" s="312">
        <f t="shared" si="13"/>
        <v>0</v>
      </c>
      <c r="N30" s="312">
        <f t="shared" si="13"/>
        <v>0</v>
      </c>
      <c r="O30" s="308">
        <f>SUM(C30:N30)</f>
        <v>0</v>
      </c>
      <c r="P30" s="314">
        <f>O30/O29</f>
        <v>0</v>
      </c>
    </row>
    <row r="31" spans="1:16">
      <c r="C31" s="312"/>
      <c r="D31" s="312"/>
      <c r="E31" s="312"/>
      <c r="F31" s="312"/>
      <c r="G31" s="312"/>
      <c r="H31" s="312"/>
      <c r="I31" s="312"/>
      <c r="J31" s="318"/>
      <c r="K31" s="312"/>
      <c r="L31" s="318"/>
      <c r="M31" s="312"/>
      <c r="N31" s="312"/>
      <c r="O31" s="308"/>
      <c r="P31" s="314"/>
    </row>
    <row r="32" spans="1:16">
      <c r="B32" t="s">
        <v>309</v>
      </c>
      <c r="C32" s="315">
        <f t="shared" ref="C32:N32" si="14">(C23/C$28)*C$30</f>
        <v>0</v>
      </c>
      <c r="D32" s="315">
        <f t="shared" si="14"/>
        <v>0</v>
      </c>
      <c r="E32" s="315">
        <f t="shared" si="14"/>
        <v>0</v>
      </c>
      <c r="F32" s="315">
        <f t="shared" si="14"/>
        <v>0</v>
      </c>
      <c r="G32" s="315">
        <f t="shared" si="14"/>
        <v>0</v>
      </c>
      <c r="H32" s="315">
        <f t="shared" si="14"/>
        <v>0</v>
      </c>
      <c r="I32" s="315">
        <f t="shared" si="14"/>
        <v>0</v>
      </c>
      <c r="J32" s="315">
        <f t="shared" si="14"/>
        <v>0</v>
      </c>
      <c r="K32" s="315">
        <f t="shared" si="14"/>
        <v>0</v>
      </c>
      <c r="L32" s="315">
        <f t="shared" si="14"/>
        <v>0</v>
      </c>
      <c r="M32" s="315">
        <f t="shared" si="14"/>
        <v>0</v>
      </c>
      <c r="N32" s="315">
        <f t="shared" si="14"/>
        <v>0</v>
      </c>
      <c r="O32" s="315">
        <f>SUM(C32:N32)</f>
        <v>0</v>
      </c>
      <c r="P32" s="314"/>
    </row>
    <row r="33" spans="2:16">
      <c r="B33" t="s">
        <v>310</v>
      </c>
      <c r="C33" s="315">
        <f t="shared" ref="C33:N33" si="15">(C24/C$28)*C$30</f>
        <v>0</v>
      </c>
      <c r="D33" s="315">
        <f t="shared" si="15"/>
        <v>0</v>
      </c>
      <c r="E33" s="315">
        <f t="shared" si="15"/>
        <v>0</v>
      </c>
      <c r="F33" s="315">
        <f t="shared" si="15"/>
        <v>0</v>
      </c>
      <c r="G33" s="315">
        <f t="shared" si="15"/>
        <v>0</v>
      </c>
      <c r="H33" s="315">
        <f t="shared" si="15"/>
        <v>0</v>
      </c>
      <c r="I33" s="315">
        <f t="shared" si="15"/>
        <v>0</v>
      </c>
      <c r="J33" s="315">
        <f t="shared" si="15"/>
        <v>0</v>
      </c>
      <c r="K33" s="315">
        <f t="shared" si="15"/>
        <v>0</v>
      </c>
      <c r="L33" s="315">
        <f t="shared" si="15"/>
        <v>0</v>
      </c>
      <c r="M33" s="315">
        <f t="shared" si="15"/>
        <v>0</v>
      </c>
      <c r="N33" s="315">
        <f t="shared" si="15"/>
        <v>0</v>
      </c>
      <c r="O33" s="315">
        <f>SUM(C33:N33)</f>
        <v>0</v>
      </c>
      <c r="P33" s="314"/>
    </row>
    <row r="34" spans="2:16">
      <c r="B34" t="s">
        <v>314</v>
      </c>
      <c r="C34" s="315">
        <f t="shared" ref="C34:N34" si="16">(C25/C$28)*C$30</f>
        <v>0</v>
      </c>
      <c r="D34" s="315">
        <f t="shared" si="16"/>
        <v>0</v>
      </c>
      <c r="E34" s="315">
        <f t="shared" si="16"/>
        <v>0</v>
      </c>
      <c r="F34" s="315">
        <f t="shared" si="16"/>
        <v>0</v>
      </c>
      <c r="G34" s="315">
        <f t="shared" si="16"/>
        <v>0</v>
      </c>
      <c r="H34" s="315">
        <f t="shared" si="16"/>
        <v>0</v>
      </c>
      <c r="I34" s="315">
        <f t="shared" si="16"/>
        <v>0</v>
      </c>
      <c r="J34" s="315">
        <f t="shared" si="16"/>
        <v>0</v>
      </c>
      <c r="K34" s="315">
        <f t="shared" si="16"/>
        <v>0</v>
      </c>
      <c r="L34" s="315">
        <f t="shared" si="16"/>
        <v>0</v>
      </c>
      <c r="M34" s="315">
        <f t="shared" si="16"/>
        <v>0</v>
      </c>
      <c r="N34" s="315">
        <f t="shared" si="16"/>
        <v>0</v>
      </c>
      <c r="O34" s="315">
        <f>SUM(C34:N34)</f>
        <v>0</v>
      </c>
      <c r="P34" s="314"/>
    </row>
    <row r="35" spans="2:16">
      <c r="B35" s="349" t="s">
        <v>353</v>
      </c>
      <c r="C35" s="315">
        <f t="shared" ref="C35:N35" si="17">(C26/C$28)*C$30</f>
        <v>0</v>
      </c>
      <c r="D35" s="315">
        <f t="shared" si="17"/>
        <v>0</v>
      </c>
      <c r="E35" s="315">
        <f t="shared" si="17"/>
        <v>0</v>
      </c>
      <c r="F35" s="315">
        <f t="shared" si="17"/>
        <v>0</v>
      </c>
      <c r="G35" s="315">
        <f t="shared" si="17"/>
        <v>0</v>
      </c>
      <c r="H35" s="315">
        <f t="shared" si="17"/>
        <v>0</v>
      </c>
      <c r="I35" s="315">
        <f t="shared" si="17"/>
        <v>0</v>
      </c>
      <c r="J35" s="315">
        <f t="shared" si="17"/>
        <v>0</v>
      </c>
      <c r="K35" s="315">
        <f t="shared" si="17"/>
        <v>0</v>
      </c>
      <c r="L35" s="315">
        <f t="shared" si="17"/>
        <v>0</v>
      </c>
      <c r="M35" s="315">
        <f t="shared" si="17"/>
        <v>0</v>
      </c>
      <c r="N35" s="315">
        <f t="shared" si="17"/>
        <v>0</v>
      </c>
      <c r="O35" s="315">
        <f>SUM(C35:N35)</f>
        <v>0</v>
      </c>
      <c r="P35" s="314"/>
    </row>
    <row r="36" spans="2:16">
      <c r="B36" s="349" t="s">
        <v>375</v>
      </c>
      <c r="C36" s="315">
        <f t="shared" ref="C36:N36" si="18">(C27/C$28)*C$30</f>
        <v>0</v>
      </c>
      <c r="D36" s="315">
        <f t="shared" si="18"/>
        <v>0</v>
      </c>
      <c r="E36" s="315">
        <f t="shared" si="18"/>
        <v>0</v>
      </c>
      <c r="F36" s="315">
        <f t="shared" si="18"/>
        <v>0</v>
      </c>
      <c r="G36" s="315">
        <f t="shared" si="18"/>
        <v>0</v>
      </c>
      <c r="H36" s="315">
        <f t="shared" si="18"/>
        <v>0</v>
      </c>
      <c r="I36" s="315">
        <f t="shared" si="18"/>
        <v>0</v>
      </c>
      <c r="J36" s="315">
        <f t="shared" si="18"/>
        <v>0</v>
      </c>
      <c r="K36" s="315">
        <f t="shared" si="18"/>
        <v>0</v>
      </c>
      <c r="L36" s="315">
        <f t="shared" si="18"/>
        <v>0</v>
      </c>
      <c r="M36" s="315">
        <f t="shared" si="18"/>
        <v>0</v>
      </c>
      <c r="N36" s="315">
        <f t="shared" si="18"/>
        <v>0</v>
      </c>
      <c r="O36" s="315">
        <f>SUM(C36:N36)</f>
        <v>0</v>
      </c>
      <c r="P36" s="314"/>
    </row>
    <row r="37" spans="2:16">
      <c r="C37" s="315">
        <f>SUM(C32:C36)</f>
        <v>0</v>
      </c>
      <c r="D37" s="315">
        <f t="shared" ref="D37:O37" si="19">SUM(D32:D36)</f>
        <v>0</v>
      </c>
      <c r="E37" s="315">
        <f t="shared" si="19"/>
        <v>0</v>
      </c>
      <c r="F37" s="315">
        <f t="shared" si="19"/>
        <v>0</v>
      </c>
      <c r="G37" s="315">
        <f t="shared" si="19"/>
        <v>0</v>
      </c>
      <c r="H37" s="315">
        <f t="shared" si="19"/>
        <v>0</v>
      </c>
      <c r="I37" s="315">
        <f t="shared" si="19"/>
        <v>0</v>
      </c>
      <c r="J37" s="315">
        <f t="shared" si="19"/>
        <v>0</v>
      </c>
      <c r="K37" s="315">
        <f t="shared" si="19"/>
        <v>0</v>
      </c>
      <c r="L37" s="315">
        <f t="shared" si="19"/>
        <v>0</v>
      </c>
      <c r="M37" s="315">
        <f t="shared" si="19"/>
        <v>0</v>
      </c>
      <c r="N37" s="315">
        <f t="shared" si="19"/>
        <v>0</v>
      </c>
      <c r="O37" s="315">
        <f t="shared" si="19"/>
        <v>0</v>
      </c>
      <c r="P37" s="314"/>
    </row>
    <row r="38" spans="2:16">
      <c r="C38" s="315"/>
      <c r="D38" s="315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4"/>
    </row>
    <row r="39" spans="2:16">
      <c r="B39" t="s">
        <v>309</v>
      </c>
      <c r="C39" s="315">
        <f t="shared" ref="C39:N39" si="20">C23+C32</f>
        <v>454064.17167000001</v>
      </c>
      <c r="D39" s="315">
        <f t="shared" si="20"/>
        <v>389326.97181999998</v>
      </c>
      <c r="E39" s="315">
        <f t="shared" si="20"/>
        <v>410075.21674</v>
      </c>
      <c r="F39" s="315">
        <f t="shared" si="20"/>
        <v>501518.12</v>
      </c>
      <c r="G39" s="315">
        <f t="shared" si="20"/>
        <v>650115.66200999997</v>
      </c>
      <c r="H39" s="315">
        <f t="shared" si="20"/>
        <v>687253.79359000002</v>
      </c>
      <c r="I39" s="315">
        <f t="shared" si="20"/>
        <v>710312.36008000001</v>
      </c>
      <c r="J39" s="315">
        <f t="shared" si="20"/>
        <v>613385.60036000004</v>
      </c>
      <c r="K39" s="315">
        <f t="shared" si="20"/>
        <v>779555.29093999998</v>
      </c>
      <c r="L39" s="315">
        <f t="shared" si="20"/>
        <v>660746.27141999989</v>
      </c>
      <c r="M39" s="315">
        <f t="shared" si="20"/>
        <v>663666.88196000003</v>
      </c>
      <c r="N39" s="315">
        <f t="shared" si="20"/>
        <v>481119.07936999999</v>
      </c>
      <c r="O39" s="315">
        <f>SUM(C39:N39)</f>
        <v>7001139.4199599996</v>
      </c>
      <c r="P39" s="314"/>
    </row>
    <row r="40" spans="2:16">
      <c r="B40" t="s">
        <v>310</v>
      </c>
      <c r="C40" s="315">
        <f t="shared" ref="C40:N40" si="21">C24+C33</f>
        <v>686185.26384000003</v>
      </c>
      <c r="D40" s="315">
        <f t="shared" si="21"/>
        <v>560911.10641000001</v>
      </c>
      <c r="E40" s="315">
        <f t="shared" si="21"/>
        <v>608822.49942999997</v>
      </c>
      <c r="F40" s="315">
        <f t="shared" si="21"/>
        <v>784119.73300000001</v>
      </c>
      <c r="G40" s="315">
        <f t="shared" si="21"/>
        <v>1798232.0854499999</v>
      </c>
      <c r="H40" s="315">
        <f t="shared" si="21"/>
        <v>2446917.0905800001</v>
      </c>
      <c r="I40" s="315">
        <f t="shared" si="21"/>
        <v>2552925.0304299998</v>
      </c>
      <c r="J40" s="315">
        <f t="shared" si="21"/>
        <v>2133407.2811500002</v>
      </c>
      <c r="K40" s="315">
        <f t="shared" si="21"/>
        <v>2648122.6943000001</v>
      </c>
      <c r="L40" s="315">
        <f t="shared" si="21"/>
        <v>1968672.66974</v>
      </c>
      <c r="M40" s="315">
        <f t="shared" si="21"/>
        <v>1363690.44995</v>
      </c>
      <c r="N40" s="315">
        <f t="shared" si="21"/>
        <v>727748.35022999998</v>
      </c>
      <c r="O40" s="315">
        <f>SUM(C40:N40)</f>
        <v>18279754.25451</v>
      </c>
      <c r="P40" s="314"/>
    </row>
    <row r="41" spans="2:16">
      <c r="B41" t="s">
        <v>314</v>
      </c>
      <c r="C41" s="315">
        <f t="shared" ref="C41:N41" si="22">C25+C34</f>
        <v>728414.26702000003</v>
      </c>
      <c r="D41" s="315">
        <f t="shared" si="22"/>
        <v>614434.96340000001</v>
      </c>
      <c r="E41" s="315">
        <f t="shared" si="22"/>
        <v>673457.33551</v>
      </c>
      <c r="F41" s="315">
        <f t="shared" si="22"/>
        <v>895490.55842000002</v>
      </c>
      <c r="G41" s="315">
        <f t="shared" si="22"/>
        <v>2645338.6680000001</v>
      </c>
      <c r="H41" s="315">
        <f t="shared" si="22"/>
        <v>5574348.6713300003</v>
      </c>
      <c r="I41" s="315">
        <f t="shared" si="22"/>
        <v>5958216.7159599997</v>
      </c>
      <c r="J41" s="315">
        <f t="shared" si="22"/>
        <v>4190289.7768000001</v>
      </c>
      <c r="K41" s="315">
        <f t="shared" si="22"/>
        <v>4896273.9494500002</v>
      </c>
      <c r="L41" s="315">
        <f t="shared" si="22"/>
        <v>2795152.8191900002</v>
      </c>
      <c r="M41" s="315">
        <f t="shared" si="22"/>
        <v>1496688.23814</v>
      </c>
      <c r="N41" s="315">
        <f t="shared" si="22"/>
        <v>756297.11829000001</v>
      </c>
      <c r="O41" s="315">
        <f t="shared" ref="O41" si="23">SUM(C41:N41)</f>
        <v>31224403.08151</v>
      </c>
      <c r="P41" s="314"/>
    </row>
    <row r="42" spans="2:16">
      <c r="B42" s="349" t="s">
        <v>353</v>
      </c>
      <c r="C42" s="315">
        <f t="shared" ref="C42:N42" si="24">C26+C35</f>
        <v>172504.99221</v>
      </c>
      <c r="D42" s="315">
        <f t="shared" si="24"/>
        <v>148513.20282000001</v>
      </c>
      <c r="E42" s="315">
        <f t="shared" si="24"/>
        <v>126674.018</v>
      </c>
      <c r="F42" s="315">
        <f t="shared" si="24"/>
        <v>232629.32</v>
      </c>
      <c r="G42" s="315">
        <f t="shared" si="24"/>
        <v>468677.73119999998</v>
      </c>
      <c r="H42" s="315">
        <f t="shared" si="24"/>
        <v>968905.32608000003</v>
      </c>
      <c r="I42" s="315">
        <f t="shared" si="24"/>
        <v>910758.27890000003</v>
      </c>
      <c r="J42" s="315">
        <f t="shared" si="24"/>
        <v>610561.72132999997</v>
      </c>
      <c r="K42" s="315">
        <f t="shared" si="24"/>
        <v>661911.40720000002</v>
      </c>
      <c r="L42" s="315">
        <f t="shared" si="24"/>
        <v>310514.12219999998</v>
      </c>
      <c r="M42" s="315">
        <f t="shared" si="24"/>
        <v>204427.80960000001</v>
      </c>
      <c r="N42" s="315">
        <f t="shared" si="24"/>
        <v>150903.70442999998</v>
      </c>
      <c r="O42" s="315">
        <f t="shared" ref="O42:O43" si="25">SUM(C42:N42)</f>
        <v>4966981.6339700008</v>
      </c>
      <c r="P42" s="314"/>
    </row>
    <row r="43" spans="2:16">
      <c r="B43" s="349" t="s">
        <v>375</v>
      </c>
      <c r="C43" s="315">
        <f t="shared" ref="C43:N43" si="26">C27+C36</f>
        <v>56958.762000000002</v>
      </c>
      <c r="D43" s="315">
        <f t="shared" si="26"/>
        <v>79172.877999999997</v>
      </c>
      <c r="E43" s="315">
        <f t="shared" si="26"/>
        <v>94725.058999999994</v>
      </c>
      <c r="F43" s="315">
        <f t="shared" si="26"/>
        <v>84760.525999999998</v>
      </c>
      <c r="G43" s="315">
        <f t="shared" si="26"/>
        <v>195467.234</v>
      </c>
      <c r="H43" s="315">
        <f t="shared" si="26"/>
        <v>395536.891</v>
      </c>
      <c r="I43" s="315">
        <f t="shared" si="26"/>
        <v>324036.87300000002</v>
      </c>
      <c r="J43" s="315">
        <f t="shared" si="26"/>
        <v>253845.503</v>
      </c>
      <c r="K43" s="315">
        <f t="shared" si="26"/>
        <v>214148.976</v>
      </c>
      <c r="L43" s="315">
        <f t="shared" si="26"/>
        <v>93767.491000000009</v>
      </c>
      <c r="M43" s="315">
        <f t="shared" si="26"/>
        <v>118472.193</v>
      </c>
      <c r="N43" s="315">
        <f t="shared" si="26"/>
        <v>35501</v>
      </c>
      <c r="O43" s="315">
        <f t="shared" si="25"/>
        <v>1946393.3860000002</v>
      </c>
      <c r="P43" s="314"/>
    </row>
    <row r="44" spans="2:16">
      <c r="C44" s="315">
        <f t="shared" ref="C44:O44" si="27">SUM(C39:C43)</f>
        <v>2098127.4567399998</v>
      </c>
      <c r="D44" s="315">
        <f t="shared" si="27"/>
        <v>1792359.1224499999</v>
      </c>
      <c r="E44" s="315">
        <f t="shared" si="27"/>
        <v>1913754.1286799998</v>
      </c>
      <c r="F44" s="315">
        <f t="shared" si="27"/>
        <v>2498518.2574200002</v>
      </c>
      <c r="G44" s="315">
        <f t="shared" si="27"/>
        <v>5757831.3806600003</v>
      </c>
      <c r="H44" s="315">
        <f t="shared" si="27"/>
        <v>10072961.772580002</v>
      </c>
      <c r="I44" s="315">
        <f t="shared" si="27"/>
        <v>10456249.258369999</v>
      </c>
      <c r="J44" s="315">
        <f t="shared" si="27"/>
        <v>7801489.8826399995</v>
      </c>
      <c r="K44" s="315">
        <f t="shared" si="27"/>
        <v>9200012.3178899996</v>
      </c>
      <c r="L44" s="315">
        <f t="shared" si="27"/>
        <v>5828853.3735500006</v>
      </c>
      <c r="M44" s="315">
        <f t="shared" si="27"/>
        <v>3846945.57265</v>
      </c>
      <c r="N44" s="315">
        <f t="shared" si="27"/>
        <v>2151569.25232</v>
      </c>
      <c r="O44" s="315">
        <f t="shared" si="27"/>
        <v>63418671.77595</v>
      </c>
      <c r="P44" s="314"/>
    </row>
    <row r="45" spans="2:16">
      <c r="C45" s="308">
        <f t="shared" ref="C45:O45" si="28">C44-C29</f>
        <v>0</v>
      </c>
      <c r="D45" s="308">
        <f t="shared" si="28"/>
        <v>0</v>
      </c>
      <c r="E45" s="308">
        <f t="shared" si="28"/>
        <v>0</v>
      </c>
      <c r="F45" s="308">
        <f t="shared" si="28"/>
        <v>0</v>
      </c>
      <c r="G45" s="308">
        <f t="shared" si="28"/>
        <v>0</v>
      </c>
      <c r="H45" s="308">
        <f t="shared" si="28"/>
        <v>0</v>
      </c>
      <c r="I45" s="308">
        <f t="shared" si="28"/>
        <v>0</v>
      </c>
      <c r="J45" s="308">
        <f t="shared" si="28"/>
        <v>0</v>
      </c>
      <c r="K45" s="308">
        <f t="shared" si="28"/>
        <v>0</v>
      </c>
      <c r="L45" s="308">
        <f t="shared" si="28"/>
        <v>0</v>
      </c>
      <c r="M45" s="308">
        <f t="shared" si="28"/>
        <v>0</v>
      </c>
      <c r="N45" s="308">
        <f t="shared" si="28"/>
        <v>0</v>
      </c>
      <c r="O45" s="308">
        <f t="shared" si="28"/>
        <v>0</v>
      </c>
      <c r="P45" s="314"/>
    </row>
    <row r="46" spans="2:16">
      <c r="C46" s="312"/>
      <c r="D46" s="312"/>
      <c r="E46" s="312"/>
      <c r="F46" s="312"/>
      <c r="G46" s="312"/>
      <c r="H46" s="312"/>
      <c r="I46" s="312"/>
      <c r="J46" s="318"/>
      <c r="K46" s="312"/>
      <c r="L46" s="318"/>
      <c r="M46" s="312"/>
      <c r="N46" s="312"/>
      <c r="O46" s="308"/>
      <c r="P46" s="314"/>
    </row>
    <row r="49" spans="1:16" hidden="1">
      <c r="A49" s="273"/>
      <c r="B49" s="405" t="s">
        <v>520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</row>
    <row r="50" spans="1:16" hidden="1">
      <c r="B50" t="s">
        <v>309</v>
      </c>
      <c r="C50" s="309">
        <f>'12MEJUN23'!D106+'12MEJUN23'!D120</f>
        <v>0</v>
      </c>
      <c r="D50" s="309">
        <f>'12MEJUN23'!E106+'12MEJUN23'!E120</f>
        <v>0</v>
      </c>
      <c r="E50" s="309">
        <f>'12MEJUN23'!F106+'12MEJUN23'!F120</f>
        <v>0</v>
      </c>
      <c r="F50" s="309">
        <f>'12MEJUN23'!G106+'12MEJUN23'!G120</f>
        <v>0</v>
      </c>
      <c r="G50" s="309">
        <f>'12MEJUN23'!H106+'12MEJUN23'!H120</f>
        <v>0</v>
      </c>
      <c r="H50" s="309">
        <f>'12MEJUN23'!I106+'12MEJUN23'!I120</f>
        <v>0</v>
      </c>
      <c r="I50" s="309">
        <f>'12MEJUN23'!J106+'12MEJUN23'!J120</f>
        <v>0</v>
      </c>
      <c r="J50" s="309">
        <f>'12MEJUN23'!K106+'12MEJUN23'!K120</f>
        <v>0</v>
      </c>
      <c r="K50" s="309">
        <f>'12MEJUN23'!L106+'12MEJUN23'!L120</f>
        <v>0</v>
      </c>
      <c r="L50" s="309">
        <f>'12MEJUN23'!M106+'12MEJUN23'!M120</f>
        <v>0</v>
      </c>
      <c r="M50" s="309">
        <f>'12MEJUN23'!N106+'12MEJUN23'!N120</f>
        <v>0</v>
      </c>
      <c r="N50" s="309">
        <f>'12MEJUN23'!O106+'12MEJUN23'!O120</f>
        <v>0</v>
      </c>
      <c r="O50" s="308">
        <f>SUM(C50:N50)</f>
        <v>0</v>
      </c>
    </row>
    <row r="51" spans="1:16" hidden="1">
      <c r="B51" t="s">
        <v>310</v>
      </c>
      <c r="C51" s="309">
        <f>'12MEJUN23'!D107+'12MEJUN23'!D121</f>
        <v>0</v>
      </c>
      <c r="D51" s="309">
        <f>'12MEJUN23'!E107+'12MEJUN23'!E121</f>
        <v>0</v>
      </c>
      <c r="E51" s="309">
        <f>'12MEJUN23'!F107+'12MEJUN23'!F121</f>
        <v>0</v>
      </c>
      <c r="F51" s="309">
        <f>'12MEJUN23'!G107+'12MEJUN23'!G121</f>
        <v>0</v>
      </c>
      <c r="G51" s="309">
        <f>'12MEJUN23'!H107+'12MEJUN23'!H121</f>
        <v>0</v>
      </c>
      <c r="H51" s="309">
        <f>'12MEJUN23'!I107+'12MEJUN23'!I121</f>
        <v>0</v>
      </c>
      <c r="I51" s="309">
        <f>'12MEJUN23'!J107+'12MEJUN23'!J121</f>
        <v>0</v>
      </c>
      <c r="J51" s="309">
        <f>'12MEJUN23'!K107+'12MEJUN23'!K121</f>
        <v>0</v>
      </c>
      <c r="K51" s="309">
        <f>'12MEJUN23'!L107+'12MEJUN23'!L121</f>
        <v>0</v>
      </c>
      <c r="L51" s="309">
        <f>'12MEJUN23'!M107+'12MEJUN23'!M121</f>
        <v>0</v>
      </c>
      <c r="M51" s="309">
        <f>'12MEJUN23'!N107+'12MEJUN23'!N121</f>
        <v>0</v>
      </c>
      <c r="N51" s="309">
        <f>'12MEJUN23'!O107+'12MEJUN23'!O121</f>
        <v>0</v>
      </c>
      <c r="O51" s="308">
        <f t="shared" ref="O51:O52" si="29">SUM(C51:N51)</f>
        <v>0</v>
      </c>
    </row>
    <row r="52" spans="1:16" hidden="1">
      <c r="B52" t="s">
        <v>314</v>
      </c>
      <c r="C52" s="309">
        <f>'12MEJUN23'!D108+'12MEJUN23'!D122</f>
        <v>0</v>
      </c>
      <c r="D52" s="309">
        <f>'12MEJUN23'!E108+'12MEJUN23'!E122</f>
        <v>0</v>
      </c>
      <c r="E52" s="309">
        <f>'12MEJUN23'!F108+'12MEJUN23'!F122</f>
        <v>0</v>
      </c>
      <c r="F52" s="309">
        <f>'12MEJUN23'!G108+'12MEJUN23'!G122</f>
        <v>0</v>
      </c>
      <c r="G52" s="309">
        <f>'12MEJUN23'!H108+'12MEJUN23'!H122</f>
        <v>0</v>
      </c>
      <c r="H52" s="309">
        <f>'12MEJUN23'!I108+'12MEJUN23'!I122</f>
        <v>0</v>
      </c>
      <c r="I52" s="309">
        <f>'12MEJUN23'!J108+'12MEJUN23'!J122</f>
        <v>0</v>
      </c>
      <c r="J52" s="309">
        <f>'12MEJUN23'!K108+'12MEJUN23'!K122</f>
        <v>0</v>
      </c>
      <c r="K52" s="309">
        <f>'12MEJUN23'!L108+'12MEJUN23'!L122</f>
        <v>0</v>
      </c>
      <c r="L52" s="309">
        <f>'12MEJUN23'!M108+'12MEJUN23'!M122</f>
        <v>0</v>
      </c>
      <c r="M52" s="309">
        <f>'12MEJUN23'!N108+'12MEJUN23'!N122</f>
        <v>0</v>
      </c>
      <c r="N52" s="309">
        <f>'12MEJUN23'!O108+'12MEJUN23'!O122</f>
        <v>0</v>
      </c>
      <c r="O52" s="308">
        <f t="shared" si="29"/>
        <v>0</v>
      </c>
    </row>
    <row r="53" spans="1:16" hidden="1">
      <c r="B53" t="s">
        <v>353</v>
      </c>
      <c r="C53" s="309">
        <f>'12MEJUN23'!D109+'12MEJUN23'!D123</f>
        <v>0</v>
      </c>
      <c r="D53" s="309">
        <f>'12MEJUN23'!E109+'12MEJUN23'!E123</f>
        <v>0</v>
      </c>
      <c r="E53" s="309">
        <f>'12MEJUN23'!F109+'12MEJUN23'!F123</f>
        <v>0</v>
      </c>
      <c r="F53" s="309">
        <f>'12MEJUN23'!G109+'12MEJUN23'!G123</f>
        <v>0</v>
      </c>
      <c r="G53" s="309">
        <f>'12MEJUN23'!H109+'12MEJUN23'!H123</f>
        <v>0</v>
      </c>
      <c r="H53" s="309">
        <f>'12MEJUN23'!I109+'12MEJUN23'!I123</f>
        <v>0</v>
      </c>
      <c r="I53" s="309">
        <f>'12MEJUN23'!J109+'12MEJUN23'!J123</f>
        <v>0</v>
      </c>
      <c r="J53" s="309">
        <f>'12MEJUN23'!K109+'12MEJUN23'!K123</f>
        <v>0</v>
      </c>
      <c r="K53" s="309">
        <f>'12MEJUN23'!L109+'12MEJUN23'!L123</f>
        <v>0</v>
      </c>
      <c r="L53" s="309">
        <f>'12MEJUN23'!M109+'12MEJUN23'!M123</f>
        <v>0</v>
      </c>
      <c r="M53" s="309">
        <f>'12MEJUN23'!N109+'12MEJUN23'!N123</f>
        <v>0</v>
      </c>
      <c r="N53" s="309">
        <f>'12MEJUN23'!O109+'12MEJUN23'!O123</f>
        <v>0</v>
      </c>
      <c r="O53" s="308">
        <f>SUM(C53:N53)</f>
        <v>0</v>
      </c>
    </row>
    <row r="54" spans="1:16" hidden="1">
      <c r="B54" t="s">
        <v>375</v>
      </c>
      <c r="C54" s="309">
        <f>'12MEJUN23'!D110+'12MEJUN23'!D124</f>
        <v>0</v>
      </c>
      <c r="D54" s="309">
        <f>'12MEJUN23'!E110+'12MEJUN23'!E124</f>
        <v>0</v>
      </c>
      <c r="E54" s="309">
        <f>'12MEJUN23'!F110+'12MEJUN23'!F124</f>
        <v>0</v>
      </c>
      <c r="F54" s="309">
        <f>'12MEJUN23'!G110+'12MEJUN23'!G124</f>
        <v>0</v>
      </c>
      <c r="G54" s="309">
        <f>'12MEJUN23'!H110+'12MEJUN23'!H124</f>
        <v>0</v>
      </c>
      <c r="H54" s="309">
        <f>'12MEJUN23'!I110+'12MEJUN23'!I124</f>
        <v>0</v>
      </c>
      <c r="I54" s="309">
        <f>'12MEJUN23'!J110+'12MEJUN23'!J124</f>
        <v>0</v>
      </c>
      <c r="J54" s="309">
        <f>'12MEJUN23'!K110+'12MEJUN23'!K124</f>
        <v>0</v>
      </c>
      <c r="K54" s="309">
        <f>'12MEJUN23'!L110+'12MEJUN23'!L124</f>
        <v>0</v>
      </c>
      <c r="L54" s="309">
        <f>'12MEJUN23'!M110+'12MEJUN23'!M124</f>
        <v>0</v>
      </c>
      <c r="M54" s="309">
        <f>'12MEJUN23'!N110+'12MEJUN23'!N124</f>
        <v>0</v>
      </c>
      <c r="N54" s="309">
        <f>'12MEJUN23'!O110+'12MEJUN23'!O124</f>
        <v>0</v>
      </c>
      <c r="O54" s="308">
        <f>SUM(C54:N54)</f>
        <v>0</v>
      </c>
    </row>
    <row r="55" spans="1:16" hidden="1">
      <c r="A55" t="s">
        <v>293</v>
      </c>
      <c r="B55" s="32" t="s">
        <v>58</v>
      </c>
      <c r="C55" s="310">
        <f>SUM(C50:C54)</f>
        <v>0</v>
      </c>
      <c r="D55" s="310">
        <f t="shared" ref="D55:H55" si="30">SUM(D50:D54)</f>
        <v>0</v>
      </c>
      <c r="E55" s="310">
        <f t="shared" si="30"/>
        <v>0</v>
      </c>
      <c r="F55" s="310">
        <f t="shared" si="30"/>
        <v>0</v>
      </c>
      <c r="G55" s="310">
        <f t="shared" si="30"/>
        <v>0</v>
      </c>
      <c r="H55" s="310">
        <f t="shared" si="30"/>
        <v>0</v>
      </c>
      <c r="I55" s="310">
        <f>SUM(I50:I54)</f>
        <v>0</v>
      </c>
      <c r="J55" s="310">
        <f t="shared" ref="J55:O55" si="31">SUM(J50:J54)</f>
        <v>0</v>
      </c>
      <c r="K55" s="310">
        <f t="shared" si="31"/>
        <v>0</v>
      </c>
      <c r="L55" s="310">
        <f t="shared" si="31"/>
        <v>0</v>
      </c>
      <c r="M55" s="310">
        <f t="shared" si="31"/>
        <v>0</v>
      </c>
      <c r="N55" s="310">
        <f t="shared" si="31"/>
        <v>0</v>
      </c>
      <c r="O55" s="310">
        <f t="shared" si="31"/>
        <v>0</v>
      </c>
    </row>
    <row r="56" spans="1:16" hidden="1">
      <c r="B56" t="s">
        <v>347</v>
      </c>
      <c r="C56" s="317">
        <f>'12MEJUN23'!D168</f>
        <v>0</v>
      </c>
      <c r="D56" s="317">
        <f>'12MEJUN23'!E168</f>
        <v>0</v>
      </c>
      <c r="E56" s="317">
        <f>'12MEJUN23'!F168</f>
        <v>0</v>
      </c>
      <c r="F56" s="317">
        <f>'12MEJUN23'!G168</f>
        <v>0</v>
      </c>
      <c r="G56" s="317">
        <f>'12MEJUN23'!H168</f>
        <v>0</v>
      </c>
      <c r="H56" s="317">
        <f>'12MEJUN23'!I168</f>
        <v>0</v>
      </c>
      <c r="I56" s="317">
        <f>'12MEJUN23'!J168</f>
        <v>0</v>
      </c>
      <c r="J56" s="317">
        <f>'12MEJUN23'!K168</f>
        <v>0</v>
      </c>
      <c r="K56" s="317">
        <f>'12MEJUN23'!L168</f>
        <v>0</v>
      </c>
      <c r="L56" s="317">
        <f>'12MEJUN23'!M168</f>
        <v>0</v>
      </c>
      <c r="M56" s="317">
        <f>'12MEJUN23'!N168</f>
        <v>0</v>
      </c>
      <c r="N56" s="317">
        <f>'12MEJUN23'!O168</f>
        <v>0</v>
      </c>
      <c r="O56" s="308">
        <f>SUM(C56:N56)</f>
        <v>0</v>
      </c>
    </row>
    <row r="57" spans="1:16" hidden="1">
      <c r="C57" s="312">
        <f t="shared" ref="C57:N57" si="32">C56-C55</f>
        <v>0</v>
      </c>
      <c r="D57" s="312">
        <f t="shared" si="32"/>
        <v>0</v>
      </c>
      <c r="E57" s="312">
        <f t="shared" si="32"/>
        <v>0</v>
      </c>
      <c r="F57" s="312">
        <f t="shared" si="32"/>
        <v>0</v>
      </c>
      <c r="G57" s="312">
        <f t="shared" si="32"/>
        <v>0</v>
      </c>
      <c r="H57" s="312">
        <f t="shared" si="32"/>
        <v>0</v>
      </c>
      <c r="I57" s="312">
        <f t="shared" si="32"/>
        <v>0</v>
      </c>
      <c r="J57" s="318">
        <f t="shared" si="32"/>
        <v>0</v>
      </c>
      <c r="K57" s="312">
        <f t="shared" si="32"/>
        <v>0</v>
      </c>
      <c r="L57" s="318">
        <f t="shared" si="32"/>
        <v>0</v>
      </c>
      <c r="M57" s="312">
        <f t="shared" si="32"/>
        <v>0</v>
      </c>
      <c r="N57" s="312">
        <f t="shared" si="32"/>
        <v>0</v>
      </c>
      <c r="O57" s="308">
        <f>SUM(C57:N57)</f>
        <v>0</v>
      </c>
      <c r="P57" s="314" t="e">
        <f>O57/O56</f>
        <v>#DIV/0!</v>
      </c>
    </row>
    <row r="58" spans="1:16" hidden="1">
      <c r="C58" s="312"/>
      <c r="D58" s="312"/>
      <c r="E58" s="312"/>
      <c r="F58" s="312"/>
      <c r="G58" s="312"/>
      <c r="H58" s="312"/>
      <c r="I58" s="312"/>
      <c r="J58" s="318"/>
      <c r="K58" s="312"/>
      <c r="L58" s="318"/>
      <c r="M58" s="312"/>
      <c r="N58" s="312"/>
      <c r="O58" s="308"/>
      <c r="P58" s="314"/>
    </row>
    <row r="59" spans="1:16" hidden="1">
      <c r="B59" t="s">
        <v>309</v>
      </c>
      <c r="C59" s="315" t="e">
        <f>(C50/C$55)*C$57</f>
        <v>#DIV/0!</v>
      </c>
      <c r="D59" s="315" t="e">
        <f t="shared" ref="D59:N59" si="33">(D50/D$55)*D$57</f>
        <v>#DIV/0!</v>
      </c>
      <c r="E59" s="315" t="e">
        <f t="shared" si="33"/>
        <v>#DIV/0!</v>
      </c>
      <c r="F59" s="315" t="e">
        <f t="shared" si="33"/>
        <v>#DIV/0!</v>
      </c>
      <c r="G59" s="315" t="e">
        <f t="shared" si="33"/>
        <v>#DIV/0!</v>
      </c>
      <c r="H59" s="315" t="e">
        <f t="shared" si="33"/>
        <v>#DIV/0!</v>
      </c>
      <c r="I59" s="315" t="e">
        <f t="shared" si="33"/>
        <v>#DIV/0!</v>
      </c>
      <c r="J59" s="315" t="e">
        <f t="shared" si="33"/>
        <v>#DIV/0!</v>
      </c>
      <c r="K59" s="315" t="e">
        <f t="shared" si="33"/>
        <v>#DIV/0!</v>
      </c>
      <c r="L59" s="315" t="e">
        <f t="shared" si="33"/>
        <v>#DIV/0!</v>
      </c>
      <c r="M59" s="315" t="e">
        <f t="shared" si="33"/>
        <v>#DIV/0!</v>
      </c>
      <c r="N59" s="315" t="e">
        <f t="shared" si="33"/>
        <v>#DIV/0!</v>
      </c>
      <c r="O59" s="315" t="e">
        <f>SUM(C59:N59)</f>
        <v>#DIV/0!</v>
      </c>
      <c r="P59" s="314"/>
    </row>
    <row r="60" spans="1:16" hidden="1">
      <c r="B60" t="s">
        <v>310</v>
      </c>
      <c r="C60" s="315" t="e">
        <f t="shared" ref="C60:N60" si="34">(C51/C$55)*C$57</f>
        <v>#DIV/0!</v>
      </c>
      <c r="D60" s="315" t="e">
        <f t="shared" si="34"/>
        <v>#DIV/0!</v>
      </c>
      <c r="E60" s="315" t="e">
        <f t="shared" si="34"/>
        <v>#DIV/0!</v>
      </c>
      <c r="F60" s="315" t="e">
        <f t="shared" si="34"/>
        <v>#DIV/0!</v>
      </c>
      <c r="G60" s="315" t="e">
        <f t="shared" si="34"/>
        <v>#DIV/0!</v>
      </c>
      <c r="H60" s="315" t="e">
        <f t="shared" si="34"/>
        <v>#DIV/0!</v>
      </c>
      <c r="I60" s="315" t="e">
        <f t="shared" si="34"/>
        <v>#DIV/0!</v>
      </c>
      <c r="J60" s="315" t="e">
        <f t="shared" si="34"/>
        <v>#DIV/0!</v>
      </c>
      <c r="K60" s="315" t="e">
        <f t="shared" si="34"/>
        <v>#DIV/0!</v>
      </c>
      <c r="L60" s="315" t="e">
        <f t="shared" si="34"/>
        <v>#DIV/0!</v>
      </c>
      <c r="M60" s="315" t="e">
        <f t="shared" si="34"/>
        <v>#DIV/0!</v>
      </c>
      <c r="N60" s="315" t="e">
        <f t="shared" si="34"/>
        <v>#DIV/0!</v>
      </c>
      <c r="O60" s="315" t="e">
        <f t="shared" ref="O60:O61" si="35">SUM(C60:N60)</f>
        <v>#DIV/0!</v>
      </c>
      <c r="P60" s="314"/>
    </row>
    <row r="61" spans="1:16" hidden="1">
      <c r="B61" t="s">
        <v>314</v>
      </c>
      <c r="C61" s="315" t="e">
        <f t="shared" ref="C61:N63" si="36">(C52/C$55)*C$57</f>
        <v>#DIV/0!</v>
      </c>
      <c r="D61" s="315" t="e">
        <f t="shared" si="36"/>
        <v>#DIV/0!</v>
      </c>
      <c r="E61" s="315" t="e">
        <f t="shared" si="36"/>
        <v>#DIV/0!</v>
      </c>
      <c r="F61" s="315" t="e">
        <f t="shared" si="36"/>
        <v>#DIV/0!</v>
      </c>
      <c r="G61" s="315" t="e">
        <f t="shared" si="36"/>
        <v>#DIV/0!</v>
      </c>
      <c r="H61" s="315" t="e">
        <f t="shared" si="36"/>
        <v>#DIV/0!</v>
      </c>
      <c r="I61" s="315" t="e">
        <f t="shared" si="36"/>
        <v>#DIV/0!</v>
      </c>
      <c r="J61" s="315" t="e">
        <f t="shared" si="36"/>
        <v>#DIV/0!</v>
      </c>
      <c r="K61" s="315" t="e">
        <f t="shared" si="36"/>
        <v>#DIV/0!</v>
      </c>
      <c r="L61" s="315" t="e">
        <f t="shared" si="36"/>
        <v>#DIV/0!</v>
      </c>
      <c r="M61" s="315" t="e">
        <f t="shared" si="36"/>
        <v>#DIV/0!</v>
      </c>
      <c r="N61" s="315" t="e">
        <f t="shared" si="36"/>
        <v>#DIV/0!</v>
      </c>
      <c r="O61" s="315" t="e">
        <f t="shared" si="35"/>
        <v>#DIV/0!</v>
      </c>
      <c r="P61" s="314"/>
    </row>
    <row r="62" spans="1:16" hidden="1">
      <c r="B62" t="s">
        <v>353</v>
      </c>
      <c r="C62" s="315" t="e">
        <f t="shared" si="36"/>
        <v>#DIV/0!</v>
      </c>
      <c r="D62" s="315" t="e">
        <f t="shared" si="36"/>
        <v>#DIV/0!</v>
      </c>
      <c r="E62" s="315" t="e">
        <f t="shared" si="36"/>
        <v>#DIV/0!</v>
      </c>
      <c r="F62" s="315" t="e">
        <f t="shared" si="36"/>
        <v>#DIV/0!</v>
      </c>
      <c r="G62" s="315" t="e">
        <f t="shared" si="36"/>
        <v>#DIV/0!</v>
      </c>
      <c r="H62" s="315" t="e">
        <f t="shared" si="36"/>
        <v>#DIV/0!</v>
      </c>
      <c r="I62" s="315" t="e">
        <f t="shared" si="36"/>
        <v>#DIV/0!</v>
      </c>
      <c r="J62" s="315" t="e">
        <f t="shared" si="36"/>
        <v>#DIV/0!</v>
      </c>
      <c r="K62" s="315" t="e">
        <f t="shared" si="36"/>
        <v>#DIV/0!</v>
      </c>
      <c r="L62" s="315" t="e">
        <f t="shared" si="36"/>
        <v>#DIV/0!</v>
      </c>
      <c r="M62" s="315" t="e">
        <f t="shared" si="36"/>
        <v>#DIV/0!</v>
      </c>
      <c r="N62" s="315" t="e">
        <f t="shared" si="36"/>
        <v>#DIV/0!</v>
      </c>
      <c r="O62" s="315" t="e">
        <f>SUM(C62:N62)</f>
        <v>#DIV/0!</v>
      </c>
      <c r="P62" s="314"/>
    </row>
    <row r="63" spans="1:16" hidden="1">
      <c r="B63" t="s">
        <v>375</v>
      </c>
      <c r="C63" s="316" t="e">
        <f t="shared" si="36"/>
        <v>#DIV/0!</v>
      </c>
      <c r="D63" s="316" t="e">
        <f t="shared" si="36"/>
        <v>#DIV/0!</v>
      </c>
      <c r="E63" s="316" t="e">
        <f t="shared" si="36"/>
        <v>#DIV/0!</v>
      </c>
      <c r="F63" s="316" t="e">
        <f t="shared" si="36"/>
        <v>#DIV/0!</v>
      </c>
      <c r="G63" s="316" t="e">
        <f t="shared" si="36"/>
        <v>#DIV/0!</v>
      </c>
      <c r="H63" s="316" t="e">
        <f t="shared" si="36"/>
        <v>#DIV/0!</v>
      </c>
      <c r="I63" s="316" t="e">
        <f t="shared" si="36"/>
        <v>#DIV/0!</v>
      </c>
      <c r="J63" s="316" t="e">
        <f t="shared" si="36"/>
        <v>#DIV/0!</v>
      </c>
      <c r="K63" s="316" t="e">
        <f t="shared" si="36"/>
        <v>#DIV/0!</v>
      </c>
      <c r="L63" s="316" t="e">
        <f t="shared" si="36"/>
        <v>#DIV/0!</v>
      </c>
      <c r="M63" s="316" t="e">
        <f t="shared" si="36"/>
        <v>#DIV/0!</v>
      </c>
      <c r="N63" s="316" t="e">
        <f t="shared" si="36"/>
        <v>#DIV/0!</v>
      </c>
      <c r="O63" s="316" t="e">
        <f>SUM(C63:N63)</f>
        <v>#DIV/0!</v>
      </c>
      <c r="P63" s="314"/>
    </row>
    <row r="64" spans="1:16" hidden="1">
      <c r="C64" s="315" t="e">
        <f>SUM(C59:C63)</f>
        <v>#DIV/0!</v>
      </c>
      <c r="D64" s="315" t="e">
        <f t="shared" ref="D64:N64" si="37">SUM(D59:D63)</f>
        <v>#DIV/0!</v>
      </c>
      <c r="E64" s="315" t="e">
        <f t="shared" si="37"/>
        <v>#DIV/0!</v>
      </c>
      <c r="F64" s="315" t="e">
        <f t="shared" si="37"/>
        <v>#DIV/0!</v>
      </c>
      <c r="G64" s="315" t="e">
        <f t="shared" si="37"/>
        <v>#DIV/0!</v>
      </c>
      <c r="H64" s="315" t="e">
        <f t="shared" si="37"/>
        <v>#DIV/0!</v>
      </c>
      <c r="I64" s="315" t="e">
        <f t="shared" si="37"/>
        <v>#DIV/0!</v>
      </c>
      <c r="J64" s="315" t="e">
        <f t="shared" si="37"/>
        <v>#DIV/0!</v>
      </c>
      <c r="K64" s="315" t="e">
        <f t="shared" si="37"/>
        <v>#DIV/0!</v>
      </c>
      <c r="L64" s="315" t="e">
        <f t="shared" si="37"/>
        <v>#DIV/0!</v>
      </c>
      <c r="M64" s="315" t="e">
        <f t="shared" si="37"/>
        <v>#DIV/0!</v>
      </c>
      <c r="N64" s="315" t="e">
        <f t="shared" si="37"/>
        <v>#DIV/0!</v>
      </c>
      <c r="O64" s="315" t="e">
        <f>SUM(O59:O63)</f>
        <v>#DIV/0!</v>
      </c>
      <c r="P64" s="314"/>
    </row>
    <row r="65" spans="2:16" hidden="1"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4"/>
    </row>
    <row r="66" spans="2:16" hidden="1">
      <c r="B66" t="s">
        <v>309</v>
      </c>
      <c r="C66" s="315" t="e">
        <f>C50+C59</f>
        <v>#DIV/0!</v>
      </c>
      <c r="D66" s="315" t="e">
        <f t="shared" ref="D66:N66" si="38">D50+D59</f>
        <v>#DIV/0!</v>
      </c>
      <c r="E66" s="315" t="e">
        <f t="shared" si="38"/>
        <v>#DIV/0!</v>
      </c>
      <c r="F66" s="315" t="e">
        <f t="shared" si="38"/>
        <v>#DIV/0!</v>
      </c>
      <c r="G66" s="315" t="e">
        <f t="shared" si="38"/>
        <v>#DIV/0!</v>
      </c>
      <c r="H66" s="315" t="e">
        <f t="shared" si="38"/>
        <v>#DIV/0!</v>
      </c>
      <c r="I66" s="315" t="e">
        <f t="shared" si="38"/>
        <v>#DIV/0!</v>
      </c>
      <c r="J66" s="315" t="e">
        <f t="shared" si="38"/>
        <v>#DIV/0!</v>
      </c>
      <c r="K66" s="315" t="e">
        <f t="shared" si="38"/>
        <v>#DIV/0!</v>
      </c>
      <c r="L66" s="315" t="e">
        <f t="shared" si="38"/>
        <v>#DIV/0!</v>
      </c>
      <c r="M66" s="315" t="e">
        <f t="shared" si="38"/>
        <v>#DIV/0!</v>
      </c>
      <c r="N66" s="315" t="e">
        <f t="shared" si="38"/>
        <v>#DIV/0!</v>
      </c>
      <c r="O66" s="315" t="e">
        <f>SUM(C66:N66)</f>
        <v>#DIV/0!</v>
      </c>
      <c r="P66" s="314"/>
    </row>
    <row r="67" spans="2:16" hidden="1">
      <c r="B67" t="s">
        <v>310</v>
      </c>
      <c r="C67" s="315" t="e">
        <f t="shared" ref="C67:N67" si="39">C51+C60</f>
        <v>#DIV/0!</v>
      </c>
      <c r="D67" s="315" t="e">
        <f t="shared" si="39"/>
        <v>#DIV/0!</v>
      </c>
      <c r="E67" s="315" t="e">
        <f t="shared" si="39"/>
        <v>#DIV/0!</v>
      </c>
      <c r="F67" s="315" t="e">
        <f t="shared" si="39"/>
        <v>#DIV/0!</v>
      </c>
      <c r="G67" s="315" t="e">
        <f t="shared" si="39"/>
        <v>#DIV/0!</v>
      </c>
      <c r="H67" s="315" t="e">
        <f t="shared" si="39"/>
        <v>#DIV/0!</v>
      </c>
      <c r="I67" s="315" t="e">
        <f t="shared" si="39"/>
        <v>#DIV/0!</v>
      </c>
      <c r="J67" s="315" t="e">
        <f t="shared" si="39"/>
        <v>#DIV/0!</v>
      </c>
      <c r="K67" s="315" t="e">
        <f t="shared" si="39"/>
        <v>#DIV/0!</v>
      </c>
      <c r="L67" s="315" t="e">
        <f t="shared" si="39"/>
        <v>#DIV/0!</v>
      </c>
      <c r="M67" s="315" t="e">
        <f t="shared" si="39"/>
        <v>#DIV/0!</v>
      </c>
      <c r="N67" s="315" t="e">
        <f t="shared" si="39"/>
        <v>#DIV/0!</v>
      </c>
      <c r="O67" s="315" t="e">
        <f t="shared" ref="O67:O68" si="40">SUM(C67:N67)</f>
        <v>#DIV/0!</v>
      </c>
      <c r="P67" s="314"/>
    </row>
    <row r="68" spans="2:16" hidden="1">
      <c r="B68" t="s">
        <v>314</v>
      </c>
      <c r="C68" s="315" t="e">
        <f t="shared" ref="C68:N68" si="41">C52+C61</f>
        <v>#DIV/0!</v>
      </c>
      <c r="D68" s="315" t="e">
        <f t="shared" si="41"/>
        <v>#DIV/0!</v>
      </c>
      <c r="E68" s="315" t="e">
        <f t="shared" si="41"/>
        <v>#DIV/0!</v>
      </c>
      <c r="F68" s="315" t="e">
        <f t="shared" si="41"/>
        <v>#DIV/0!</v>
      </c>
      <c r="G68" s="315" t="e">
        <f t="shared" si="41"/>
        <v>#DIV/0!</v>
      </c>
      <c r="H68" s="315" t="e">
        <f t="shared" si="41"/>
        <v>#DIV/0!</v>
      </c>
      <c r="I68" s="315" t="e">
        <f t="shared" si="41"/>
        <v>#DIV/0!</v>
      </c>
      <c r="J68" s="315" t="e">
        <f t="shared" si="41"/>
        <v>#DIV/0!</v>
      </c>
      <c r="K68" s="315" t="e">
        <f t="shared" si="41"/>
        <v>#DIV/0!</v>
      </c>
      <c r="L68" s="315" t="e">
        <f t="shared" si="41"/>
        <v>#DIV/0!</v>
      </c>
      <c r="M68" s="315" t="e">
        <f t="shared" si="41"/>
        <v>#DIV/0!</v>
      </c>
      <c r="N68" s="315" t="e">
        <f t="shared" si="41"/>
        <v>#DIV/0!</v>
      </c>
      <c r="O68" s="315" t="e">
        <f t="shared" si="40"/>
        <v>#DIV/0!</v>
      </c>
      <c r="P68" s="314"/>
    </row>
    <row r="69" spans="2:16" hidden="1">
      <c r="B69" t="s">
        <v>353</v>
      </c>
      <c r="C69" s="315" t="e">
        <f t="shared" ref="C69:N69" si="42">C53+C62</f>
        <v>#DIV/0!</v>
      </c>
      <c r="D69" s="315" t="e">
        <f t="shared" si="42"/>
        <v>#DIV/0!</v>
      </c>
      <c r="E69" s="315" t="e">
        <f t="shared" si="42"/>
        <v>#DIV/0!</v>
      </c>
      <c r="F69" s="315" t="e">
        <f t="shared" si="42"/>
        <v>#DIV/0!</v>
      </c>
      <c r="G69" s="315" t="e">
        <f t="shared" si="42"/>
        <v>#DIV/0!</v>
      </c>
      <c r="H69" s="315" t="e">
        <f t="shared" si="42"/>
        <v>#DIV/0!</v>
      </c>
      <c r="I69" s="315" t="e">
        <f t="shared" si="42"/>
        <v>#DIV/0!</v>
      </c>
      <c r="J69" s="315" t="e">
        <f t="shared" si="42"/>
        <v>#DIV/0!</v>
      </c>
      <c r="K69" s="315" t="e">
        <f t="shared" si="42"/>
        <v>#DIV/0!</v>
      </c>
      <c r="L69" s="315" t="e">
        <f t="shared" si="42"/>
        <v>#DIV/0!</v>
      </c>
      <c r="M69" s="315" t="e">
        <f t="shared" si="42"/>
        <v>#DIV/0!</v>
      </c>
      <c r="N69" s="315" t="e">
        <f t="shared" si="42"/>
        <v>#DIV/0!</v>
      </c>
      <c r="O69" s="315" t="e">
        <f>SUM(C69:N69)</f>
        <v>#DIV/0!</v>
      </c>
      <c r="P69" s="314"/>
    </row>
    <row r="70" spans="2:16" hidden="1">
      <c r="B70" t="s">
        <v>375</v>
      </c>
      <c r="C70" s="316" t="e">
        <f t="shared" ref="C70:N70" si="43">C54+C63</f>
        <v>#DIV/0!</v>
      </c>
      <c r="D70" s="316" t="e">
        <f t="shared" si="43"/>
        <v>#DIV/0!</v>
      </c>
      <c r="E70" s="316" t="e">
        <f t="shared" si="43"/>
        <v>#DIV/0!</v>
      </c>
      <c r="F70" s="316" t="e">
        <f t="shared" si="43"/>
        <v>#DIV/0!</v>
      </c>
      <c r="G70" s="316" t="e">
        <f t="shared" si="43"/>
        <v>#DIV/0!</v>
      </c>
      <c r="H70" s="316" t="e">
        <f t="shared" si="43"/>
        <v>#DIV/0!</v>
      </c>
      <c r="I70" s="316" t="e">
        <f t="shared" si="43"/>
        <v>#DIV/0!</v>
      </c>
      <c r="J70" s="316" t="e">
        <f t="shared" si="43"/>
        <v>#DIV/0!</v>
      </c>
      <c r="K70" s="316" t="e">
        <f t="shared" si="43"/>
        <v>#DIV/0!</v>
      </c>
      <c r="L70" s="316" t="e">
        <f t="shared" si="43"/>
        <v>#DIV/0!</v>
      </c>
      <c r="M70" s="316" t="e">
        <f t="shared" si="43"/>
        <v>#DIV/0!</v>
      </c>
      <c r="N70" s="316" t="e">
        <f t="shared" si="43"/>
        <v>#DIV/0!</v>
      </c>
      <c r="O70" s="316" t="e">
        <f t="shared" ref="O70" si="44">SUM(C70:N70)</f>
        <v>#DIV/0!</v>
      </c>
      <c r="P70" s="314"/>
    </row>
    <row r="71" spans="2:16" hidden="1">
      <c r="C71" s="315" t="e">
        <f t="shared" ref="C71:O71" si="45">SUM(C66:C70)</f>
        <v>#DIV/0!</v>
      </c>
      <c r="D71" s="315" t="e">
        <f t="shared" si="45"/>
        <v>#DIV/0!</v>
      </c>
      <c r="E71" s="315" t="e">
        <f t="shared" si="45"/>
        <v>#DIV/0!</v>
      </c>
      <c r="F71" s="315" t="e">
        <f t="shared" si="45"/>
        <v>#DIV/0!</v>
      </c>
      <c r="G71" s="315" t="e">
        <f t="shared" si="45"/>
        <v>#DIV/0!</v>
      </c>
      <c r="H71" s="315" t="e">
        <f t="shared" si="45"/>
        <v>#DIV/0!</v>
      </c>
      <c r="I71" s="315" t="e">
        <f t="shared" si="45"/>
        <v>#DIV/0!</v>
      </c>
      <c r="J71" s="315" t="e">
        <f t="shared" si="45"/>
        <v>#DIV/0!</v>
      </c>
      <c r="K71" s="315" t="e">
        <f t="shared" si="45"/>
        <v>#DIV/0!</v>
      </c>
      <c r="L71" s="315" t="e">
        <f t="shared" si="45"/>
        <v>#DIV/0!</v>
      </c>
      <c r="M71" s="315" t="e">
        <f t="shared" si="45"/>
        <v>#DIV/0!</v>
      </c>
      <c r="N71" s="315" t="e">
        <f t="shared" si="45"/>
        <v>#DIV/0!</v>
      </c>
      <c r="O71" s="315" t="e">
        <f t="shared" si="45"/>
        <v>#DIV/0!</v>
      </c>
      <c r="P71" s="314"/>
    </row>
    <row r="72" spans="2:16" hidden="1">
      <c r="C72" s="308" t="e">
        <f t="shared" ref="C72:O72" si="46">C71-C56</f>
        <v>#DIV/0!</v>
      </c>
      <c r="D72" s="308" t="e">
        <f t="shared" si="46"/>
        <v>#DIV/0!</v>
      </c>
      <c r="E72" s="308" t="e">
        <f t="shared" si="46"/>
        <v>#DIV/0!</v>
      </c>
      <c r="F72" s="308" t="e">
        <f t="shared" si="46"/>
        <v>#DIV/0!</v>
      </c>
      <c r="G72" s="308" t="e">
        <f t="shared" si="46"/>
        <v>#DIV/0!</v>
      </c>
      <c r="H72" s="308" t="e">
        <f t="shared" si="46"/>
        <v>#DIV/0!</v>
      </c>
      <c r="I72" s="308" t="e">
        <f t="shared" si="46"/>
        <v>#DIV/0!</v>
      </c>
      <c r="J72" s="308" t="e">
        <f t="shared" si="46"/>
        <v>#DIV/0!</v>
      </c>
      <c r="K72" s="308" t="e">
        <f t="shared" si="46"/>
        <v>#DIV/0!</v>
      </c>
      <c r="L72" s="308" t="e">
        <f t="shared" si="46"/>
        <v>#DIV/0!</v>
      </c>
      <c r="M72" s="308" t="e">
        <f t="shared" si="46"/>
        <v>#DIV/0!</v>
      </c>
      <c r="N72" s="308" t="e">
        <f t="shared" si="46"/>
        <v>#DIV/0!</v>
      </c>
      <c r="O72" s="308" t="e">
        <f t="shared" si="46"/>
        <v>#DIV/0!</v>
      </c>
      <c r="P72" s="314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autoPageBreaks="0"/>
  </sheetPr>
  <dimension ref="A1:AT118"/>
  <sheetViews>
    <sheetView showGridLines="0" tabSelected="1" zoomScaleNormal="100" workbookViewId="0">
      <pane xSplit="2" ySplit="4" topLeftCell="C5" activePane="bottomRight" state="frozen"/>
      <selection pane="topRight"/>
      <selection pane="bottomLeft"/>
      <selection pane="bottomRight" activeCell="B107" sqref="B107:B108"/>
    </sheetView>
  </sheetViews>
  <sheetFormatPr defaultRowHeight="12.75" outlineLevelCol="1"/>
  <cols>
    <col min="1" max="1" width="3.5703125" bestFit="1" customWidth="1"/>
    <col min="2" max="2" width="44.5703125" style="349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312"/>
      <c r="Q2" s="30" t="s">
        <v>90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204</v>
      </c>
      <c r="X2" s="192" t="s">
        <v>216</v>
      </c>
    </row>
    <row r="3" spans="1:32">
      <c r="B3" s="29" t="s">
        <v>101</v>
      </c>
      <c r="O3" s="188" t="s">
        <v>271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362</v>
      </c>
      <c r="X3" s="192" t="s">
        <v>362</v>
      </c>
      <c r="Y3" t="s">
        <v>355</v>
      </c>
      <c r="Z3" t="s">
        <v>356</v>
      </c>
    </row>
    <row r="4" spans="1:32">
      <c r="B4" s="29" t="s">
        <v>57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58</v>
      </c>
      <c r="P4" s="31"/>
      <c r="Q4" s="45" t="s">
        <v>89</v>
      </c>
      <c r="R4" s="45" t="s">
        <v>89</v>
      </c>
      <c r="S4" s="45" t="s">
        <v>89</v>
      </c>
      <c r="T4" s="45" t="s">
        <v>89</v>
      </c>
      <c r="U4" s="45" t="s">
        <v>89</v>
      </c>
      <c r="W4" s="343" t="s">
        <v>361</v>
      </c>
      <c r="X4" s="343" t="s">
        <v>361</v>
      </c>
      <c r="Y4" s="328" t="s">
        <v>214</v>
      </c>
      <c r="Z4" s="328" t="s">
        <v>214</v>
      </c>
    </row>
    <row r="5" spans="1:32">
      <c r="A5" s="421">
        <v>1</v>
      </c>
      <c r="B5" s="426"/>
      <c r="C5" s="374">
        <v>14610</v>
      </c>
      <c r="D5" s="374">
        <v>12772</v>
      </c>
      <c r="E5" s="374">
        <v>13260</v>
      </c>
      <c r="F5" s="374">
        <v>13522</v>
      </c>
      <c r="G5" s="374">
        <v>10702</v>
      </c>
      <c r="H5" s="374">
        <v>12361</v>
      </c>
      <c r="I5" s="374">
        <v>13216</v>
      </c>
      <c r="J5" s="374">
        <v>15090</v>
      </c>
      <c r="K5" s="374">
        <v>13617</v>
      </c>
      <c r="L5" s="374">
        <v>13657</v>
      </c>
      <c r="M5" s="374">
        <v>11810</v>
      </c>
      <c r="N5" s="374">
        <v>12358</v>
      </c>
      <c r="O5" s="446">
        <f t="shared" ref="O5:O40" si="1">SUM(C5:N5)</f>
        <v>156975</v>
      </c>
      <c r="P5" s="446"/>
      <c r="Q5" s="446" cm="1">
        <f t="array" ref="Q5">Q$3*12-SUMPRODUCT(--($C5:$N5&lt;=Q$3),Q$3-$C5:$N5)</f>
        <v>156975</v>
      </c>
      <c r="R5" s="446">
        <f>R$3*12-SUM($Q5:Q5)-SUMPRODUCT(--($C5:$N5&lt;=R$3),R$3-$C5:$N5)</f>
        <v>0</v>
      </c>
      <c r="S5" s="446">
        <f>S$3*12-SUM($Q5:R5)-SUMPRODUCT(--($C5:$N5&lt;=S$3),S$3-$C5:$N5)</f>
        <v>0</v>
      </c>
      <c r="T5" s="446">
        <f>T$3*12-SUM($Q5:S5)-SUMPRODUCT(--($C5:$N5&lt;=T$3),T$3-$C5:$N5)</f>
        <v>0</v>
      </c>
      <c r="U5" s="446">
        <f>U$3*12-SUM($Q5:T5)-SUMPRODUCT(--($C5:$N5&lt;=U$3),U$3-$C5:$N5)</f>
        <v>0</v>
      </c>
      <c r="V5" s="447"/>
      <c r="W5" s="446">
        <f>IF(O5&lt;250000,(250000-O5)*'JDM-7 pg 3'!$E$56,0)</f>
        <v>10286.7045</v>
      </c>
      <c r="X5" s="446">
        <f>IF(O5&lt;250000,(250000-O5)*'JDM-7 pg 3'!$K$56,0)</f>
        <v>11639.288</v>
      </c>
      <c r="Y5" s="448">
        <f>Q5*'JDM-7 pg 3'!$D$51+'Big Schedules'!R5*'JDM-7 pg 3'!$D$52+'Big Schedules'!S5*'JDM-7 pg 3'!$D$53+'Big Schedules'!T5*'JDM-7 pg 3'!$D$54+'Big Schedules'!U5*'JDM-7 pg 3'!$D$55+'JDM-7 pg 3'!$D$49*12+W5</f>
        <v>38198.697</v>
      </c>
      <c r="Z5" s="448">
        <f>Q5*'JDM-7 pg 3'!$K$51+'Big Schedules'!R5*'JDM-7 pg 3'!$K$52+'Big Schedules'!S5*'JDM-7 pg 3'!$K$53+'Big Schedules'!T5*'JDM-7 pg 3'!$K$54+'Big Schedules'!U5*'JDM-7 pg 3'!$K$55+'JDM-7 pg 3'!$K$49*12+X5</f>
        <v>43916.251999999993</v>
      </c>
      <c r="AA5" s="449">
        <f t="shared" ref="AA5:AA44" si="2">Z5/Y5-1</f>
        <v>0.14967932021346164</v>
      </c>
      <c r="AB5" s="450"/>
      <c r="AC5" s="450"/>
      <c r="AD5" s="326"/>
      <c r="AE5" s="326"/>
      <c r="AF5" s="326"/>
    </row>
    <row r="6" spans="1:32">
      <c r="A6" s="421">
        <v>2</v>
      </c>
      <c r="B6" s="426"/>
      <c r="C6" s="374">
        <v>74001</v>
      </c>
      <c r="D6" s="374">
        <v>75480</v>
      </c>
      <c r="E6" s="374">
        <v>70177</v>
      </c>
      <c r="F6" s="374">
        <v>73755</v>
      </c>
      <c r="G6" s="374">
        <v>59924</v>
      </c>
      <c r="H6" s="374">
        <v>71053</v>
      </c>
      <c r="I6" s="374">
        <v>71703</v>
      </c>
      <c r="J6" s="374">
        <v>69418</v>
      </c>
      <c r="K6" s="374">
        <v>85650</v>
      </c>
      <c r="L6" s="374">
        <v>84975</v>
      </c>
      <c r="M6" s="374">
        <v>86324</v>
      </c>
      <c r="N6" s="374">
        <v>81367</v>
      </c>
      <c r="O6" s="446">
        <f t="shared" si="1"/>
        <v>903827</v>
      </c>
      <c r="P6" s="446"/>
      <c r="Q6" s="446" cm="1">
        <f t="array" ref="Q6">Q$3*12-SUMPRODUCT(--($C6:$N6&lt;=Q$3),Q$3-$C6:$N6)</f>
        <v>240000</v>
      </c>
      <c r="R6" s="446">
        <f>R$3*12-SUM($Q6:Q6)-SUMPRODUCT(--($C6:$N6&lt;=R$3),R$3-$C6:$N6)</f>
        <v>360000</v>
      </c>
      <c r="S6" s="446">
        <f>S$3*12-SUM($Q6:R6)-SUMPRODUCT(--($C6:$N6&lt;=S$3),S$3-$C6:$N6)</f>
        <v>303827</v>
      </c>
      <c r="T6" s="446">
        <f>T$3*12-SUM($Q6:S6)-SUMPRODUCT(--($C6:$N6&lt;=T$3),T$3-$C6:$N6)</f>
        <v>0</v>
      </c>
      <c r="U6" s="446">
        <f>U$3*12-SUM($Q6:T6)-SUMPRODUCT(--($C6:$N6&lt;=U$3),U$3-$C6:$N6)</f>
        <v>0</v>
      </c>
      <c r="V6" s="447"/>
      <c r="W6" s="446">
        <f>IF(O6&lt;250000,(250000-O6)*'JDM-7 pg 3'!$E$56,0)</f>
        <v>0</v>
      </c>
      <c r="X6" s="446">
        <f>IF(O6&lt;250000,(250000-O6)*'JDM-7 pg 3'!$K$56,0)</f>
        <v>0</v>
      </c>
      <c r="Y6" s="448">
        <f>Q6*'JDM-7 pg 3'!$D$51+'Big Schedules'!R6*'JDM-7 pg 3'!$D$52+'Big Schedules'!S6*'JDM-7 pg 3'!$D$53+'Big Schedules'!T6*'JDM-7 pg 3'!$D$54+'Big Schedules'!U6*'JDM-7 pg 3'!$D$55+'JDM-7 pg 3'!$D$49*12+W6</f>
        <v>108335.39017</v>
      </c>
      <c r="Z6" s="448">
        <f>Q6*'JDM-7 pg 3'!$K$51+'Big Schedules'!R6*'JDM-7 pg 3'!$K$52+'Big Schedules'!S6*'JDM-7 pg 3'!$K$53+'Big Schedules'!T6*'JDM-7 pg 3'!$K$54+'Big Schedules'!U6*'JDM-7 pg 3'!$K$55+'JDM-7 pg 3'!$K$49*12+X6</f>
        <v>123274.56213999999</v>
      </c>
      <c r="AA6" s="449">
        <f t="shared" si="2"/>
        <v>0.13789743080776673</v>
      </c>
      <c r="AB6" s="447"/>
      <c r="AC6" s="447"/>
    </row>
    <row r="7" spans="1:32">
      <c r="A7" s="421">
        <v>3</v>
      </c>
      <c r="B7" s="426"/>
      <c r="C7" s="374">
        <v>22471</v>
      </c>
      <c r="D7" s="374">
        <v>18945</v>
      </c>
      <c r="E7" s="374">
        <v>19294</v>
      </c>
      <c r="F7" s="374">
        <v>19386</v>
      </c>
      <c r="G7" s="374">
        <v>21426</v>
      </c>
      <c r="H7" s="374">
        <v>29090</v>
      </c>
      <c r="I7" s="374">
        <v>31444</v>
      </c>
      <c r="J7" s="374">
        <v>31447</v>
      </c>
      <c r="K7" s="374">
        <v>29339</v>
      </c>
      <c r="L7" s="374">
        <v>31835</v>
      </c>
      <c r="M7" s="374">
        <v>25502</v>
      </c>
      <c r="N7" s="374">
        <v>22488</v>
      </c>
      <c r="O7" s="446">
        <f t="shared" si="1"/>
        <v>302667</v>
      </c>
      <c r="P7" s="446"/>
      <c r="Q7" s="446" cm="1">
        <f t="array" ref="Q7">Q$3*12-SUMPRODUCT(--($C7:$N7&lt;=Q$3),Q$3-$C7:$N7)</f>
        <v>237625</v>
      </c>
      <c r="R7" s="446">
        <f>R$3*12-SUM($Q7:Q7)-SUMPRODUCT(--($C7:$N7&lt;=R$3),R$3-$C7:$N7)</f>
        <v>65042</v>
      </c>
      <c r="S7" s="446">
        <f>S$3*12-SUM($Q7:R7)-SUMPRODUCT(--($C7:$N7&lt;=S$3),S$3-$C7:$N7)</f>
        <v>0</v>
      </c>
      <c r="T7" s="446">
        <f>T$3*12-SUM($Q7:S7)-SUMPRODUCT(--($C7:$N7&lt;=T$3),T$3-$C7:$N7)</f>
        <v>0</v>
      </c>
      <c r="U7" s="446">
        <f>U$3*12-SUM($Q7:T7)-SUMPRODUCT(--($C7:$N7&lt;=U$3),U$3-$C7:$N7)</f>
        <v>0</v>
      </c>
      <c r="V7" s="447"/>
      <c r="W7" s="446">
        <f>IF(O7&lt;250000,(250000-O7)*'JDM-7 pg 3'!$E$56,0)</f>
        <v>0</v>
      </c>
      <c r="X7" s="446">
        <f>IF(O7&lt;250000,(250000-O7)*'JDM-7 pg 3'!$K$56,0)</f>
        <v>0</v>
      </c>
      <c r="Y7" s="448">
        <f>Q7*'JDM-7 pg 3'!$D$51+'Big Schedules'!R7*'JDM-7 pg 3'!$D$52+'Big Schedules'!S7*'JDM-7 pg 3'!$D$53+'Big Schedules'!T7*'JDM-7 pg 3'!$D$54+'Big Schedules'!U7*'JDM-7 pg 3'!$D$55+'JDM-7 pg 3'!$D$49*12+W7</f>
        <v>45129.131860000001</v>
      </c>
      <c r="Z7" s="448">
        <f>Q7*'JDM-7 pg 3'!$K$51+'Big Schedules'!R7*'JDM-7 pg 3'!$K$52+'Big Schedules'!S7*'JDM-7 pg 3'!$K$53+'Big Schedules'!T7*'JDM-7 pg 3'!$K$54+'Big Schedules'!U7*'JDM-7 pg 3'!$K$55+'JDM-7 pg 3'!$K$49*12+X7</f>
        <v>51757.635039999994</v>
      </c>
      <c r="AA7" s="449">
        <f t="shared" si="2"/>
        <v>0.1468785883265602</v>
      </c>
      <c r="AB7" s="447"/>
      <c r="AC7" s="447"/>
    </row>
    <row r="8" spans="1:32">
      <c r="A8" s="421">
        <v>4</v>
      </c>
      <c r="B8" s="426"/>
      <c r="C8" s="374">
        <v>28066</v>
      </c>
      <c r="D8" s="374">
        <v>28760</v>
      </c>
      <c r="E8" s="374">
        <v>29196</v>
      </c>
      <c r="F8" s="374">
        <v>26562</v>
      </c>
      <c r="G8" s="374">
        <v>29801</v>
      </c>
      <c r="H8" s="374">
        <v>27545</v>
      </c>
      <c r="I8" s="374">
        <v>30564</v>
      </c>
      <c r="J8" s="374">
        <v>29223</v>
      </c>
      <c r="K8" s="374">
        <v>26443</v>
      </c>
      <c r="L8" s="374">
        <v>30556</v>
      </c>
      <c r="M8" s="374">
        <v>33071</v>
      </c>
      <c r="N8" s="374">
        <v>31883</v>
      </c>
      <c r="O8" s="446">
        <f t="shared" si="1"/>
        <v>351670</v>
      </c>
      <c r="P8" s="446"/>
      <c r="Q8" s="446" cm="1">
        <f t="array" ref="Q8">Q$3*12-SUMPRODUCT(--($C8:$N8&lt;=Q$3),Q$3-$C8:$N8)</f>
        <v>240000</v>
      </c>
      <c r="R8" s="446">
        <f>R$3*12-SUM($Q8:Q8)-SUMPRODUCT(--($C8:$N8&lt;=R$3),R$3-$C8:$N8)</f>
        <v>111670</v>
      </c>
      <c r="S8" s="446">
        <f>S$3*12-SUM($Q8:R8)-SUMPRODUCT(--($C8:$N8&lt;=S$3),S$3-$C8:$N8)</f>
        <v>0</v>
      </c>
      <c r="T8" s="446">
        <f>T$3*12-SUM($Q8:S8)-SUMPRODUCT(--($C8:$N8&lt;=T$3),T$3-$C8:$N8)</f>
        <v>0</v>
      </c>
      <c r="U8" s="446">
        <f>U$3*12-SUM($Q8:T8)-SUMPRODUCT(--($C8:$N8&lt;=U$3),U$3-$C8:$N8)</f>
        <v>0</v>
      </c>
      <c r="V8" s="447"/>
      <c r="W8" s="446">
        <f>IF(O8&lt;250000,(250000-O8)*'JDM-7 pg 3'!$E$56,0)</f>
        <v>0</v>
      </c>
      <c r="X8" s="446">
        <f>IF(O8&lt;250000,(250000-O8)*'JDM-7 pg 3'!$K$56,0)</f>
        <v>0</v>
      </c>
      <c r="Y8" s="448">
        <f>Q8*'JDM-7 pg 3'!$D$51+'Big Schedules'!R8*'JDM-7 pg 3'!$D$52+'Big Schedules'!S8*'JDM-7 pg 3'!$D$53+'Big Schedules'!T8*'JDM-7 pg 3'!$D$54+'Big Schedules'!U8*'JDM-7 pg 3'!$D$55+'JDM-7 pg 3'!$D$49*12+W8</f>
        <v>50580.4686</v>
      </c>
      <c r="Z8" s="448">
        <f>Q8*'JDM-7 pg 3'!$K$51+'Big Schedules'!R8*'JDM-7 pg 3'!$K$52+'Big Schedules'!S8*'JDM-7 pg 3'!$K$53+'Big Schedules'!T8*'JDM-7 pg 3'!$K$54+'Big Schedules'!U8*'JDM-7 pg 3'!$K$55+'JDM-7 pg 3'!$K$49*12+X8</f>
        <v>57925.750399999997</v>
      </c>
      <c r="AA8" s="449">
        <f t="shared" si="2"/>
        <v>0.14521972617707224</v>
      </c>
      <c r="AB8" s="447"/>
      <c r="AC8" s="447"/>
    </row>
    <row r="9" spans="1:32">
      <c r="A9" s="421">
        <v>5</v>
      </c>
      <c r="B9" s="426"/>
      <c r="C9" s="374">
        <v>26365</v>
      </c>
      <c r="D9" s="374">
        <v>20836</v>
      </c>
      <c r="E9" s="374">
        <v>22756</v>
      </c>
      <c r="F9" s="374">
        <v>23784</v>
      </c>
      <c r="G9" s="374">
        <v>25179</v>
      </c>
      <c r="H9" s="374">
        <v>28086</v>
      </c>
      <c r="I9" s="374">
        <v>29797</v>
      </c>
      <c r="J9" s="374">
        <v>26975</v>
      </c>
      <c r="K9" s="374">
        <v>23903</v>
      </c>
      <c r="L9" s="374">
        <v>23595</v>
      </c>
      <c r="M9" s="374">
        <v>22418</v>
      </c>
      <c r="N9" s="374">
        <v>21662</v>
      </c>
      <c r="O9" s="446">
        <f t="shared" si="1"/>
        <v>295356</v>
      </c>
      <c r="P9" s="446"/>
      <c r="Q9" s="446" cm="1">
        <f t="array" ref="Q9">Q$3*12-SUMPRODUCT(--($C9:$N9&lt;=Q$3),Q$3-$C9:$N9)</f>
        <v>240000</v>
      </c>
      <c r="R9" s="446">
        <f>R$3*12-SUM($Q9:Q9)-SUMPRODUCT(--($C9:$N9&lt;=R$3),R$3-$C9:$N9)</f>
        <v>55356</v>
      </c>
      <c r="S9" s="446">
        <f>S$3*12-SUM($Q9:R9)-SUMPRODUCT(--($C9:$N9&lt;=S$3),S$3-$C9:$N9)</f>
        <v>0</v>
      </c>
      <c r="T9" s="446">
        <f>T$3*12-SUM($Q9:S9)-SUMPRODUCT(--($C9:$N9&lt;=T$3),T$3-$C9:$N9)</f>
        <v>0</v>
      </c>
      <c r="U9" s="446">
        <f>U$3*12-SUM($Q9:T9)-SUMPRODUCT(--($C9:$N9&lt;=U$3),U$3-$C9:$N9)</f>
        <v>0</v>
      </c>
      <c r="V9" s="447"/>
      <c r="W9" s="446">
        <f>IF(O9&lt;250000,(250000-O9)*'JDM-7 pg 3'!$E$56,0)</f>
        <v>0</v>
      </c>
      <c r="X9" s="446">
        <f>IF(O9&lt;250000,(250000-O9)*'JDM-7 pg 3'!$K$56,0)</f>
        <v>0</v>
      </c>
      <c r="Y9" s="448">
        <f>Q9*'JDM-7 pg 3'!$D$51+'Big Schedules'!R9*'JDM-7 pg 3'!$D$52+'Big Schedules'!S9*'JDM-7 pg 3'!$D$53+'Big Schedules'!T9*'JDM-7 pg 3'!$D$54+'Big Schedules'!U9*'JDM-7 pg 3'!$D$55+'JDM-7 pg 3'!$D$49*12+W9</f>
        <v>44353.266479999998</v>
      </c>
      <c r="Z9" s="448">
        <f>Q9*'JDM-7 pg 3'!$K$51+'Big Schedules'!R9*'JDM-7 pg 3'!$K$52+'Big Schedules'!S9*'JDM-7 pg 3'!$K$53+'Big Schedules'!T9*'JDM-7 pg 3'!$K$54+'Big Schedules'!U9*'JDM-7 pg 3'!$K$55+'JDM-7 pg 3'!$K$49*12+X9</f>
        <v>50879.742720000002</v>
      </c>
      <c r="AA9" s="449">
        <f t="shared" si="2"/>
        <v>0.14714758929746363</v>
      </c>
      <c r="AB9" s="447"/>
      <c r="AC9" s="447"/>
    </row>
    <row r="10" spans="1:32">
      <c r="A10" s="421">
        <v>6</v>
      </c>
      <c r="B10" s="426"/>
      <c r="C10" s="374">
        <v>40509</v>
      </c>
      <c r="D10" s="374">
        <v>36133</v>
      </c>
      <c r="E10" s="374">
        <v>34544</v>
      </c>
      <c r="F10" s="374">
        <v>37111</v>
      </c>
      <c r="G10" s="374">
        <v>45805</v>
      </c>
      <c r="H10" s="374">
        <v>82615</v>
      </c>
      <c r="I10" s="374">
        <v>93741</v>
      </c>
      <c r="J10" s="374">
        <v>78346</v>
      </c>
      <c r="K10" s="374">
        <v>70090</v>
      </c>
      <c r="L10" s="374">
        <v>68080</v>
      </c>
      <c r="M10" s="374">
        <v>52696</v>
      </c>
      <c r="N10" s="374">
        <v>39526</v>
      </c>
      <c r="O10" s="446">
        <f t="shared" si="1"/>
        <v>679196</v>
      </c>
      <c r="P10" s="446"/>
      <c r="Q10" s="446" cm="1">
        <f t="array" ref="Q10">Q$3*12-SUMPRODUCT(--($C10:$N10&lt;=Q$3),Q$3-$C10:$N10)</f>
        <v>240000</v>
      </c>
      <c r="R10" s="446">
        <f>R$3*12-SUM($Q10:Q10)-SUMPRODUCT(--($C10:$N10&lt;=R$3),R$3-$C10:$N10)</f>
        <v>293628</v>
      </c>
      <c r="S10" s="446">
        <f>S$3*12-SUM($Q10:R10)-SUMPRODUCT(--($C10:$N10&lt;=S$3),S$3-$C10:$N10)</f>
        <v>145568</v>
      </c>
      <c r="T10" s="446">
        <f>T$3*12-SUM($Q10:S10)-SUMPRODUCT(--($C10:$N10&lt;=T$3),T$3-$C10:$N10)</f>
        <v>0</v>
      </c>
      <c r="U10" s="446">
        <f>U$3*12-SUM($Q10:T10)-SUMPRODUCT(--($C10:$N10&lt;=U$3),U$3-$C10:$N10)</f>
        <v>0</v>
      </c>
      <c r="V10" s="447"/>
      <c r="W10" s="446">
        <f>IF(O10&lt;250000,(250000-O10)*'JDM-7 pg 3'!$E$56,0)</f>
        <v>0</v>
      </c>
      <c r="X10" s="446">
        <f>IF(O10&lt;250000,(250000-O10)*'JDM-7 pg 3'!$K$56,0)</f>
        <v>0</v>
      </c>
      <c r="Y10" s="448">
        <f>Q10*'JDM-7 pg 3'!$D$51+'Big Schedules'!R10*'JDM-7 pg 3'!$D$52+'Big Schedules'!S10*'JDM-7 pg 3'!$D$53+'Big Schedules'!T10*'JDM-7 pg 3'!$D$54+'Big Schedules'!U10*'JDM-7 pg 3'!$D$55+'JDM-7 pg 3'!$D$49*12+W10</f>
        <v>85215.969519999999</v>
      </c>
      <c r="Z10" s="448">
        <f>Q10*'JDM-7 pg 3'!$K$51+'Big Schedules'!R10*'JDM-7 pg 3'!$K$52+'Big Schedules'!S10*'JDM-7 pg 3'!$K$53+'Big Schedules'!T10*'JDM-7 pg 3'!$K$54+'Big Schedules'!U10*'JDM-7 pg 3'!$K$55+'JDM-7 pg 3'!$K$49*12+X10</f>
        <v>97115.317119999992</v>
      </c>
      <c r="AA10" s="449">
        <f t="shared" si="2"/>
        <v>0.13963753116963895</v>
      </c>
      <c r="AB10" s="447"/>
      <c r="AC10" s="447"/>
    </row>
    <row r="11" spans="1:32">
      <c r="A11" s="421">
        <v>7</v>
      </c>
      <c r="B11" s="426"/>
      <c r="C11" s="374">
        <v>31116</v>
      </c>
      <c r="D11" s="374">
        <v>27584</v>
      </c>
      <c r="E11" s="374">
        <v>32584</v>
      </c>
      <c r="F11" s="374">
        <v>28928</v>
      </c>
      <c r="G11" s="374">
        <v>29328</v>
      </c>
      <c r="H11" s="374">
        <v>32073</v>
      </c>
      <c r="I11" s="374">
        <v>31797</v>
      </c>
      <c r="J11" s="374">
        <v>35342</v>
      </c>
      <c r="K11" s="374">
        <v>35192</v>
      </c>
      <c r="L11" s="374">
        <v>37359</v>
      </c>
      <c r="M11" s="374">
        <v>28979</v>
      </c>
      <c r="N11" s="374">
        <v>29875</v>
      </c>
      <c r="O11" s="446">
        <f t="shared" si="1"/>
        <v>380157</v>
      </c>
      <c r="P11" s="446"/>
      <c r="Q11" s="446" cm="1">
        <f t="array" ref="Q11">Q$3*12-SUMPRODUCT(--($C11:$N11&lt;=Q$3),Q$3-$C11:$N11)</f>
        <v>240000</v>
      </c>
      <c r="R11" s="446">
        <f>R$3*12-SUM($Q11:Q11)-SUMPRODUCT(--($C11:$N11&lt;=R$3),R$3-$C11:$N11)</f>
        <v>140157</v>
      </c>
      <c r="S11" s="446">
        <f>S$3*12-SUM($Q11:R11)-SUMPRODUCT(--($C11:$N11&lt;=S$3),S$3-$C11:$N11)</f>
        <v>0</v>
      </c>
      <c r="T11" s="446">
        <f>T$3*12-SUM($Q11:S11)-SUMPRODUCT(--($C11:$N11&lt;=T$3),T$3-$C11:$N11)</f>
        <v>0</v>
      </c>
      <c r="U11" s="446">
        <f>U$3*12-SUM($Q11:T11)-SUMPRODUCT(--($C11:$N11&lt;=U$3),U$3-$C11:$N11)</f>
        <v>0</v>
      </c>
      <c r="V11" s="447"/>
      <c r="W11" s="446">
        <f>IF(O11&lt;250000,(250000-O11)*'JDM-7 pg 3'!$E$56,0)</f>
        <v>0</v>
      </c>
      <c r="X11" s="446">
        <f>IF(O11&lt;250000,(250000-O11)*'JDM-7 pg 3'!$K$56,0)</f>
        <v>0</v>
      </c>
      <c r="Y11" s="448">
        <f>Q11*'JDM-7 pg 3'!$D$51+'Big Schedules'!R11*'JDM-7 pg 3'!$D$52+'Big Schedules'!S11*'JDM-7 pg 3'!$D$53+'Big Schedules'!T11*'JDM-7 pg 3'!$D$54+'Big Schedules'!U11*'JDM-7 pg 3'!$D$55+'JDM-7 pg 3'!$D$49*12+W11</f>
        <v>53730.56106</v>
      </c>
      <c r="Z11" s="448">
        <f>Q11*'JDM-7 pg 3'!$K$51+'Big Schedules'!R11*'JDM-7 pg 3'!$K$52+'Big Schedules'!S11*'JDM-7 pg 3'!$K$53+'Big Schedules'!T11*'JDM-7 pg 3'!$K$54+'Big Schedules'!U11*'JDM-7 pg 3'!$K$55+'JDM-7 pg 3'!$K$49*12+X11</f>
        <v>61490.043839999998</v>
      </c>
      <c r="AA11" s="449">
        <f t="shared" si="2"/>
        <v>0.14441469857973588</v>
      </c>
      <c r="AB11" s="447"/>
      <c r="AC11" s="447"/>
    </row>
    <row r="12" spans="1:32">
      <c r="A12" s="421">
        <v>8</v>
      </c>
      <c r="B12" s="426"/>
      <c r="C12" s="374">
        <v>35984</v>
      </c>
      <c r="D12" s="374">
        <v>30714</v>
      </c>
      <c r="E12" s="374">
        <v>38375</v>
      </c>
      <c r="F12" s="374">
        <v>36472</v>
      </c>
      <c r="G12" s="374">
        <v>42695</v>
      </c>
      <c r="H12" s="374">
        <v>69204</v>
      </c>
      <c r="I12" s="374">
        <v>58337</v>
      </c>
      <c r="J12" s="374">
        <v>49818</v>
      </c>
      <c r="K12" s="374">
        <v>60876</v>
      </c>
      <c r="L12" s="374">
        <v>61398</v>
      </c>
      <c r="M12" s="374">
        <v>53708</v>
      </c>
      <c r="N12" s="374">
        <v>36110</v>
      </c>
      <c r="O12" s="446">
        <f t="shared" si="1"/>
        <v>573691</v>
      </c>
      <c r="P12" s="446"/>
      <c r="Q12" s="446" cm="1">
        <f t="array" ref="Q12">Q$3*12-SUMPRODUCT(--($C12:$N12&lt;=Q$3),Q$3-$C12:$N12)</f>
        <v>240000</v>
      </c>
      <c r="R12" s="446">
        <f>R$3*12-SUM($Q12:Q12)-SUMPRODUCT(--($C12:$N12&lt;=R$3),R$3-$C12:$N12)</f>
        <v>280168</v>
      </c>
      <c r="S12" s="446">
        <f>S$3*12-SUM($Q12:R12)-SUMPRODUCT(--($C12:$N12&lt;=S$3),S$3-$C12:$N12)</f>
        <v>53523</v>
      </c>
      <c r="T12" s="446">
        <f>T$3*12-SUM($Q12:S12)-SUMPRODUCT(--($C12:$N12&lt;=T$3),T$3-$C12:$N12)</f>
        <v>0</v>
      </c>
      <c r="U12" s="446">
        <f>U$3*12-SUM($Q12:T12)-SUMPRODUCT(--($C12:$N12&lt;=U$3),U$3-$C12:$N12)</f>
        <v>0</v>
      </c>
      <c r="V12" s="447"/>
      <c r="W12" s="446">
        <f>IF(O12&lt;250000,(250000-O12)*'JDM-7 pg 3'!$E$56,0)</f>
        <v>0</v>
      </c>
      <c r="X12" s="446">
        <f>IF(O12&lt;250000,(250000-O12)*'JDM-7 pg 3'!$K$56,0)</f>
        <v>0</v>
      </c>
      <c r="Y12" s="448">
        <f>Q12*'JDM-7 pg 3'!$D$51+'Big Schedules'!R12*'JDM-7 pg 3'!$D$52+'Big Schedules'!S12*'JDM-7 pg 3'!$D$53+'Big Schedules'!T12*'JDM-7 pg 3'!$D$54+'Big Schedules'!U12*'JDM-7 pg 3'!$D$55+'JDM-7 pg 3'!$D$49*12+W12</f>
        <v>74549.755770000003</v>
      </c>
      <c r="Z12" s="448">
        <f>Q12*'JDM-7 pg 3'!$K$51+'Big Schedules'!R12*'JDM-7 pg 3'!$K$52+'Big Schedules'!S12*'JDM-7 pg 3'!$K$53+'Big Schedules'!T12*'JDM-7 pg 3'!$K$54+'Big Schedules'!U12*'JDM-7 pg 3'!$K$55+'JDM-7 pg 3'!$K$49*12+X12</f>
        <v>85046.685020000004</v>
      </c>
      <c r="AA12" s="449">
        <f t="shared" si="2"/>
        <v>0.14080434122929919</v>
      </c>
      <c r="AB12" s="447"/>
      <c r="AC12" s="447"/>
    </row>
    <row r="13" spans="1:32">
      <c r="A13" s="421">
        <v>9</v>
      </c>
      <c r="B13" s="426"/>
      <c r="C13" s="374">
        <v>16803</v>
      </c>
      <c r="D13" s="374">
        <v>21715</v>
      </c>
      <c r="E13" s="374">
        <v>17488</v>
      </c>
      <c r="F13" s="374">
        <v>11471</v>
      </c>
      <c r="G13" s="374">
        <v>12811</v>
      </c>
      <c r="H13" s="374">
        <v>20373</v>
      </c>
      <c r="I13" s="374">
        <v>11059</v>
      </c>
      <c r="J13" s="374">
        <v>330</v>
      </c>
      <c r="K13" s="374">
        <v>296</v>
      </c>
      <c r="L13" s="374">
        <v>13520</v>
      </c>
      <c r="M13" s="374">
        <v>13390</v>
      </c>
      <c r="N13" s="374">
        <v>16205</v>
      </c>
      <c r="O13" s="446">
        <f t="shared" si="1"/>
        <v>155461</v>
      </c>
      <c r="P13" s="446"/>
      <c r="Q13" s="446" cm="1">
        <f t="array" ref="Q13">Q$3*12-SUMPRODUCT(--($C13:$N13&lt;=Q$3),Q$3-$C13:$N13)</f>
        <v>153373</v>
      </c>
      <c r="R13" s="446">
        <f>R$3*12-SUM($Q13:Q13)-SUMPRODUCT(--($C13:$N13&lt;=R$3),R$3-$C13:$N13)</f>
        <v>2088</v>
      </c>
      <c r="S13" s="446">
        <f>S$3*12-SUM($Q13:R13)-SUMPRODUCT(--($C13:$N13&lt;=S$3),S$3-$C13:$N13)</f>
        <v>0</v>
      </c>
      <c r="T13" s="446">
        <f>T$3*12-SUM($Q13:S13)-SUMPRODUCT(--($C13:$N13&lt;=T$3),T$3-$C13:$N13)</f>
        <v>0</v>
      </c>
      <c r="U13" s="446">
        <f>U$3*12-SUM($Q13:T13)-SUMPRODUCT(--($C13:$N13&lt;=U$3),U$3-$C13:$N13)</f>
        <v>0</v>
      </c>
      <c r="V13" s="447"/>
      <c r="W13" s="446">
        <f>IF(O13&lt;250000,(250000-O13)*'JDM-7 pg 3'!$E$56,0)</f>
        <v>10454.12262</v>
      </c>
      <c r="X13" s="446">
        <f>IF(O13&lt;250000,(250000-O13)*'JDM-7 pg 3'!$K$56,0)</f>
        <v>11828.71968</v>
      </c>
      <c r="Y13" s="448">
        <f>Q13*'JDM-7 pg 3'!$D$51+'Big Schedules'!R13*'JDM-7 pg 3'!$D$52+'Big Schedules'!S13*'JDM-7 pg 3'!$D$53+'Big Schedules'!T13*'JDM-7 pg 3'!$D$54+'Big Schedules'!U13*'JDM-7 pg 3'!$D$55+'JDM-7 pg 3'!$D$49*12+W13</f>
        <v>38149.277559999995</v>
      </c>
      <c r="Z13" s="448">
        <f>Q13*'JDM-7 pg 3'!$K$51+'Big Schedules'!R13*'JDM-7 pg 3'!$K$52+'Big Schedules'!S13*'JDM-7 pg 3'!$K$53+'Big Schedules'!T13*'JDM-7 pg 3'!$K$54+'Big Schedules'!U13*'JDM-7 pg 3'!$K$55+'JDM-7 pg 3'!$K$49*12+X13</f>
        <v>43860.348959999996</v>
      </c>
      <c r="AA13" s="449">
        <f t="shared" si="2"/>
        <v>0.1497032647870673</v>
      </c>
      <c r="AB13" s="447"/>
      <c r="AC13" s="447"/>
    </row>
    <row r="14" spans="1:32">
      <c r="A14" s="421">
        <v>10</v>
      </c>
      <c r="B14" s="426"/>
      <c r="C14" s="374">
        <v>38338</v>
      </c>
      <c r="D14" s="374">
        <v>37722</v>
      </c>
      <c r="E14" s="374">
        <v>37251</v>
      </c>
      <c r="F14" s="374">
        <v>35106</v>
      </c>
      <c r="G14" s="374">
        <v>40375</v>
      </c>
      <c r="H14" s="374">
        <v>57668</v>
      </c>
      <c r="I14" s="374">
        <v>60864</v>
      </c>
      <c r="J14" s="374">
        <v>54389</v>
      </c>
      <c r="K14" s="374">
        <v>49432</v>
      </c>
      <c r="L14" s="374">
        <v>49378</v>
      </c>
      <c r="M14" s="374">
        <v>40636</v>
      </c>
      <c r="N14" s="374">
        <v>40322</v>
      </c>
      <c r="O14" s="446">
        <f t="shared" si="1"/>
        <v>541481</v>
      </c>
      <c r="P14" s="446"/>
      <c r="Q14" s="446" cm="1">
        <f t="array" ref="Q14">Q$3*12-SUMPRODUCT(--($C14:$N14&lt;=Q$3),Q$3-$C14:$N14)</f>
        <v>240000</v>
      </c>
      <c r="R14" s="446">
        <f>R$3*12-SUM($Q14:Q14)-SUMPRODUCT(--($C14:$N14&lt;=R$3),R$3-$C14:$N14)</f>
        <v>278560</v>
      </c>
      <c r="S14" s="446">
        <f>S$3*12-SUM($Q14:R14)-SUMPRODUCT(--($C14:$N14&lt;=S$3),S$3-$C14:$N14)</f>
        <v>22921</v>
      </c>
      <c r="T14" s="446">
        <f>T$3*12-SUM($Q14:S14)-SUMPRODUCT(--($C14:$N14&lt;=T$3),T$3-$C14:$N14)</f>
        <v>0</v>
      </c>
      <c r="U14" s="446">
        <f>U$3*12-SUM($Q14:T14)-SUMPRODUCT(--($C14:$N14&lt;=U$3),U$3-$C14:$N14)</f>
        <v>0</v>
      </c>
      <c r="V14" s="447"/>
      <c r="W14" s="446">
        <f>IF(O14&lt;250000,(250000-O14)*'JDM-7 pg 3'!$E$56,0)</f>
        <v>0</v>
      </c>
      <c r="X14" s="446">
        <f>IF(O14&lt;250000,(250000-O14)*'JDM-7 pg 3'!$K$56,0)</f>
        <v>0</v>
      </c>
      <c r="Y14" s="448">
        <f>Q14*'JDM-7 pg 3'!$D$51+'Big Schedules'!R14*'JDM-7 pg 3'!$D$52+'Big Schedules'!S14*'JDM-7 pg 3'!$D$53+'Big Schedules'!T14*'JDM-7 pg 3'!$D$54+'Big Schedules'!U14*'JDM-7 pg 3'!$D$55+'JDM-7 pg 3'!$D$49*12+W14</f>
        <v>71320.617709999991</v>
      </c>
      <c r="Z14" s="448">
        <f>Q14*'JDM-7 pg 3'!$K$51+'Big Schedules'!R14*'JDM-7 pg 3'!$K$52+'Big Schedules'!S14*'JDM-7 pg 3'!$K$53+'Big Schedules'!T14*'JDM-7 pg 3'!$K$54+'Big Schedules'!U14*'JDM-7 pg 3'!$K$55+'JDM-7 pg 3'!$K$49*12+X14</f>
        <v>81392.974420000013</v>
      </c>
      <c r="AA14" s="449">
        <f t="shared" si="2"/>
        <v>0.14122643680619373</v>
      </c>
      <c r="AB14" s="447"/>
      <c r="AC14" s="447"/>
    </row>
    <row r="15" spans="1:32">
      <c r="A15" s="421">
        <v>11</v>
      </c>
      <c r="B15" s="426"/>
      <c r="C15" s="374">
        <v>42857</v>
      </c>
      <c r="D15" s="374">
        <v>29955</v>
      </c>
      <c r="E15" s="374">
        <v>74624</v>
      </c>
      <c r="F15" s="374">
        <v>62796</v>
      </c>
      <c r="G15" s="374">
        <v>78657</v>
      </c>
      <c r="H15" s="374">
        <v>19603</v>
      </c>
      <c r="I15" s="374">
        <v>0</v>
      </c>
      <c r="J15" s="374">
        <v>0</v>
      </c>
      <c r="K15" s="374">
        <v>0</v>
      </c>
      <c r="L15" s="374">
        <v>0</v>
      </c>
      <c r="M15" s="374">
        <v>17741</v>
      </c>
      <c r="N15" s="374">
        <v>40998</v>
      </c>
      <c r="O15" s="446">
        <f t="shared" si="1"/>
        <v>367231</v>
      </c>
      <c r="P15" s="446"/>
      <c r="Q15" s="446" cm="1">
        <f t="array" ref="Q15">Q$3*12-SUMPRODUCT(--($C15:$N15&lt;=Q$3),Q$3-$C15:$N15)</f>
        <v>157344</v>
      </c>
      <c r="R15" s="446">
        <f>R$3*12-SUM($Q15:Q15)-SUMPRODUCT(--($C15:$N15&lt;=R$3),R$3-$C15:$N15)</f>
        <v>143810</v>
      </c>
      <c r="S15" s="446">
        <f>S$3*12-SUM($Q15:R15)-SUMPRODUCT(--($C15:$N15&lt;=S$3),S$3-$C15:$N15)</f>
        <v>66077</v>
      </c>
      <c r="T15" s="446">
        <f>T$3*12-SUM($Q15:S15)-SUMPRODUCT(--($C15:$N15&lt;=T$3),T$3-$C15:$N15)</f>
        <v>0</v>
      </c>
      <c r="U15" s="446">
        <f>U$3*12-SUM($Q15:T15)-SUMPRODUCT(--($C15:$N15&lt;=U$3),U$3-$C15:$N15)</f>
        <v>0</v>
      </c>
      <c r="V15" s="447"/>
      <c r="W15" s="446">
        <f>IF(O15&lt;250000,(250000-O15)*'JDM-7 pg 3'!$E$56,0)</f>
        <v>0</v>
      </c>
      <c r="X15" s="446">
        <f>IF(O15&lt;250000,(250000-O15)*'JDM-7 pg 3'!$K$56,0)</f>
        <v>0</v>
      </c>
      <c r="Y15" s="448">
        <f>Q15*'JDM-7 pg 3'!$D$51+'Big Schedules'!R15*'JDM-7 pg 3'!$D$52+'Big Schedules'!S15*'JDM-7 pg 3'!$D$53+'Big Schedules'!T15*'JDM-7 pg 3'!$D$54+'Big Schedules'!U15*'JDM-7 pg 3'!$D$55+'JDM-7 pg 3'!$D$49*12+W15</f>
        <v>50448.906669999997</v>
      </c>
      <c r="Z15" s="448">
        <f>Q15*'JDM-7 pg 3'!$K$51+'Big Schedules'!R15*'JDM-7 pg 3'!$K$52+'Big Schedules'!S15*'JDM-7 pg 3'!$K$53+'Big Schedules'!T15*'JDM-7 pg 3'!$K$54+'Big Schedules'!U15*'JDM-7 pg 3'!$K$55+'JDM-7 pg 3'!$K$49*12+X15</f>
        <v>57777.174499999994</v>
      </c>
      <c r="AA15" s="449">
        <f t="shared" si="2"/>
        <v>0.14526118232722451</v>
      </c>
      <c r="AB15" s="447"/>
      <c r="AC15" s="447"/>
    </row>
    <row r="16" spans="1:32">
      <c r="A16" s="421">
        <v>12</v>
      </c>
      <c r="B16" s="426"/>
      <c r="C16" s="374">
        <v>36735</v>
      </c>
      <c r="D16" s="374">
        <v>60891</v>
      </c>
      <c r="E16" s="374">
        <v>0</v>
      </c>
      <c r="F16" s="374">
        <v>58</v>
      </c>
      <c r="G16" s="374">
        <v>0</v>
      </c>
      <c r="H16" s="374">
        <v>0</v>
      </c>
      <c r="I16" s="374">
        <v>0</v>
      </c>
      <c r="J16" s="374">
        <v>0</v>
      </c>
      <c r="K16" s="374">
        <v>35729</v>
      </c>
      <c r="L16" s="374">
        <v>0</v>
      </c>
      <c r="M16" s="374">
        <v>0</v>
      </c>
      <c r="N16" s="374">
        <v>77748</v>
      </c>
      <c r="O16" s="446">
        <f t="shared" si="1"/>
        <v>211161</v>
      </c>
      <c r="P16" s="446"/>
      <c r="Q16" s="446" cm="1">
        <f t="array" ref="Q16">Q$3*12-SUMPRODUCT(--($C16:$N16&lt;=Q$3),Q$3-$C16:$N16)</f>
        <v>80058</v>
      </c>
      <c r="R16" s="446">
        <f>R$3*12-SUM($Q16:Q16)-SUMPRODUCT(--($C16:$N16&lt;=R$3),R$3-$C16:$N16)</f>
        <v>92464</v>
      </c>
      <c r="S16" s="446">
        <f>S$3*12-SUM($Q16:R16)-SUMPRODUCT(--($C16:$N16&lt;=S$3),S$3-$C16:$N16)</f>
        <v>38639</v>
      </c>
      <c r="T16" s="446">
        <f>T$3*12-SUM($Q16:S16)-SUMPRODUCT(--($C16:$N16&lt;=T$3),T$3-$C16:$N16)</f>
        <v>0</v>
      </c>
      <c r="U16" s="446">
        <f>U$3*12-SUM($Q16:T16)-SUMPRODUCT(--($C16:$N16&lt;=U$3),U$3-$C16:$N16)</f>
        <v>0</v>
      </c>
      <c r="V16" s="447"/>
      <c r="W16" s="446">
        <f>IF(O16&lt;250000,(250000-O16)*'JDM-7 pg 3'!$E$56,0)</f>
        <v>4294.8166199999996</v>
      </c>
      <c r="X16" s="446">
        <f>IF(O16&lt;250000,(250000-O16)*'JDM-7 pg 3'!$K$56,0)</f>
        <v>4859.53568</v>
      </c>
      <c r="Y16" s="448">
        <f>Q16*'JDM-7 pg 3'!$D$51+'Big Schedules'!R16*'JDM-7 pg 3'!$D$52+'Big Schedules'!S16*'JDM-7 pg 3'!$D$53+'Big Schedules'!T16*'JDM-7 pg 3'!$D$54+'Big Schedules'!U16*'JDM-7 pg 3'!$D$55+'JDM-7 pg 3'!$D$49*12+W16</f>
        <v>36723.38983</v>
      </c>
      <c r="Z16" s="448">
        <f>Q16*'JDM-7 pg 3'!$K$51+'Big Schedules'!R16*'JDM-7 pg 3'!$K$52+'Big Schedules'!S16*'JDM-7 pg 3'!$K$53+'Big Schedules'!T16*'JDM-7 pg 3'!$K$54+'Big Schedules'!U16*'JDM-7 pg 3'!$K$55+'JDM-7 pg 3'!$K$49*12+X16</f>
        <v>42247.240460000001</v>
      </c>
      <c r="AA16" s="449">
        <f t="shared" si="2"/>
        <v>0.15041777612499896</v>
      </c>
      <c r="AB16" s="447"/>
      <c r="AC16" s="447"/>
    </row>
    <row r="17" spans="1:29">
      <c r="A17" s="421">
        <v>13</v>
      </c>
      <c r="B17" s="426"/>
      <c r="C17" s="374">
        <v>46180</v>
      </c>
      <c r="D17" s="374">
        <v>39398</v>
      </c>
      <c r="E17" s="374">
        <v>46421</v>
      </c>
      <c r="F17" s="374">
        <v>41745</v>
      </c>
      <c r="G17" s="374">
        <v>45952</v>
      </c>
      <c r="H17" s="374">
        <v>44872</v>
      </c>
      <c r="I17" s="374">
        <v>54697</v>
      </c>
      <c r="J17" s="374">
        <v>54397</v>
      </c>
      <c r="K17" s="374">
        <v>44005</v>
      </c>
      <c r="L17" s="374">
        <v>67786</v>
      </c>
      <c r="M17" s="374">
        <v>52114</v>
      </c>
      <c r="N17" s="374">
        <v>61290</v>
      </c>
      <c r="O17" s="446">
        <f t="shared" si="1"/>
        <v>598857</v>
      </c>
      <c r="P17" s="446"/>
      <c r="Q17" s="446" cm="1">
        <f t="array" ref="Q17">Q$3*12-SUMPRODUCT(--($C17:$N17&lt;=Q$3),Q$3-$C17:$N17)</f>
        <v>240000</v>
      </c>
      <c r="R17" s="446">
        <f>R$3*12-SUM($Q17:Q17)-SUMPRODUCT(--($C17:$N17&lt;=R$3),R$3-$C17:$N17)</f>
        <v>318573</v>
      </c>
      <c r="S17" s="446">
        <f>S$3*12-SUM($Q17:R17)-SUMPRODUCT(--($C17:$N17&lt;=S$3),S$3-$C17:$N17)</f>
        <v>40284</v>
      </c>
      <c r="T17" s="446">
        <f>T$3*12-SUM($Q17:S17)-SUMPRODUCT(--($C17:$N17&lt;=T$3),T$3-$C17:$N17)</f>
        <v>0</v>
      </c>
      <c r="U17" s="446">
        <f>U$3*12-SUM($Q17:T17)-SUMPRODUCT(--($C17:$N17&lt;=U$3),U$3-$C17:$N17)</f>
        <v>0</v>
      </c>
      <c r="V17" s="447"/>
      <c r="W17" s="446">
        <f>IF(O17&lt;250000,(250000-O17)*'JDM-7 pg 3'!$E$56,0)</f>
        <v>0</v>
      </c>
      <c r="X17" s="446">
        <f>IF(O17&lt;250000,(250000-O17)*'JDM-7 pg 3'!$K$56,0)</f>
        <v>0</v>
      </c>
      <c r="Y17" s="448">
        <f>Q17*'JDM-7 pg 3'!$D$51+'Big Schedules'!R17*'JDM-7 pg 3'!$D$52+'Big Schedules'!S17*'JDM-7 pg 3'!$D$53+'Big Schedules'!T17*'JDM-7 pg 3'!$D$54+'Big Schedules'!U17*'JDM-7 pg 3'!$D$55+'JDM-7 pg 3'!$D$49*12+W17</f>
        <v>77476.519979999997</v>
      </c>
      <c r="Z17" s="448">
        <f>Q17*'JDM-7 pg 3'!$K$51+'Big Schedules'!R17*'JDM-7 pg 3'!$K$52+'Big Schedules'!S17*'JDM-7 pg 3'!$K$53+'Big Schedules'!T17*'JDM-7 pg 3'!$K$54+'Big Schedules'!U17*'JDM-7 pg 3'!$K$55+'JDM-7 pg 3'!$K$49*12+X17</f>
        <v>88358.294640000007</v>
      </c>
      <c r="AA17" s="449">
        <f t="shared" si="2"/>
        <v>0.14045254824053877</v>
      </c>
      <c r="AB17" s="447"/>
      <c r="AC17" s="447"/>
    </row>
    <row r="18" spans="1:29">
      <c r="A18" s="421">
        <v>14</v>
      </c>
      <c r="B18" s="426"/>
      <c r="C18" s="374">
        <v>40246</v>
      </c>
      <c r="D18" s="374">
        <v>36243</v>
      </c>
      <c r="E18" s="374">
        <v>37115</v>
      </c>
      <c r="F18" s="374">
        <v>37729</v>
      </c>
      <c r="G18" s="374">
        <v>50231</v>
      </c>
      <c r="H18" s="374">
        <v>106191</v>
      </c>
      <c r="I18" s="374">
        <v>121738</v>
      </c>
      <c r="J18" s="374">
        <v>105780</v>
      </c>
      <c r="K18" s="374">
        <v>94093</v>
      </c>
      <c r="L18" s="374">
        <v>89705</v>
      </c>
      <c r="M18" s="374">
        <v>69895</v>
      </c>
      <c r="N18" s="374">
        <v>45082</v>
      </c>
      <c r="O18" s="446">
        <f t="shared" si="1"/>
        <v>834048</v>
      </c>
      <c r="P18" s="446"/>
      <c r="Q18" s="446" cm="1">
        <f t="array" ref="Q18">Q$3*12-SUMPRODUCT(--($C18:$N18&lt;=Q$3),Q$3-$C18:$N18)</f>
        <v>240000</v>
      </c>
      <c r="R18" s="446">
        <f>R$3*12-SUM($Q18:Q18)-SUMPRODUCT(--($C18:$N18&lt;=R$3),R$3-$C18:$N18)</f>
        <v>306415</v>
      </c>
      <c r="S18" s="446">
        <f>S$3*12-SUM($Q18:R18)-SUMPRODUCT(--($C18:$N18&lt;=S$3),S$3-$C18:$N18)</f>
        <v>287633</v>
      </c>
      <c r="T18" s="446">
        <f>T$3*12-SUM($Q18:S18)-SUMPRODUCT(--($C18:$N18&lt;=T$3),T$3-$C18:$N18)</f>
        <v>0</v>
      </c>
      <c r="U18" s="446">
        <f>U$3*12-SUM($Q18:T18)-SUMPRODUCT(--($C18:$N18&lt;=U$3),U$3-$C18:$N18)</f>
        <v>0</v>
      </c>
      <c r="V18" s="447"/>
      <c r="W18" s="446">
        <f>IF(O18&lt;250000,(250000-O18)*'JDM-7 pg 3'!$E$56,0)</f>
        <v>0</v>
      </c>
      <c r="X18" s="446">
        <f>IF(O18&lt;250000,(250000-O18)*'JDM-7 pg 3'!$K$56,0)</f>
        <v>0</v>
      </c>
      <c r="Y18" s="448">
        <f>Q18*'JDM-7 pg 3'!$D$51+'Big Schedules'!R18*'JDM-7 pg 3'!$D$52+'Big Schedules'!S18*'JDM-7 pg 3'!$D$53+'Big Schedules'!T18*'JDM-7 pg 3'!$D$54+'Big Schedules'!U18*'JDM-7 pg 3'!$D$55+'JDM-7 pg 3'!$D$49*12+W18</f>
        <v>100795.25713</v>
      </c>
      <c r="Z18" s="448">
        <f>Q18*'JDM-7 pg 3'!$K$51+'Big Schedules'!R18*'JDM-7 pg 3'!$K$52+'Big Schedules'!S18*'JDM-7 pg 3'!$K$53+'Big Schedules'!T18*'JDM-7 pg 3'!$K$54+'Big Schedules'!U18*'JDM-7 pg 3'!$K$55+'JDM-7 pg 3'!$K$49*12+X18</f>
        <v>114742.99986</v>
      </c>
      <c r="AA18" s="449">
        <f t="shared" si="2"/>
        <v>0.13837697454366316</v>
      </c>
      <c r="AB18" s="447"/>
      <c r="AC18" s="447"/>
    </row>
    <row r="19" spans="1:29">
      <c r="A19" s="421">
        <v>15</v>
      </c>
      <c r="B19" s="426"/>
      <c r="C19" s="374">
        <v>690859</v>
      </c>
      <c r="D19" s="374">
        <v>624231</v>
      </c>
      <c r="E19" s="374">
        <v>603399</v>
      </c>
      <c r="F19" s="374">
        <v>632717</v>
      </c>
      <c r="G19" s="374">
        <v>622416</v>
      </c>
      <c r="H19" s="374">
        <v>744303</v>
      </c>
      <c r="I19" s="374">
        <v>526285</v>
      </c>
      <c r="J19" s="374">
        <v>758355</v>
      </c>
      <c r="K19" s="374">
        <v>698780</v>
      </c>
      <c r="L19" s="374">
        <v>679458</v>
      </c>
      <c r="M19" s="374">
        <v>634483</v>
      </c>
      <c r="N19" s="374">
        <v>556982</v>
      </c>
      <c r="O19" s="446">
        <f t="shared" si="1"/>
        <v>7772268</v>
      </c>
      <c r="P19" s="446"/>
      <c r="Q19" s="446" cm="1">
        <f t="array" ref="Q19">Q$3*12-SUMPRODUCT(--($C19:$N19&lt;=Q$3),Q$3-$C19:$N19)</f>
        <v>240000</v>
      </c>
      <c r="R19" s="446">
        <f>R$3*12-SUM($Q19:Q19)-SUMPRODUCT(--($C19:$N19&lt;=R$3),R$3-$C19:$N19)</f>
        <v>360000</v>
      </c>
      <c r="S19" s="446">
        <f>S$3*12-SUM($Q19:R19)-SUMPRODUCT(--($C19:$N19&lt;=S$3),S$3-$C19:$N19)</f>
        <v>3000000</v>
      </c>
      <c r="T19" s="446">
        <f>T$3*12-SUM($Q19:S19)-SUMPRODUCT(--($C19:$N19&lt;=T$3),T$3-$C19:$N19)</f>
        <v>2400000</v>
      </c>
      <c r="U19" s="446">
        <f>U$3*12-SUM($Q19:T19)-SUMPRODUCT(--($C19:$N19&lt;=U$3),U$3-$C19:$N19)</f>
        <v>1772268</v>
      </c>
      <c r="V19" s="447"/>
      <c r="W19" s="446">
        <f>IF(O19&lt;250000,(250000-O19)*'JDM-7 pg 3'!$E$56,0)</f>
        <v>0</v>
      </c>
      <c r="X19" s="446">
        <f>IF(O19&lt;250000,(250000-O19)*'JDM-7 pg 3'!$K$56,0)</f>
        <v>0</v>
      </c>
      <c r="Y19" s="448">
        <f>Q19*'JDM-7 pg 3'!$D$51+'Big Schedules'!R19*'JDM-7 pg 3'!$D$52+'Big Schedules'!S19*'JDM-7 pg 3'!$D$53+'Big Schedules'!T19*'JDM-7 pg 3'!$D$54+'Big Schedules'!U19*'JDM-7 pg 3'!$D$55+'JDM-7 pg 3'!$D$49*12+W19</f>
        <v>721292.97240000009</v>
      </c>
      <c r="Z19" s="448">
        <f>Q19*'JDM-7 pg 3'!$K$51+'Big Schedules'!R19*'JDM-7 pg 3'!$K$52+'Big Schedules'!S19*'JDM-7 pg 3'!$K$53+'Big Schedules'!T19*'JDM-7 pg 3'!$K$54+'Big Schedules'!U19*'JDM-7 pg 3'!$K$55+'JDM-7 pg 3'!$K$49*12+X19</f>
        <v>816812.33387999993</v>
      </c>
      <c r="AA19" s="449">
        <f t="shared" si="2"/>
        <v>0.1324279663534953</v>
      </c>
      <c r="AB19" s="447"/>
      <c r="AC19" s="447"/>
    </row>
    <row r="20" spans="1:29">
      <c r="A20" s="421">
        <v>16</v>
      </c>
      <c r="B20" s="426"/>
      <c r="C20" s="374">
        <v>36210</v>
      </c>
      <c r="D20" s="374">
        <v>32901</v>
      </c>
      <c r="E20" s="374">
        <v>36276</v>
      </c>
      <c r="F20" s="374">
        <v>34139</v>
      </c>
      <c r="G20" s="374">
        <v>37467</v>
      </c>
      <c r="H20" s="374">
        <v>41743</v>
      </c>
      <c r="I20" s="374">
        <v>46349</v>
      </c>
      <c r="J20" s="374">
        <v>48177</v>
      </c>
      <c r="K20" s="374">
        <v>46438</v>
      </c>
      <c r="L20" s="374">
        <v>46559</v>
      </c>
      <c r="M20" s="374">
        <v>43193</v>
      </c>
      <c r="N20" s="374">
        <v>41038</v>
      </c>
      <c r="O20" s="446">
        <f t="shared" si="1"/>
        <v>490490</v>
      </c>
      <c r="P20" s="446"/>
      <c r="Q20" s="446" cm="1">
        <f t="array" ref="Q20">Q$3*12-SUMPRODUCT(--($C20:$N20&lt;=Q$3),Q$3-$C20:$N20)</f>
        <v>240000</v>
      </c>
      <c r="R20" s="446">
        <f>R$3*12-SUM($Q20:Q20)-SUMPRODUCT(--($C20:$N20&lt;=R$3),R$3-$C20:$N20)</f>
        <v>250490</v>
      </c>
      <c r="S20" s="446">
        <f>S$3*12-SUM($Q20:R20)-SUMPRODUCT(--($C20:$N20&lt;=S$3),S$3-$C20:$N20)</f>
        <v>0</v>
      </c>
      <c r="T20" s="446">
        <f>T$3*12-SUM($Q20:S20)-SUMPRODUCT(--($C20:$N20&lt;=T$3),T$3-$C20:$N20)</f>
        <v>0</v>
      </c>
      <c r="U20" s="446">
        <f>U$3*12-SUM($Q20:T20)-SUMPRODUCT(--($C20:$N20&lt;=U$3),U$3-$C20:$N20)</f>
        <v>0</v>
      </c>
      <c r="V20" s="447"/>
      <c r="W20" s="446">
        <f>IF(O20&lt;250000,(250000-O20)*'JDM-7 pg 3'!$E$56,0)</f>
        <v>0</v>
      </c>
      <c r="X20" s="446">
        <f>IF(O20&lt;250000,(250000-O20)*'JDM-7 pg 3'!$K$56,0)</f>
        <v>0</v>
      </c>
      <c r="Y20" s="448">
        <f>Q20*'JDM-7 pg 3'!$D$51+'Big Schedules'!R20*'JDM-7 pg 3'!$D$52+'Big Schedules'!S20*'JDM-7 pg 3'!$D$53+'Big Schedules'!T20*'JDM-7 pg 3'!$D$54+'Big Schedules'!U20*'JDM-7 pg 3'!$D$55+'JDM-7 pg 3'!$D$49*12+W20</f>
        <v>65931.184200000003</v>
      </c>
      <c r="Z20" s="448">
        <f>Q20*'JDM-7 pg 3'!$K$51+'Big Schedules'!R20*'JDM-7 pg 3'!$K$52+'Big Schedules'!S20*'JDM-7 pg 3'!$K$53+'Big Schedules'!T20*'JDM-7 pg 3'!$K$54+'Big Schedules'!U20*'JDM-7 pg 3'!$K$55+'JDM-7 pg 3'!$K$49*12+X20</f>
        <v>75294.908800000005</v>
      </c>
      <c r="AA20" s="449">
        <f t="shared" si="2"/>
        <v>0.14202269705327097</v>
      </c>
      <c r="AB20" s="447"/>
      <c r="AC20" s="447"/>
    </row>
    <row r="21" spans="1:29">
      <c r="A21" s="421">
        <v>17</v>
      </c>
      <c r="B21" s="426"/>
      <c r="C21" s="374">
        <v>38565</v>
      </c>
      <c r="D21" s="374">
        <v>29107</v>
      </c>
      <c r="E21" s="374">
        <v>33135</v>
      </c>
      <c r="F21" s="374">
        <v>55091</v>
      </c>
      <c r="G21" s="374">
        <v>70546</v>
      </c>
      <c r="H21" s="374">
        <v>10324</v>
      </c>
      <c r="I21" s="374">
        <v>31</v>
      </c>
      <c r="J21" s="374">
        <v>31</v>
      </c>
      <c r="K21" s="374">
        <v>28</v>
      </c>
      <c r="L21" s="374">
        <v>31</v>
      </c>
      <c r="M21" s="374">
        <v>23389</v>
      </c>
      <c r="N21" s="374">
        <v>46016</v>
      </c>
      <c r="O21" s="446">
        <f t="shared" si="1"/>
        <v>306294</v>
      </c>
      <c r="P21" s="446"/>
      <c r="Q21" s="446" cm="1">
        <f t="array" ref="Q21">Q$3*12-SUMPRODUCT(--($C21:$N21&lt;=Q$3),Q$3-$C21:$N21)</f>
        <v>150445</v>
      </c>
      <c r="R21" s="446">
        <f>R$3*12-SUM($Q21:Q21)-SUMPRODUCT(--($C21:$N21&lt;=R$3),R$3-$C21:$N21)</f>
        <v>130212</v>
      </c>
      <c r="S21" s="446">
        <f>S$3*12-SUM($Q21:R21)-SUMPRODUCT(--($C21:$N21&lt;=S$3),S$3-$C21:$N21)</f>
        <v>25637</v>
      </c>
      <c r="T21" s="446">
        <f>T$3*12-SUM($Q21:S21)-SUMPRODUCT(--($C21:$N21&lt;=T$3),T$3-$C21:$N21)</f>
        <v>0</v>
      </c>
      <c r="U21" s="446">
        <f>U$3*12-SUM($Q21:T21)-SUMPRODUCT(--($C21:$N21&lt;=U$3),U$3-$C21:$N21)</f>
        <v>0</v>
      </c>
      <c r="V21" s="447"/>
      <c r="W21" s="446">
        <f>IF(O21&lt;250000,(250000-O21)*'JDM-7 pg 3'!$E$56,0)</f>
        <v>0</v>
      </c>
      <c r="X21" s="446">
        <f>IF(O21&lt;250000,(250000-O21)*'JDM-7 pg 3'!$K$56,0)</f>
        <v>0</v>
      </c>
      <c r="Y21" s="448">
        <f>Q21*'JDM-7 pg 3'!$D$51+'Big Schedules'!R21*'JDM-7 pg 3'!$D$52+'Big Schedules'!S21*'JDM-7 pg 3'!$D$53+'Big Schedules'!T21*'JDM-7 pg 3'!$D$54+'Big Schedules'!U21*'JDM-7 pg 3'!$D$55+'JDM-7 pg 3'!$D$49*12+W21</f>
        <v>44055.421730000002</v>
      </c>
      <c r="Z21" s="448">
        <f>Q21*'JDM-7 pg 3'!$K$51+'Big Schedules'!R21*'JDM-7 pg 3'!$K$52+'Big Schedules'!S21*'JDM-7 pg 3'!$K$53+'Big Schedules'!T21*'JDM-7 pg 3'!$K$54+'Big Schedules'!U21*'JDM-7 pg 3'!$K$55+'JDM-7 pg 3'!$K$49*12+X21</f>
        <v>50543.076580000001</v>
      </c>
      <c r="AA21" s="449">
        <f t="shared" si="2"/>
        <v>0.14726121315466068</v>
      </c>
      <c r="AB21" s="447"/>
      <c r="AC21" s="447"/>
    </row>
    <row r="22" spans="1:29">
      <c r="A22" s="421">
        <v>18</v>
      </c>
      <c r="B22" s="426"/>
      <c r="C22" s="374">
        <v>268324</v>
      </c>
      <c r="D22" s="374">
        <v>219109</v>
      </c>
      <c r="E22" s="374">
        <v>205757</v>
      </c>
      <c r="F22" s="374">
        <v>203148</v>
      </c>
      <c r="G22" s="374">
        <v>231465</v>
      </c>
      <c r="H22" s="374">
        <v>311298</v>
      </c>
      <c r="I22" s="374">
        <v>296706</v>
      </c>
      <c r="J22" s="374">
        <v>374676</v>
      </c>
      <c r="K22" s="374">
        <v>350357</v>
      </c>
      <c r="L22" s="374">
        <v>371132</v>
      </c>
      <c r="M22" s="374">
        <v>317580</v>
      </c>
      <c r="N22" s="374">
        <v>258583</v>
      </c>
      <c r="O22" s="446">
        <f t="shared" si="1"/>
        <v>3408135</v>
      </c>
      <c r="P22" s="446"/>
      <c r="Q22" s="446" cm="1">
        <f t="array" ref="Q22">Q$3*12-SUMPRODUCT(--($C22:$N22&lt;=Q$3),Q$3-$C22:$N22)</f>
        <v>240000</v>
      </c>
      <c r="R22" s="446">
        <f>R$3*12-SUM($Q22:Q22)-SUMPRODUCT(--($C22:$N22&lt;=R$3),R$3-$C22:$N22)</f>
        <v>360000</v>
      </c>
      <c r="S22" s="446">
        <f>S$3*12-SUM($Q22:R22)-SUMPRODUCT(--($C22:$N22&lt;=S$3),S$3-$C22:$N22)</f>
        <v>2583092</v>
      </c>
      <c r="T22" s="446">
        <f>T$3*12-SUM($Q22:S22)-SUMPRODUCT(--($C22:$N22&lt;=T$3),T$3-$C22:$N22)</f>
        <v>225043</v>
      </c>
      <c r="U22" s="446">
        <f>U$3*12-SUM($Q22:T22)-SUMPRODUCT(--($C22:$N22&lt;=U$3),U$3-$C22:$N22)</f>
        <v>0</v>
      </c>
      <c r="V22" s="447"/>
      <c r="W22" s="446">
        <f>IF(O22&lt;250000,(250000-O22)*'JDM-7 pg 3'!$E$56,0)</f>
        <v>0</v>
      </c>
      <c r="X22" s="446">
        <f>IF(O22&lt;250000,(250000-O22)*'JDM-7 pg 3'!$K$56,0)</f>
        <v>0</v>
      </c>
      <c r="Y22" s="448">
        <f>Q22*'JDM-7 pg 3'!$D$51+'Big Schedules'!R22*'JDM-7 pg 3'!$D$52+'Big Schedules'!S22*'JDM-7 pg 3'!$D$53+'Big Schedules'!T22*'JDM-7 pg 3'!$D$54+'Big Schedules'!U22*'JDM-7 pg 3'!$D$55+'JDM-7 pg 3'!$D$49*12+W22</f>
        <v>356352.11835000006</v>
      </c>
      <c r="Z22" s="448">
        <f>Q22*'JDM-7 pg 3'!$K$51+'Big Schedules'!R22*'JDM-7 pg 3'!$K$52+'Big Schedules'!S22*'JDM-7 pg 3'!$K$53+'Big Schedules'!T22*'JDM-7 pg 3'!$K$54+'Big Schedules'!U22*'JDM-7 pg 3'!$K$55+'JDM-7 pg 3'!$K$49*12+X22</f>
        <v>403899.97563</v>
      </c>
      <c r="AA22" s="449">
        <f t="shared" si="2"/>
        <v>0.13342942228085652</v>
      </c>
      <c r="AB22" s="447"/>
      <c r="AC22" s="447"/>
    </row>
    <row r="23" spans="1:29">
      <c r="A23" s="421">
        <v>19</v>
      </c>
      <c r="B23" s="426"/>
      <c r="C23" s="374">
        <v>149458</v>
      </c>
      <c r="D23" s="374">
        <v>136172</v>
      </c>
      <c r="E23" s="374">
        <v>141075</v>
      </c>
      <c r="F23" s="374">
        <v>145157</v>
      </c>
      <c r="G23" s="374">
        <v>133142</v>
      </c>
      <c r="H23" s="374">
        <v>144961</v>
      </c>
      <c r="I23" s="374">
        <v>152520</v>
      </c>
      <c r="J23" s="374">
        <v>144071</v>
      </c>
      <c r="K23" s="374">
        <v>152079</v>
      </c>
      <c r="L23" s="374">
        <v>163755</v>
      </c>
      <c r="M23" s="374">
        <v>146436</v>
      </c>
      <c r="N23" s="374">
        <v>146008</v>
      </c>
      <c r="O23" s="446">
        <f t="shared" si="1"/>
        <v>1754834</v>
      </c>
      <c r="P23" s="446"/>
      <c r="Q23" s="446" cm="1">
        <f t="array" ref="Q23">Q$3*12-SUMPRODUCT(--($C23:$N23&lt;=Q$3),Q$3-$C23:$N23)</f>
        <v>240000</v>
      </c>
      <c r="R23" s="446">
        <f>R$3*12-SUM($Q23:Q23)-SUMPRODUCT(--($C23:$N23&lt;=R$3),R$3-$C23:$N23)</f>
        <v>360000</v>
      </c>
      <c r="S23" s="446">
        <f>S$3*12-SUM($Q23:R23)-SUMPRODUCT(--($C23:$N23&lt;=S$3),S$3-$C23:$N23)</f>
        <v>1154834</v>
      </c>
      <c r="T23" s="446">
        <f>T$3*12-SUM($Q23:S23)-SUMPRODUCT(--($C23:$N23&lt;=T$3),T$3-$C23:$N23)</f>
        <v>0</v>
      </c>
      <c r="U23" s="446">
        <f>U$3*12-SUM($Q23:T23)-SUMPRODUCT(--($C23:$N23&lt;=U$3),U$3-$C23:$N23)</f>
        <v>0</v>
      </c>
      <c r="V23" s="447"/>
      <c r="W23" s="446">
        <f>IF(O23&lt;250000,(250000-O23)*'JDM-7 pg 3'!$E$56,0)</f>
        <v>0</v>
      </c>
      <c r="X23" s="446">
        <f>IF(O23&lt;250000,(250000-O23)*'JDM-7 pg 3'!$K$56,0)</f>
        <v>0</v>
      </c>
      <c r="Y23" s="448">
        <f>Q23*'JDM-7 pg 3'!$D$51+'Big Schedules'!R23*'JDM-7 pg 3'!$D$52+'Big Schedules'!S23*'JDM-7 pg 3'!$D$53+'Big Schedules'!T23*'JDM-7 pg 3'!$D$54+'Big Schedules'!U23*'JDM-7 pg 3'!$D$55+'JDM-7 pg 3'!$D$49*12+W23</f>
        <v>193189.29814</v>
      </c>
      <c r="Z23" s="448">
        <f>Q23*'JDM-7 pg 3'!$K$51+'Big Schedules'!R23*'JDM-7 pg 3'!$K$52+'Big Schedules'!S23*'JDM-7 pg 3'!$K$53+'Big Schedules'!T23*'JDM-7 pg 3'!$K$54+'Big Schedules'!U23*'JDM-7 pg 3'!$K$55+'JDM-7 pg 3'!$K$49*12+X23</f>
        <v>219285.17188000001</v>
      </c>
      <c r="AA23" s="449">
        <f t="shared" si="2"/>
        <v>0.13507929264844121</v>
      </c>
      <c r="AB23" s="447"/>
      <c r="AC23" s="447"/>
    </row>
    <row r="24" spans="1:29">
      <c r="A24" s="421">
        <v>20</v>
      </c>
      <c r="B24" s="426"/>
      <c r="C24" s="374">
        <v>7162</v>
      </c>
      <c r="D24" s="374">
        <v>4069</v>
      </c>
      <c r="E24" s="374">
        <v>5893</v>
      </c>
      <c r="F24" s="374">
        <v>14489</v>
      </c>
      <c r="G24" s="374">
        <v>38787</v>
      </c>
      <c r="H24" s="374">
        <v>101949</v>
      </c>
      <c r="I24" s="374">
        <v>122152</v>
      </c>
      <c r="J24" s="374">
        <v>102764</v>
      </c>
      <c r="K24" s="374">
        <v>94337</v>
      </c>
      <c r="L24" s="374">
        <v>77715</v>
      </c>
      <c r="M24" s="374">
        <v>52985</v>
      </c>
      <c r="N24" s="374">
        <v>14910</v>
      </c>
      <c r="O24" s="446">
        <f t="shared" si="1"/>
        <v>637212</v>
      </c>
      <c r="P24" s="446"/>
      <c r="Q24" s="446" cm="1">
        <f t="array" ref="Q24">Q$3*12-SUMPRODUCT(--($C24:$N24&lt;=Q$3),Q$3-$C24:$N24)</f>
        <v>186523</v>
      </c>
      <c r="R24" s="446">
        <f>R$3*12-SUM($Q24:Q24)-SUMPRODUCT(--($C24:$N24&lt;=R$3),R$3-$C24:$N24)</f>
        <v>198787</v>
      </c>
      <c r="S24" s="446">
        <f>S$3*12-SUM($Q24:R24)-SUMPRODUCT(--($C24:$N24&lt;=S$3),S$3-$C24:$N24)</f>
        <v>251902</v>
      </c>
      <c r="T24" s="446">
        <f>T$3*12-SUM($Q24:S24)-SUMPRODUCT(--($C24:$N24&lt;=T$3),T$3-$C24:$N24)</f>
        <v>0</v>
      </c>
      <c r="U24" s="446">
        <f>U$3*12-SUM($Q24:T24)-SUMPRODUCT(--($C24:$N24&lt;=U$3),U$3-$C24:$N24)</f>
        <v>0</v>
      </c>
      <c r="V24" s="447"/>
      <c r="W24" s="446">
        <f>IF(O24&lt;250000,(250000-O24)*'JDM-7 pg 3'!$E$56,0)</f>
        <v>0</v>
      </c>
      <c r="X24" s="446">
        <f>IF(O24&lt;250000,(250000-O24)*'JDM-7 pg 3'!$K$56,0)</f>
        <v>0</v>
      </c>
      <c r="Y24" s="448">
        <f>Q24*'JDM-7 pg 3'!$D$51+'Big Schedules'!R24*'JDM-7 pg 3'!$D$52+'Big Schedules'!S24*'JDM-7 pg 3'!$D$53+'Big Schedules'!T24*'JDM-7 pg 3'!$D$54+'Big Schedules'!U24*'JDM-7 pg 3'!$D$55+'JDM-7 pg 3'!$D$49*12+W24</f>
        <v>78683.823780000006</v>
      </c>
      <c r="Z24" s="448">
        <f>Q24*'JDM-7 pg 3'!$K$51+'Big Schedules'!R24*'JDM-7 pg 3'!$K$52+'Big Schedules'!S24*'JDM-7 pg 3'!$K$53+'Big Schedules'!T24*'JDM-7 pg 3'!$K$54+'Big Schedules'!U24*'JDM-7 pg 3'!$K$55+'JDM-7 pg 3'!$K$49*12+X24</f>
        <v>89724.407800000001</v>
      </c>
      <c r="AA24" s="449">
        <f t="shared" si="2"/>
        <v>0.1403158043115631</v>
      </c>
      <c r="AB24" s="447"/>
      <c r="AC24" s="447"/>
    </row>
    <row r="25" spans="1:29">
      <c r="A25" s="421">
        <v>21</v>
      </c>
      <c r="B25" s="426"/>
      <c r="C25" s="374">
        <v>63686</v>
      </c>
      <c r="D25" s="374">
        <v>58028</v>
      </c>
      <c r="E25" s="374">
        <v>63437</v>
      </c>
      <c r="F25" s="374">
        <v>60294</v>
      </c>
      <c r="G25" s="374">
        <v>58181</v>
      </c>
      <c r="H25" s="374">
        <v>58258</v>
      </c>
      <c r="I25" s="374">
        <v>54166</v>
      </c>
      <c r="J25" s="374">
        <v>52469</v>
      </c>
      <c r="K25" s="374">
        <v>48494</v>
      </c>
      <c r="L25" s="374">
        <v>61583</v>
      </c>
      <c r="M25" s="374">
        <v>55284</v>
      </c>
      <c r="N25" s="374">
        <v>63765</v>
      </c>
      <c r="O25" s="446">
        <f t="shared" si="1"/>
        <v>697645</v>
      </c>
      <c r="P25" s="446"/>
      <c r="Q25" s="446" cm="1">
        <f t="array" ref="Q25">Q$3*12-SUMPRODUCT(--($C25:$N25&lt;=Q$3),Q$3-$C25:$N25)</f>
        <v>240000</v>
      </c>
      <c r="R25" s="446">
        <f>R$3*12-SUM($Q25:Q25)-SUMPRODUCT(--($C25:$N25&lt;=R$3),R$3-$C25:$N25)</f>
        <v>358494</v>
      </c>
      <c r="S25" s="446">
        <f>S$3*12-SUM($Q25:R25)-SUMPRODUCT(--($C25:$N25&lt;=S$3),S$3-$C25:$N25)</f>
        <v>99151</v>
      </c>
      <c r="T25" s="446">
        <f>T$3*12-SUM($Q25:S25)-SUMPRODUCT(--($C25:$N25&lt;=T$3),T$3-$C25:$N25)</f>
        <v>0</v>
      </c>
      <c r="U25" s="446">
        <f>U$3*12-SUM($Q25:T25)-SUMPRODUCT(--($C25:$N25&lt;=U$3),U$3-$C25:$N25)</f>
        <v>0</v>
      </c>
      <c r="V25" s="447"/>
      <c r="W25" s="446">
        <f>IF(O25&lt;250000,(250000-O25)*'JDM-7 pg 3'!$E$56,0)</f>
        <v>0</v>
      </c>
      <c r="X25" s="446">
        <f>IF(O25&lt;250000,(250000-O25)*'JDM-7 pg 3'!$K$56,0)</f>
        <v>0</v>
      </c>
      <c r="Y25" s="448">
        <f>Q25*'JDM-7 pg 3'!$D$51+'Big Schedules'!R25*'JDM-7 pg 3'!$D$52+'Big Schedules'!S25*'JDM-7 pg 3'!$D$53+'Big Schedules'!T25*'JDM-7 pg 3'!$D$54+'Big Schedules'!U25*'JDM-7 pg 3'!$D$55+'JDM-7 pg 3'!$D$49*12+W25</f>
        <v>87760.612730000008</v>
      </c>
      <c r="Z25" s="448">
        <f>Q25*'JDM-7 pg 3'!$K$51+'Big Schedules'!R25*'JDM-7 pg 3'!$K$52+'Big Schedules'!S25*'JDM-7 pg 3'!$K$53+'Big Schedules'!T25*'JDM-7 pg 3'!$K$54+'Big Schedules'!U25*'JDM-7 pg 3'!$K$55+'JDM-7 pg 3'!$K$49*12+X25</f>
        <v>99994.585099999997</v>
      </c>
      <c r="AA25" s="449">
        <f t="shared" si="2"/>
        <v>0.13940162892479369</v>
      </c>
      <c r="AB25" s="447"/>
      <c r="AC25" s="447"/>
    </row>
    <row r="26" spans="1:29">
      <c r="A26" s="421">
        <v>22</v>
      </c>
      <c r="B26" s="426"/>
      <c r="C26" s="374">
        <v>9623</v>
      </c>
      <c r="D26" s="374">
        <v>8281</v>
      </c>
      <c r="E26" s="374">
        <v>8253</v>
      </c>
      <c r="F26" s="374">
        <v>8784</v>
      </c>
      <c r="G26" s="374">
        <v>9855</v>
      </c>
      <c r="H26" s="374">
        <v>13935</v>
      </c>
      <c r="I26" s="374">
        <v>15319</v>
      </c>
      <c r="J26" s="374">
        <v>14527</v>
      </c>
      <c r="K26" s="374">
        <v>12385</v>
      </c>
      <c r="L26" s="374">
        <v>13222</v>
      </c>
      <c r="M26" s="374">
        <v>10461</v>
      </c>
      <c r="N26" s="374">
        <v>11132</v>
      </c>
      <c r="O26" s="446">
        <f t="shared" si="1"/>
        <v>135777</v>
      </c>
      <c r="P26" s="446"/>
      <c r="Q26" s="446" cm="1">
        <f t="array" ref="Q26">Q$3*12-SUMPRODUCT(--($C26:$N26&lt;=Q$3),Q$3-$C26:$N26)</f>
        <v>135777</v>
      </c>
      <c r="R26" s="446">
        <f>R$3*12-SUM($Q26:Q26)-SUMPRODUCT(--($C26:$N26&lt;=R$3),R$3-$C26:$N26)</f>
        <v>0</v>
      </c>
      <c r="S26" s="446">
        <f>S$3*12-SUM($Q26:R26)-SUMPRODUCT(--($C26:$N26&lt;=S$3),S$3-$C26:$N26)</f>
        <v>0</v>
      </c>
      <c r="T26" s="446">
        <f>T$3*12-SUM($Q26:S26)-SUMPRODUCT(--($C26:$N26&lt;=T$3),T$3-$C26:$N26)</f>
        <v>0</v>
      </c>
      <c r="U26" s="446">
        <f>U$3*12-SUM($Q26:T26)-SUMPRODUCT(--($C26:$N26&lt;=U$3),U$3-$C26:$N26)</f>
        <v>0</v>
      </c>
      <c r="V26" s="447"/>
      <c r="W26" s="446">
        <f>IF(O26&lt;250000,(250000-O26)*'JDM-7 pg 3'!$E$56,0)</f>
        <v>12630.779339999999</v>
      </c>
      <c r="X26" s="446">
        <f>IF(O26&lt;250000,(250000-O26)*'JDM-7 pg 3'!$K$56,0)</f>
        <v>14291.581760000001</v>
      </c>
      <c r="Y26" s="448">
        <f>Q26*'JDM-7 pg 3'!$D$51+'Big Schedules'!R26*'JDM-7 pg 3'!$D$52+'Big Schedules'!S26*'JDM-7 pg 3'!$D$53+'Big Schedules'!T26*'JDM-7 pg 3'!$D$54+'Big Schedules'!U26*'JDM-7 pg 3'!$D$55+'JDM-7 pg 3'!$D$49*12+W26</f>
        <v>37907.860439999997</v>
      </c>
      <c r="Z26" s="448">
        <f>Q26*'JDM-7 pg 3'!$K$51+'Big Schedules'!R26*'JDM-7 pg 3'!$K$52+'Big Schedules'!S26*'JDM-7 pg 3'!$K$53+'Big Schedules'!T26*'JDM-7 pg 3'!$K$54+'Big Schedules'!U26*'JDM-7 pg 3'!$K$55+'JDM-7 pg 3'!$K$49*12+X26</f>
        <v>43587.259040000004</v>
      </c>
      <c r="AA26" s="449">
        <f t="shared" si="2"/>
        <v>0.14982113298083055</v>
      </c>
      <c r="AB26" s="447"/>
      <c r="AC26" s="447"/>
    </row>
    <row r="27" spans="1:29">
      <c r="A27" s="421">
        <v>23</v>
      </c>
      <c r="B27" s="426"/>
      <c r="C27" s="374">
        <v>11923</v>
      </c>
      <c r="D27" s="374">
        <v>3567</v>
      </c>
      <c r="E27" s="374">
        <v>3058</v>
      </c>
      <c r="F27" s="374">
        <v>8637</v>
      </c>
      <c r="G27" s="374">
        <v>25701</v>
      </c>
      <c r="H27" s="374">
        <v>72314</v>
      </c>
      <c r="I27" s="374">
        <v>85866</v>
      </c>
      <c r="J27" s="374">
        <v>66592</v>
      </c>
      <c r="K27" s="374">
        <v>61057</v>
      </c>
      <c r="L27" s="374">
        <v>53758</v>
      </c>
      <c r="M27" s="374">
        <v>36500</v>
      </c>
      <c r="N27" s="374">
        <v>11002</v>
      </c>
      <c r="O27" s="446">
        <f t="shared" si="1"/>
        <v>439975</v>
      </c>
      <c r="P27" s="446"/>
      <c r="Q27" s="446" cm="1">
        <f t="array" ref="Q27">Q$3*12-SUMPRODUCT(--($C27:$N27&lt;=Q$3),Q$3-$C27:$N27)</f>
        <v>178187</v>
      </c>
      <c r="R27" s="446">
        <f>R$3*12-SUM($Q27:Q27)-SUMPRODUCT(--($C27:$N27&lt;=R$3),R$3-$C27:$N27)</f>
        <v>172201</v>
      </c>
      <c r="S27" s="446">
        <f>S$3*12-SUM($Q27:R27)-SUMPRODUCT(--($C27:$N27&lt;=S$3),S$3-$C27:$N27)</f>
        <v>89587</v>
      </c>
      <c r="T27" s="446">
        <f>T$3*12-SUM($Q27:S27)-SUMPRODUCT(--($C27:$N27&lt;=T$3),T$3-$C27:$N27)</f>
        <v>0</v>
      </c>
      <c r="U27" s="446">
        <f>U$3*12-SUM($Q27:T27)-SUMPRODUCT(--($C27:$N27&lt;=U$3),U$3-$C27:$N27)</f>
        <v>0</v>
      </c>
      <c r="V27" s="447"/>
      <c r="W27" s="446">
        <f>IF(O27&lt;250000,(250000-O27)*'JDM-7 pg 3'!$E$56,0)</f>
        <v>0</v>
      </c>
      <c r="X27" s="446">
        <f>IF(O27&lt;250000,(250000-O27)*'JDM-7 pg 3'!$K$56,0)</f>
        <v>0</v>
      </c>
      <c r="Y27" s="448">
        <f>Q27*'JDM-7 pg 3'!$D$51+'Big Schedules'!R27*'JDM-7 pg 3'!$D$52+'Big Schedules'!S27*'JDM-7 pg 3'!$D$53+'Big Schedules'!T27*'JDM-7 pg 3'!$D$54+'Big Schedules'!U27*'JDM-7 pg 3'!$D$55+'JDM-7 pg 3'!$D$49*12+W27</f>
        <v>58523.350450000005</v>
      </c>
      <c r="Z27" s="448">
        <f>Q27*'JDM-7 pg 3'!$K$51+'Big Schedules'!R27*'JDM-7 pg 3'!$K$52+'Big Schedules'!S27*'JDM-7 pg 3'!$K$53+'Big Schedules'!T27*'JDM-7 pg 3'!$K$54+'Big Schedules'!U27*'JDM-7 pg 3'!$K$55+'JDM-7 pg 3'!$K$49*12+X27</f>
        <v>66913.214139999996</v>
      </c>
      <c r="AA27" s="449">
        <f t="shared" si="2"/>
        <v>0.14335925105942038</v>
      </c>
      <c r="AB27" s="447"/>
      <c r="AC27" s="447"/>
    </row>
    <row r="28" spans="1:29">
      <c r="A28" s="421">
        <v>24</v>
      </c>
      <c r="B28" s="426"/>
      <c r="C28" s="374">
        <v>27470</v>
      </c>
      <c r="D28" s="374">
        <v>23321</v>
      </c>
      <c r="E28" s="374">
        <v>21547</v>
      </c>
      <c r="F28" s="374">
        <v>17539</v>
      </c>
      <c r="G28" s="374">
        <v>13307</v>
      </c>
      <c r="H28" s="374">
        <v>2708</v>
      </c>
      <c r="I28" s="374">
        <v>0</v>
      </c>
      <c r="J28" s="374">
        <v>0</v>
      </c>
      <c r="K28" s="374">
        <v>0</v>
      </c>
      <c r="L28" s="374">
        <v>0</v>
      </c>
      <c r="M28" s="374">
        <v>10846</v>
      </c>
      <c r="N28" s="374">
        <v>24813</v>
      </c>
      <c r="O28" s="446">
        <f t="shared" si="1"/>
        <v>141551</v>
      </c>
      <c r="P28" s="446"/>
      <c r="Q28" s="446" cm="1">
        <f t="array" ref="Q28">Q$3*12-SUMPRODUCT(--($C28:$N28&lt;=Q$3),Q$3-$C28:$N28)</f>
        <v>124400</v>
      </c>
      <c r="R28" s="446">
        <f>R$3*12-SUM($Q28:Q28)-SUMPRODUCT(--($C28:$N28&lt;=R$3),R$3-$C28:$N28)</f>
        <v>17151</v>
      </c>
      <c r="S28" s="446">
        <f>S$3*12-SUM($Q28:R28)-SUMPRODUCT(--($C28:$N28&lt;=S$3),S$3-$C28:$N28)</f>
        <v>0</v>
      </c>
      <c r="T28" s="446">
        <f>T$3*12-SUM($Q28:S28)-SUMPRODUCT(--($C28:$N28&lt;=T$3),T$3-$C28:$N28)</f>
        <v>0</v>
      </c>
      <c r="U28" s="446">
        <f>U$3*12-SUM($Q28:T28)-SUMPRODUCT(--($C28:$N28&lt;=U$3),U$3-$C28:$N28)</f>
        <v>0</v>
      </c>
      <c r="V28" s="447"/>
      <c r="W28" s="446">
        <f>IF(O28&lt;250000,(250000-O28)*'JDM-7 pg 3'!$E$56,0)</f>
        <v>11992.290419999999</v>
      </c>
      <c r="X28" s="446">
        <f>IF(O28&lt;250000,(250000-O28)*'JDM-7 pg 3'!$K$56,0)</f>
        <v>13569.13888</v>
      </c>
      <c r="Y28" s="448">
        <f>Q28*'JDM-7 pg 3'!$D$51+'Big Schedules'!R28*'JDM-7 pg 3'!$D$52+'Big Schedules'!S28*'JDM-7 pg 3'!$D$53+'Big Schedules'!T28*'JDM-7 pg 3'!$D$54+'Big Schedules'!U28*'JDM-7 pg 3'!$D$55+'JDM-7 pg 3'!$D$49*12+W28</f>
        <v>37751.767999999996</v>
      </c>
      <c r="Z28" s="448">
        <f>Q28*'JDM-7 pg 3'!$K$51+'Big Schedules'!R28*'JDM-7 pg 3'!$K$52+'Big Schedules'!S28*'JDM-7 pg 3'!$K$53+'Big Schedules'!T28*'JDM-7 pg 3'!$K$54+'Big Schedules'!U28*'JDM-7 pg 3'!$K$55+'JDM-7 pg 3'!$K$49*12+X28</f>
        <v>43410.688000000002</v>
      </c>
      <c r="AA28" s="449">
        <f t="shared" si="2"/>
        <v>0.14989814516766486</v>
      </c>
      <c r="AB28" s="447"/>
      <c r="AC28" s="447"/>
    </row>
    <row r="29" spans="1:29">
      <c r="A29" s="421">
        <v>25</v>
      </c>
      <c r="B29" s="426"/>
      <c r="C29" s="374">
        <v>119822</v>
      </c>
      <c r="D29" s="374">
        <v>97045</v>
      </c>
      <c r="E29" s="374">
        <v>95231</v>
      </c>
      <c r="F29" s="374">
        <v>98614</v>
      </c>
      <c r="G29" s="374">
        <v>148104</v>
      </c>
      <c r="H29" s="374">
        <v>324475</v>
      </c>
      <c r="I29" s="374">
        <v>367914</v>
      </c>
      <c r="J29" s="374">
        <v>297510</v>
      </c>
      <c r="K29" s="374">
        <v>274043</v>
      </c>
      <c r="L29" s="374">
        <v>258987</v>
      </c>
      <c r="M29" s="374">
        <v>196084</v>
      </c>
      <c r="N29" s="374">
        <v>119031</v>
      </c>
      <c r="O29" s="446">
        <f t="shared" si="1"/>
        <v>2396860</v>
      </c>
      <c r="P29" s="446"/>
      <c r="Q29" s="446" cm="1">
        <f t="array" ref="Q29">Q$3*12-SUMPRODUCT(--($C29:$N29&lt;=Q$3),Q$3-$C29:$N29)</f>
        <v>240000</v>
      </c>
      <c r="R29" s="446">
        <f>R$3*12-SUM($Q29:Q29)-SUMPRODUCT(--($C29:$N29&lt;=R$3),R$3-$C29:$N29)</f>
        <v>360000</v>
      </c>
      <c r="S29" s="446">
        <f>S$3*12-SUM($Q29:R29)-SUMPRODUCT(--($C29:$N29&lt;=S$3),S$3-$C29:$N29)</f>
        <v>1704471</v>
      </c>
      <c r="T29" s="446">
        <f>T$3*12-SUM($Q29:S29)-SUMPRODUCT(--($C29:$N29&lt;=T$3),T$3-$C29:$N29)</f>
        <v>92389</v>
      </c>
      <c r="U29" s="446">
        <f>U$3*12-SUM($Q29:T29)-SUMPRODUCT(--($C29:$N29&lt;=U$3),U$3-$C29:$N29)</f>
        <v>0</v>
      </c>
      <c r="V29" s="447"/>
      <c r="W29" s="446">
        <f>IF(O29&lt;250000,(250000-O29)*'JDM-7 pg 3'!$E$56,0)</f>
        <v>0</v>
      </c>
      <c r="X29" s="446">
        <f>IF(O29&lt;250000,(250000-O29)*'JDM-7 pg 3'!$K$56,0)</f>
        <v>0</v>
      </c>
      <c r="Y29" s="448">
        <f>Q29*'JDM-7 pg 3'!$D$51+'Big Schedules'!R29*'JDM-7 pg 3'!$D$52+'Big Schedules'!S29*'JDM-7 pg 3'!$D$53+'Big Schedules'!T29*'JDM-7 pg 3'!$D$54+'Big Schedules'!U29*'JDM-7 pg 3'!$D$55+'JDM-7 pg 3'!$D$49*12+W29</f>
        <v>256512.79310000001</v>
      </c>
      <c r="Z29" s="448">
        <f>Q29*'JDM-7 pg 3'!$K$51+'Big Schedules'!R29*'JDM-7 pg 3'!$K$52+'Big Schedules'!S29*'JDM-7 pg 3'!$K$53+'Big Schedules'!T29*'JDM-7 pg 3'!$K$54+'Big Schedules'!U29*'JDM-7 pg 3'!$K$55+'JDM-7 pg 3'!$K$49*12+X29</f>
        <v>290934.16258999996</v>
      </c>
      <c r="AA29" s="449">
        <f t="shared" si="2"/>
        <v>0.13418967948542426</v>
      </c>
      <c r="AB29" s="447"/>
      <c r="AC29" s="447"/>
    </row>
    <row r="30" spans="1:29">
      <c r="A30" s="421">
        <v>26</v>
      </c>
      <c r="B30" s="426"/>
      <c r="C30" s="374">
        <v>30351</v>
      </c>
      <c r="D30" s="374">
        <v>27536</v>
      </c>
      <c r="E30" s="374">
        <v>27921</v>
      </c>
      <c r="F30" s="374">
        <v>30077</v>
      </c>
      <c r="G30" s="374">
        <v>37493</v>
      </c>
      <c r="H30" s="374">
        <v>57006</v>
      </c>
      <c r="I30" s="374">
        <v>64629</v>
      </c>
      <c r="J30" s="374">
        <v>58865</v>
      </c>
      <c r="K30" s="374">
        <v>26204</v>
      </c>
      <c r="L30" s="374">
        <v>14342</v>
      </c>
      <c r="M30" s="374">
        <v>11565</v>
      </c>
      <c r="N30" s="374">
        <v>8190</v>
      </c>
      <c r="O30" s="446">
        <f t="shared" si="1"/>
        <v>394179</v>
      </c>
      <c r="P30" s="446"/>
      <c r="Q30" s="446" cm="1">
        <f t="array" ref="Q30">Q$3*12-SUMPRODUCT(--($C30:$N30&lt;=Q$3),Q$3-$C30:$N30)</f>
        <v>214097</v>
      </c>
      <c r="R30" s="446">
        <f>R$3*12-SUM($Q30:Q30)-SUMPRODUCT(--($C30:$N30&lt;=R$3),R$3-$C30:$N30)</f>
        <v>149582</v>
      </c>
      <c r="S30" s="446">
        <f>S$3*12-SUM($Q30:R30)-SUMPRODUCT(--($C30:$N30&lt;=S$3),S$3-$C30:$N30)</f>
        <v>30500</v>
      </c>
      <c r="T30" s="446">
        <f>T$3*12-SUM($Q30:S30)-SUMPRODUCT(--($C30:$N30&lt;=T$3),T$3-$C30:$N30)</f>
        <v>0</v>
      </c>
      <c r="U30" s="446">
        <f>U$3*12-SUM($Q30:T30)-SUMPRODUCT(--($C30:$N30&lt;=U$3),U$3-$C30:$N30)</f>
        <v>0</v>
      </c>
      <c r="V30" s="447"/>
      <c r="W30" s="446">
        <f>IF(O30&lt;250000,(250000-O30)*'JDM-7 pg 3'!$E$56,0)</f>
        <v>0</v>
      </c>
      <c r="X30" s="446">
        <f>IF(O30&lt;250000,(250000-O30)*'JDM-7 pg 3'!$K$56,0)</f>
        <v>0</v>
      </c>
      <c r="Y30" s="448">
        <f>Q30*'JDM-7 pg 3'!$D$51+'Big Schedules'!R30*'JDM-7 pg 3'!$D$52+'Big Schedules'!S30*'JDM-7 pg 3'!$D$53+'Big Schedules'!T30*'JDM-7 pg 3'!$D$54+'Big Schedules'!U30*'JDM-7 pg 3'!$D$55+'JDM-7 pg 3'!$D$49*12+W30</f>
        <v>54594.189659999996</v>
      </c>
      <c r="Z30" s="448">
        <f>Q30*'JDM-7 pg 3'!$K$51+'Big Schedules'!R30*'JDM-7 pg 3'!$K$52+'Big Schedules'!S30*'JDM-7 pg 3'!$K$53+'Big Schedules'!T30*'JDM-7 pg 3'!$K$54+'Big Schedules'!U30*'JDM-7 pg 3'!$K$55+'JDM-7 pg 3'!$K$49*12+X30</f>
        <v>62467.31192</v>
      </c>
      <c r="AA30" s="449">
        <f t="shared" si="2"/>
        <v>0.14421172489292333</v>
      </c>
      <c r="AB30" s="447"/>
      <c r="AC30" s="447"/>
    </row>
    <row r="31" spans="1:29">
      <c r="A31" s="421">
        <v>27</v>
      </c>
      <c r="B31" s="426"/>
      <c r="C31" s="374">
        <v>8911</v>
      </c>
      <c r="D31" s="374">
        <v>2413</v>
      </c>
      <c r="E31" s="374">
        <v>3374</v>
      </c>
      <c r="F31" s="374">
        <v>7375</v>
      </c>
      <c r="G31" s="374">
        <v>18638</v>
      </c>
      <c r="H31" s="374">
        <v>49880</v>
      </c>
      <c r="I31" s="374">
        <v>62865</v>
      </c>
      <c r="J31" s="374">
        <v>46559</v>
      </c>
      <c r="K31" s="374">
        <v>42173</v>
      </c>
      <c r="L31" s="374">
        <v>35498</v>
      </c>
      <c r="M31" s="374">
        <v>24145</v>
      </c>
      <c r="N31" s="374">
        <v>8472</v>
      </c>
      <c r="O31" s="446">
        <f t="shared" si="1"/>
        <v>310303</v>
      </c>
      <c r="P31" s="446"/>
      <c r="Q31" s="446" cm="1">
        <f t="array" ref="Q31">Q$3*12-SUMPRODUCT(--($C31:$N31&lt;=Q$3),Q$3-$C31:$N31)</f>
        <v>169183</v>
      </c>
      <c r="R31" s="446">
        <f>R$3*12-SUM($Q31:Q31)-SUMPRODUCT(--($C31:$N31&lt;=R$3),R$3-$C31:$N31)</f>
        <v>128255</v>
      </c>
      <c r="S31" s="446">
        <f>S$3*12-SUM($Q31:R31)-SUMPRODUCT(--($C31:$N31&lt;=S$3),S$3-$C31:$N31)</f>
        <v>12865</v>
      </c>
      <c r="T31" s="446">
        <f>T$3*12-SUM($Q31:S31)-SUMPRODUCT(--($C31:$N31&lt;=T$3),T$3-$C31:$N31)</f>
        <v>0</v>
      </c>
      <c r="U31" s="446">
        <f>U$3*12-SUM($Q31:T31)-SUMPRODUCT(--($C31:$N31&lt;=U$3),U$3-$C31:$N31)</f>
        <v>0</v>
      </c>
      <c r="V31" s="447"/>
      <c r="W31" s="446">
        <f>IF(O31&lt;250000,(250000-O31)*'JDM-7 pg 3'!$E$56,0)</f>
        <v>0</v>
      </c>
      <c r="X31" s="446">
        <f>IF(O31&lt;250000,(250000-O31)*'JDM-7 pg 3'!$K$56,0)</f>
        <v>0</v>
      </c>
      <c r="Y31" s="448">
        <f>Q31*'JDM-7 pg 3'!$D$51+'Big Schedules'!R31*'JDM-7 pg 3'!$D$52+'Big Schedules'!S31*'JDM-7 pg 3'!$D$53+'Big Schedules'!T31*'JDM-7 pg 3'!$D$54+'Big Schedules'!U31*'JDM-7 pg 3'!$D$55+'JDM-7 pg 3'!$D$49*12+W31</f>
        <v>44894.65395</v>
      </c>
      <c r="Z31" s="448">
        <f>Q31*'JDM-7 pg 3'!$K$51+'Big Schedules'!R31*'JDM-7 pg 3'!$K$52+'Big Schedules'!S31*'JDM-7 pg 3'!$K$53+'Big Schedules'!T31*'JDM-7 pg 3'!$K$54+'Big Schedules'!U31*'JDM-7 pg 3'!$K$55+'JDM-7 pg 3'!$K$49*12+X31</f>
        <v>51492.592020000004</v>
      </c>
      <c r="AA31" s="449">
        <f t="shared" si="2"/>
        <v>0.14696489424661219</v>
      </c>
      <c r="AB31" s="447"/>
      <c r="AC31" s="447"/>
    </row>
    <row r="32" spans="1:29">
      <c r="A32" s="421">
        <v>28</v>
      </c>
      <c r="B32" s="426"/>
      <c r="C32" s="374">
        <v>22818</v>
      </c>
      <c r="D32" s="374">
        <v>19208</v>
      </c>
      <c r="E32" s="374">
        <v>21125</v>
      </c>
      <c r="F32" s="374">
        <v>19746</v>
      </c>
      <c r="G32" s="374">
        <v>20514</v>
      </c>
      <c r="H32" s="374">
        <v>23663</v>
      </c>
      <c r="I32" s="374">
        <v>24251</v>
      </c>
      <c r="J32" s="374">
        <v>23611</v>
      </c>
      <c r="K32" s="374">
        <v>19906</v>
      </c>
      <c r="L32" s="374">
        <v>23440</v>
      </c>
      <c r="M32" s="374">
        <v>19866</v>
      </c>
      <c r="N32" s="374">
        <v>20172</v>
      </c>
      <c r="O32" s="446">
        <f t="shared" si="1"/>
        <v>258320</v>
      </c>
      <c r="P32" s="446"/>
      <c r="Q32" s="446" cm="1">
        <f t="array" ref="Q32">Q$3*12-SUMPRODUCT(--($C32:$N32&lt;=Q$3),Q$3-$C32:$N32)</f>
        <v>238726</v>
      </c>
      <c r="R32" s="446">
        <f>R$3*12-SUM($Q32:Q32)-SUMPRODUCT(--($C32:$N32&lt;=R$3),R$3-$C32:$N32)</f>
        <v>19594</v>
      </c>
      <c r="S32" s="446">
        <f>S$3*12-SUM($Q32:R32)-SUMPRODUCT(--($C32:$N32&lt;=S$3),S$3-$C32:$N32)</f>
        <v>0</v>
      </c>
      <c r="T32" s="446">
        <f>T$3*12-SUM($Q32:S32)-SUMPRODUCT(--($C32:$N32&lt;=T$3),T$3-$C32:$N32)</f>
        <v>0</v>
      </c>
      <c r="U32" s="446">
        <f>U$3*12-SUM($Q32:T32)-SUMPRODUCT(--($C32:$N32&lt;=U$3),U$3-$C32:$N32)</f>
        <v>0</v>
      </c>
      <c r="V32" s="447"/>
      <c r="W32" s="446">
        <f>IF(O32&lt;250000,(250000-O32)*'JDM-7 pg 3'!$E$56,0)</f>
        <v>0</v>
      </c>
      <c r="X32" s="446">
        <f>IF(O32&lt;250000,(250000-O32)*'JDM-7 pg 3'!$K$56,0)</f>
        <v>0</v>
      </c>
      <c r="Y32" s="448">
        <f>Q32*'JDM-7 pg 3'!$D$51+'Big Schedules'!R32*'JDM-7 pg 3'!$D$52+'Big Schedules'!S32*'JDM-7 pg 3'!$D$53+'Big Schedules'!T32*'JDM-7 pg 3'!$D$54+'Big Schedules'!U32*'JDM-7 pg 3'!$D$55+'JDM-7 pg 3'!$D$49*12+W32</f>
        <v>40240.346319999997</v>
      </c>
      <c r="Z32" s="448">
        <f>Q32*'JDM-7 pg 3'!$K$51+'Big Schedules'!R32*'JDM-7 pg 3'!$K$52+'Big Schedules'!S32*'JDM-7 pg 3'!$K$53+'Big Schedules'!T32*'JDM-7 pg 3'!$K$54+'Big Schedules'!U32*'JDM-7 pg 3'!$K$55+'JDM-7 pg 3'!$K$49*12+X32</f>
        <v>46226.02592</v>
      </c>
      <c r="AA32" s="449">
        <f t="shared" si="2"/>
        <v>0.14874821286080819</v>
      </c>
      <c r="AB32" s="451"/>
      <c r="AC32" s="447"/>
    </row>
    <row r="33" spans="1:29">
      <c r="A33" s="421">
        <v>29</v>
      </c>
      <c r="B33" s="426"/>
      <c r="C33" s="374">
        <v>174</v>
      </c>
      <c r="D33" s="374">
        <v>0</v>
      </c>
      <c r="E33" s="374">
        <v>0</v>
      </c>
      <c r="F33" s="374">
        <v>0</v>
      </c>
      <c r="G33" s="374">
        <v>10285</v>
      </c>
      <c r="H33" s="374">
        <v>94896</v>
      </c>
      <c r="I33" s="374">
        <v>126078</v>
      </c>
      <c r="J33" s="374">
        <v>112937</v>
      </c>
      <c r="K33" s="374">
        <v>83516</v>
      </c>
      <c r="L33" s="374">
        <v>36270</v>
      </c>
      <c r="M33" s="374">
        <v>32684</v>
      </c>
      <c r="N33" s="374">
        <v>7258</v>
      </c>
      <c r="O33" s="446">
        <f t="shared" si="1"/>
        <v>504098</v>
      </c>
      <c r="P33" s="446"/>
      <c r="Q33" s="446" cm="1">
        <f t="array" ref="Q33">Q$3*12-SUMPRODUCT(--($C33:$N33&lt;=Q$3),Q$3-$C33:$N33)</f>
        <v>137717</v>
      </c>
      <c r="R33" s="446">
        <f>R$3*12-SUM($Q33:Q33)-SUMPRODUCT(--($C33:$N33&lt;=R$3),R$3-$C33:$N33)</f>
        <v>148954</v>
      </c>
      <c r="S33" s="446">
        <f>S$3*12-SUM($Q33:R33)-SUMPRODUCT(--($C33:$N33&lt;=S$3),S$3-$C33:$N33)</f>
        <v>217427</v>
      </c>
      <c r="T33" s="446">
        <f>T$3*12-SUM($Q33:S33)-SUMPRODUCT(--($C33:$N33&lt;=T$3),T$3-$C33:$N33)</f>
        <v>0</v>
      </c>
      <c r="U33" s="446">
        <f>U$3*12-SUM($Q33:T33)-SUMPRODUCT(--($C33:$N33&lt;=U$3),U$3-$C33:$N33)</f>
        <v>0</v>
      </c>
      <c r="V33" s="447"/>
      <c r="W33" s="446">
        <f>IF(O33&lt;250000,(250000-O33)*'JDM-7 pg 3'!$E$56,0)</f>
        <v>0</v>
      </c>
      <c r="X33" s="446">
        <f>IF(O33&lt;250000,(250000-O33)*'JDM-7 pg 3'!$K$56,0)</f>
        <v>0</v>
      </c>
      <c r="Y33" s="448">
        <f>Q33*'JDM-7 pg 3'!$D$51+'Big Schedules'!R33*'JDM-7 pg 3'!$D$52+'Big Schedules'!S33*'JDM-7 pg 3'!$D$53+'Big Schedules'!T33*'JDM-7 pg 3'!$D$54+'Big Schedules'!U33*'JDM-7 pg 3'!$D$55+'JDM-7 pg 3'!$D$49*12+W33</f>
        <v>63669.202589999994</v>
      </c>
      <c r="Z33" s="448">
        <f>Q33*'JDM-7 pg 3'!$K$51+'Big Schedules'!R33*'JDM-7 pg 3'!$K$52+'Big Schedules'!S33*'JDM-7 pg 3'!$K$53+'Big Schedules'!T33*'JDM-7 pg 3'!$K$54+'Big Schedules'!U33*'JDM-7 pg 3'!$K$55+'JDM-7 pg 3'!$K$49*12+X33</f>
        <v>72735.757500000007</v>
      </c>
      <c r="AA33" s="449">
        <f t="shared" si="2"/>
        <v>0.14240094961428063</v>
      </c>
      <c r="AB33" s="447"/>
      <c r="AC33" s="447"/>
    </row>
    <row r="34" spans="1:29">
      <c r="A34" s="421">
        <v>30</v>
      </c>
      <c r="B34" s="426"/>
      <c r="C34" s="374">
        <v>7664</v>
      </c>
      <c r="D34" s="374">
        <v>2760</v>
      </c>
      <c r="E34" s="374">
        <v>2370</v>
      </c>
      <c r="F34" s="374">
        <v>6044</v>
      </c>
      <c r="G34" s="374">
        <v>27444</v>
      </c>
      <c r="H34" s="374">
        <v>64769</v>
      </c>
      <c r="I34" s="374">
        <v>59230</v>
      </c>
      <c r="J34" s="374">
        <v>54375</v>
      </c>
      <c r="K34" s="374">
        <v>62077</v>
      </c>
      <c r="L34" s="374">
        <v>62707</v>
      </c>
      <c r="M34" s="374">
        <v>35216</v>
      </c>
      <c r="N34" s="374">
        <v>4745</v>
      </c>
      <c r="O34" s="446">
        <f t="shared" si="1"/>
        <v>389401</v>
      </c>
      <c r="P34" s="446"/>
      <c r="Q34" s="446" cm="1">
        <f t="array" ref="Q34">Q$3*12-SUMPRODUCT(--($C34:$N34&lt;=Q$3),Q$3-$C34:$N34)</f>
        <v>163583</v>
      </c>
      <c r="R34" s="446">
        <f>R$3*12-SUM($Q34:Q34)-SUMPRODUCT(--($C34:$N34&lt;=R$3),R$3-$C34:$N34)</f>
        <v>172660</v>
      </c>
      <c r="S34" s="446">
        <f>S$3*12-SUM($Q34:R34)-SUMPRODUCT(--($C34:$N34&lt;=S$3),S$3-$C34:$N34)</f>
        <v>53158</v>
      </c>
      <c r="T34" s="446">
        <f>T$3*12-SUM($Q34:S34)-SUMPRODUCT(--($C34:$N34&lt;=T$3),T$3-$C34:$N34)</f>
        <v>0</v>
      </c>
      <c r="U34" s="446">
        <f>U$3*12-SUM($Q34:T34)-SUMPRODUCT(--($C34:$N34&lt;=U$3),U$3-$C34:$N34)</f>
        <v>0</v>
      </c>
      <c r="V34" s="447"/>
      <c r="W34" s="446">
        <f>IF(O34&lt;250000,(250000-O34)*'JDM-7 pg 3'!$E$56,0)</f>
        <v>0</v>
      </c>
      <c r="X34" s="446">
        <f>IF(O34&lt;250000,(250000-O34)*'JDM-7 pg 3'!$K$56,0)</f>
        <v>0</v>
      </c>
      <c r="Y34" s="448">
        <f>Q34*'JDM-7 pg 3'!$D$51+'Big Schedules'!R34*'JDM-7 pg 3'!$D$52+'Big Schedules'!S34*'JDM-7 pg 3'!$D$53+'Big Schedules'!T34*'JDM-7 pg 3'!$D$54+'Big Schedules'!U34*'JDM-7 pg 3'!$D$55+'JDM-7 pg 3'!$D$49*12+W34</f>
        <v>53126.493880000002</v>
      </c>
      <c r="Z34" s="448">
        <f>Q34*'JDM-7 pg 3'!$K$51+'Big Schedules'!R34*'JDM-7 pg 3'!$K$52+'Big Schedules'!S34*'JDM-7 pg 3'!$K$53+'Big Schedules'!T34*'JDM-7 pg 3'!$K$54+'Big Schedules'!U34*'JDM-7 pg 3'!$K$55+'JDM-7 pg 3'!$K$49*12+X34</f>
        <v>60806.817880000002</v>
      </c>
      <c r="AA34" s="449">
        <f t="shared" si="2"/>
        <v>0.14456673947556209</v>
      </c>
      <c r="AB34" s="447"/>
      <c r="AC34" s="447"/>
    </row>
    <row r="35" spans="1:29">
      <c r="A35" s="421">
        <v>31</v>
      </c>
      <c r="B35" s="426"/>
      <c r="C35" s="374">
        <v>131152</v>
      </c>
      <c r="D35" s="374">
        <v>125854</v>
      </c>
      <c r="E35" s="374">
        <v>129618</v>
      </c>
      <c r="F35" s="374">
        <v>135019</v>
      </c>
      <c r="G35" s="374">
        <v>155730</v>
      </c>
      <c r="H35" s="374">
        <v>273516</v>
      </c>
      <c r="I35" s="374">
        <v>307449</v>
      </c>
      <c r="J35" s="374">
        <v>261278</v>
      </c>
      <c r="K35" s="374">
        <v>236945</v>
      </c>
      <c r="L35" s="374">
        <v>232364</v>
      </c>
      <c r="M35" s="374">
        <v>188252</v>
      </c>
      <c r="N35" s="374">
        <v>140328</v>
      </c>
      <c r="O35" s="446">
        <f t="shared" si="1"/>
        <v>2317505</v>
      </c>
      <c r="P35" s="446"/>
      <c r="Q35" s="446" cm="1">
        <f t="array" ref="Q35">Q$3*12-SUMPRODUCT(--($C35:$N35&lt;=Q$3),Q$3-$C35:$N35)</f>
        <v>240000</v>
      </c>
      <c r="R35" s="446">
        <f>R$3*12-SUM($Q35:Q35)-SUMPRODUCT(--($C35:$N35&lt;=R$3),R$3-$C35:$N35)</f>
        <v>360000</v>
      </c>
      <c r="S35" s="446">
        <f>S$3*12-SUM($Q35:R35)-SUMPRODUCT(--($C35:$N35&lt;=S$3),S$3-$C35:$N35)</f>
        <v>1710056</v>
      </c>
      <c r="T35" s="446">
        <f>T$3*12-SUM($Q35:S35)-SUMPRODUCT(--($C35:$N35&lt;=T$3),T$3-$C35:$N35)</f>
        <v>7449</v>
      </c>
      <c r="U35" s="446">
        <f>U$3*12-SUM($Q35:T35)-SUMPRODUCT(--($C35:$N35&lt;=U$3),U$3-$C35:$N35)</f>
        <v>0</v>
      </c>
      <c r="V35" s="447"/>
      <c r="W35" s="446">
        <f>IF(O35&lt;250000,(250000-O35)*'JDM-7 pg 3'!$E$56,0)</f>
        <v>0</v>
      </c>
      <c r="X35" s="446">
        <f>IF(O35&lt;250000,(250000-O35)*'JDM-7 pg 3'!$K$56,0)</f>
        <v>0</v>
      </c>
      <c r="Y35" s="448">
        <f>Q35*'JDM-7 pg 3'!$D$51+'Big Schedules'!R35*'JDM-7 pg 3'!$D$52+'Big Schedules'!S35*'JDM-7 pg 3'!$D$53+'Big Schedules'!T35*'JDM-7 pg 3'!$D$54+'Big Schedules'!U35*'JDM-7 pg 3'!$D$55+'JDM-7 pg 3'!$D$49*12+W35</f>
        <v>249237.35605</v>
      </c>
      <c r="Z35" s="448">
        <f>Q35*'JDM-7 pg 3'!$K$51+'Big Schedules'!R35*'JDM-7 pg 3'!$K$52+'Big Schedules'!S35*'JDM-7 pg 3'!$K$53+'Big Schedules'!T35*'JDM-7 pg 3'!$K$54+'Big Schedules'!U35*'JDM-7 pg 3'!$K$55+'JDM-7 pg 3'!$K$49*12+X35</f>
        <v>282702.47209</v>
      </c>
      <c r="AA35" s="449">
        <f t="shared" si="2"/>
        <v>0.13427006517147655</v>
      </c>
      <c r="AB35" s="447"/>
      <c r="AC35" s="447"/>
    </row>
    <row r="36" spans="1:29">
      <c r="A36" s="421">
        <v>32</v>
      </c>
      <c r="B36" s="426"/>
      <c r="C36" s="374">
        <v>48399</v>
      </c>
      <c r="D36" s="374">
        <v>41355</v>
      </c>
      <c r="E36" s="374">
        <v>42058</v>
      </c>
      <c r="F36" s="374">
        <v>47577</v>
      </c>
      <c r="G36" s="374">
        <v>6873</v>
      </c>
      <c r="H36" s="374">
        <v>72227</v>
      </c>
      <c r="I36" s="374">
        <v>79940</v>
      </c>
      <c r="J36" s="374">
        <v>71373</v>
      </c>
      <c r="K36" s="374">
        <v>64983</v>
      </c>
      <c r="L36" s="374">
        <v>65990</v>
      </c>
      <c r="M36" s="374">
        <v>58279</v>
      </c>
      <c r="N36" s="374">
        <v>46417</v>
      </c>
      <c r="O36" s="446">
        <f t="shared" si="1"/>
        <v>645471</v>
      </c>
      <c r="P36" s="446"/>
      <c r="Q36" s="446" cm="1">
        <f t="array" ref="Q36">Q$3*12-SUMPRODUCT(--($C36:$N36&lt;=Q$3),Q$3-$C36:$N36)</f>
        <v>226873</v>
      </c>
      <c r="R36" s="446">
        <f>R$3*12-SUM($Q36:Q36)-SUMPRODUCT(--($C36:$N36&lt;=R$3),R$3-$C36:$N36)</f>
        <v>305806</v>
      </c>
      <c r="S36" s="446">
        <f>S$3*12-SUM($Q36:R36)-SUMPRODUCT(--($C36:$N36&lt;=S$3),S$3-$C36:$N36)</f>
        <v>112792</v>
      </c>
      <c r="T36" s="446">
        <f>T$3*12-SUM($Q36:S36)-SUMPRODUCT(--($C36:$N36&lt;=T$3),T$3-$C36:$N36)</f>
        <v>0</v>
      </c>
      <c r="U36" s="446">
        <f>U$3*12-SUM($Q36:T36)-SUMPRODUCT(--($C36:$N36&lt;=U$3),U$3-$C36:$N36)</f>
        <v>0</v>
      </c>
      <c r="V36" s="447"/>
      <c r="W36" s="446">
        <f>IF(O36&lt;250000,(250000-O36)*'JDM-7 pg 3'!$E$56,0)</f>
        <v>0</v>
      </c>
      <c r="X36" s="446">
        <f>IF(O36&lt;250000,(250000-O36)*'JDM-7 pg 3'!$K$56,0)</f>
        <v>0</v>
      </c>
      <c r="Y36" s="448">
        <f>Q36*'JDM-7 pg 3'!$D$51+'Big Schedules'!R36*'JDM-7 pg 3'!$D$52+'Big Schedules'!S36*'JDM-7 pg 3'!$D$53+'Big Schedules'!T36*'JDM-7 pg 3'!$D$54+'Big Schedules'!U36*'JDM-7 pg 3'!$D$55+'JDM-7 pg 3'!$D$49*12+W36</f>
        <v>81662.831699999995</v>
      </c>
      <c r="Z36" s="448">
        <f>Q36*'JDM-7 pg 3'!$K$51+'Big Schedules'!R36*'JDM-7 pg 3'!$K$52+'Big Schedules'!S36*'JDM-7 pg 3'!$K$53+'Big Schedules'!T36*'JDM-7 pg 3'!$K$54+'Big Schedules'!U36*'JDM-7 pg 3'!$K$55+'JDM-7 pg 3'!$K$49*12+X36</f>
        <v>93095.058879999997</v>
      </c>
      <c r="AA36" s="449">
        <f t="shared" si="2"/>
        <v>0.13999302916653567</v>
      </c>
      <c r="AB36" s="447"/>
      <c r="AC36" s="447"/>
    </row>
    <row r="37" spans="1:29">
      <c r="A37" s="421">
        <v>33</v>
      </c>
      <c r="B37" s="426"/>
      <c r="C37" s="374">
        <v>8226</v>
      </c>
      <c r="D37" s="374">
        <v>7418</v>
      </c>
      <c r="E37" s="374">
        <v>7990</v>
      </c>
      <c r="F37" s="374">
        <v>10141</v>
      </c>
      <c r="G37" s="374">
        <v>16676</v>
      </c>
      <c r="H37" s="374">
        <v>34697</v>
      </c>
      <c r="I37" s="374">
        <v>40914</v>
      </c>
      <c r="J37" s="374">
        <v>32604</v>
      </c>
      <c r="K37" s="374">
        <v>28638</v>
      </c>
      <c r="L37" s="374">
        <v>26762</v>
      </c>
      <c r="M37" s="374">
        <v>20242</v>
      </c>
      <c r="N37" s="374">
        <v>16598</v>
      </c>
      <c r="O37" s="446">
        <f t="shared" si="1"/>
        <v>250906</v>
      </c>
      <c r="P37" s="446"/>
      <c r="Q37" s="446" cm="1">
        <f t="array" ref="Q37">Q$3*12-SUMPRODUCT(--($C37:$N37&lt;=Q$3),Q$3-$C37:$N37)</f>
        <v>187049</v>
      </c>
      <c r="R37" s="446">
        <f>R$3*12-SUM($Q37:Q37)-SUMPRODUCT(--($C37:$N37&lt;=R$3),R$3-$C37:$N37)</f>
        <v>63857</v>
      </c>
      <c r="S37" s="446">
        <f>S$3*12-SUM($Q37:R37)-SUMPRODUCT(--($C37:$N37&lt;=S$3),S$3-$C37:$N37)</f>
        <v>0</v>
      </c>
      <c r="T37" s="446">
        <f>T$3*12-SUM($Q37:S37)-SUMPRODUCT(--($C37:$N37&lt;=T$3),T$3-$C37:$N37)</f>
        <v>0</v>
      </c>
      <c r="U37" s="446">
        <f>U$3*12-SUM($Q37:T37)-SUMPRODUCT(--($C37:$N37&lt;=U$3),U$3-$C37:$N37)</f>
        <v>0</v>
      </c>
      <c r="V37" s="447"/>
      <c r="W37" s="446">
        <f>IF(O37&lt;250000,(250000-O37)*'JDM-7 pg 3'!$E$56,0)</f>
        <v>0</v>
      </c>
      <c r="X37" s="446">
        <f>IF(O37&lt;250000,(250000-O37)*'JDM-7 pg 3'!$K$56,0)</f>
        <v>0</v>
      </c>
      <c r="Y37" s="448">
        <f>Q37*'JDM-7 pg 3'!$D$51+'Big Schedules'!R37*'JDM-7 pg 3'!$D$52+'Big Schedules'!S37*'JDM-7 pg 3'!$D$53+'Big Schedules'!T37*'JDM-7 pg 3'!$D$54+'Big Schedules'!U37*'JDM-7 pg 3'!$D$55+'JDM-7 pg 3'!$D$49*12+W37</f>
        <v>38711.497759999998</v>
      </c>
      <c r="Z37" s="448">
        <f>Q37*'JDM-7 pg 3'!$K$51+'Big Schedules'!R37*'JDM-7 pg 3'!$K$52+'Big Schedules'!S37*'JDM-7 pg 3'!$K$53+'Big Schedules'!T37*'JDM-7 pg 3'!$K$54+'Big Schedules'!U37*'JDM-7 pg 3'!$K$55+'JDM-7 pg 3'!$K$49*12+X37</f>
        <v>44496.359199999999</v>
      </c>
      <c r="AA37" s="449">
        <f t="shared" si="2"/>
        <v>0.1494352266053991</v>
      </c>
      <c r="AB37" s="447"/>
      <c r="AC37" s="447"/>
    </row>
    <row r="38" spans="1:29">
      <c r="A38" s="421">
        <v>34</v>
      </c>
      <c r="B38" s="426"/>
      <c r="C38" s="374">
        <v>83960</v>
      </c>
      <c r="D38" s="374">
        <v>87312</v>
      </c>
      <c r="E38" s="374">
        <v>81340</v>
      </c>
      <c r="F38" s="374">
        <v>79841</v>
      </c>
      <c r="G38" s="374">
        <v>72223</v>
      </c>
      <c r="H38" s="374">
        <v>77211</v>
      </c>
      <c r="I38" s="374">
        <v>77120</v>
      </c>
      <c r="J38" s="374">
        <v>76999</v>
      </c>
      <c r="K38" s="374">
        <v>69720</v>
      </c>
      <c r="L38" s="374">
        <v>84716</v>
      </c>
      <c r="M38" s="374">
        <v>81210</v>
      </c>
      <c r="N38" s="374">
        <v>91531</v>
      </c>
      <c r="O38" s="446">
        <f t="shared" si="1"/>
        <v>963183</v>
      </c>
      <c r="P38" s="446"/>
      <c r="Q38" s="446" cm="1">
        <f t="array" ref="Q38">Q$3*12-SUMPRODUCT(--($C38:$N38&lt;=Q$3),Q$3-$C38:$N38)</f>
        <v>240000</v>
      </c>
      <c r="R38" s="446">
        <f>R$3*12-SUM($Q38:Q38)-SUMPRODUCT(--($C38:$N38&lt;=R$3),R$3-$C38:$N38)</f>
        <v>360000</v>
      </c>
      <c r="S38" s="446">
        <f>S$3*12-SUM($Q38:R38)-SUMPRODUCT(--($C38:$N38&lt;=S$3),S$3-$C38:$N38)</f>
        <v>363183</v>
      </c>
      <c r="T38" s="446">
        <f>T$3*12-SUM($Q38:S38)-SUMPRODUCT(--($C38:$N38&lt;=T$3),T$3-$C38:$N38)</f>
        <v>0</v>
      </c>
      <c r="U38" s="446">
        <f>U$3*12-SUM($Q38:T38)-SUMPRODUCT(--($C38:$N38&lt;=U$3),U$3-$C38:$N38)</f>
        <v>0</v>
      </c>
      <c r="V38" s="447"/>
      <c r="W38" s="446">
        <f>IF(O38&lt;250000,(250000-O38)*'JDM-7 pg 3'!$E$56,0)</f>
        <v>0</v>
      </c>
      <c r="X38" s="446">
        <f>IF(O38&lt;250000,(250000-O38)*'JDM-7 pg 3'!$K$56,0)</f>
        <v>0</v>
      </c>
      <c r="Y38" s="448">
        <f>Q38*'JDM-7 pg 3'!$D$51+'Big Schedules'!R38*'JDM-7 pg 3'!$D$52+'Big Schedules'!S38*'JDM-7 pg 3'!$D$53+'Big Schedules'!T38*'JDM-7 pg 3'!$D$54+'Big Schedules'!U38*'JDM-7 pg 3'!$D$55+'JDM-7 pg 3'!$D$49*12+W38</f>
        <v>114253.77692999999</v>
      </c>
      <c r="Z38" s="448">
        <f>Q38*'JDM-7 pg 3'!$K$51+'Big Schedules'!R38*'JDM-7 pg 3'!$K$52+'Big Schedules'!S38*'JDM-7 pg 3'!$K$53+'Big Schedules'!T38*'JDM-7 pg 3'!$K$54+'Big Schedules'!U38*'JDM-7 pg 3'!$K$55+'JDM-7 pg 3'!$K$49*12+X38</f>
        <v>129971.10606000001</v>
      </c>
      <c r="AA38" s="449">
        <f t="shared" si="2"/>
        <v>0.137565072703282</v>
      </c>
      <c r="AB38" s="447"/>
      <c r="AC38" s="447"/>
    </row>
    <row r="39" spans="1:29" s="421" customFormat="1">
      <c r="A39" s="421">
        <v>35</v>
      </c>
      <c r="B39" s="426"/>
      <c r="C39" s="452">
        <v>130366</v>
      </c>
      <c r="D39" s="452">
        <v>133042</v>
      </c>
      <c r="E39" s="452">
        <v>131722</v>
      </c>
      <c r="F39" s="452">
        <v>128845</v>
      </c>
      <c r="G39" s="452">
        <v>141732</v>
      </c>
      <c r="H39" s="452">
        <v>150014</v>
      </c>
      <c r="I39" s="452">
        <v>162460</v>
      </c>
      <c r="J39" s="452">
        <v>118145</v>
      </c>
      <c r="K39" s="452">
        <v>134273</v>
      </c>
      <c r="L39" s="452">
        <v>143718</v>
      </c>
      <c r="M39" s="452">
        <v>126712</v>
      </c>
      <c r="N39" s="452">
        <v>126138</v>
      </c>
      <c r="O39" s="446">
        <f t="shared" si="1"/>
        <v>1627167</v>
      </c>
      <c r="P39" s="453"/>
      <c r="Q39" s="446" cm="1">
        <f t="array" ref="Q39">Q$3*12-SUMPRODUCT(--($C39:$N39&lt;=Q$3),Q$3-$C39:$N39)</f>
        <v>240000</v>
      </c>
      <c r="R39" s="446">
        <f>R$3*12-SUM($Q39:Q39)-SUMPRODUCT(--($C39:$N39&lt;=R$3),R$3-$C39:$N39)</f>
        <v>360000</v>
      </c>
      <c r="S39" s="446">
        <f>S$3*12-SUM($Q39:R39)-SUMPRODUCT(--($C39:$N39&lt;=S$3),S$3-$C39:$N39)</f>
        <v>1027167</v>
      </c>
      <c r="T39" s="446">
        <f>T$3*12-SUM($Q39:S39)-SUMPRODUCT(--($C39:$N39&lt;=T$3),T$3-$C39:$N39)</f>
        <v>0</v>
      </c>
      <c r="U39" s="446">
        <f>U$3*12-SUM($Q39:T39)-SUMPRODUCT(--($C39:$N39&lt;=U$3),U$3-$C39:$N39)</f>
        <v>0</v>
      </c>
      <c r="V39" s="454"/>
      <c r="W39" s="446">
        <f>IF(O39&lt;250000,(250000-O39)*'JDM-7 pg 3'!$E$56,0)</f>
        <v>0</v>
      </c>
      <c r="X39" s="446">
        <f>IF(O39&lt;250000,(250000-O39)*'JDM-7 pg 3'!$K$56,0)</f>
        <v>0</v>
      </c>
      <c r="Y39" s="448">
        <f>Q39*'JDM-7 pg 3'!$D$51+'Big Schedules'!R39*'JDM-7 pg 3'!$D$52+'Big Schedules'!S39*'JDM-7 pg 3'!$D$53+'Big Schedules'!T39*'JDM-7 pg 3'!$D$54+'Big Schedules'!U39*'JDM-7 pg 3'!$D$55+'JDM-7 pg 3'!$D$49*12+W39</f>
        <v>180459.62156999999</v>
      </c>
      <c r="Z39" s="448">
        <f>Q39*'JDM-7 pg 3'!$K$51+'Big Schedules'!R39*'JDM-7 pg 3'!$K$52+'Big Schedules'!S39*'JDM-7 pg 3'!$K$53+'Big Schedules'!T39*'JDM-7 pg 3'!$K$54+'Big Schedules'!U39*'JDM-7 pg 3'!$K$55+'JDM-7 pg 3'!$K$49*12+X39</f>
        <v>204881.78094000003</v>
      </c>
      <c r="AA39" s="449">
        <f t="shared" si="2"/>
        <v>0.13533309644299973</v>
      </c>
      <c r="AB39" s="454"/>
      <c r="AC39" s="454"/>
    </row>
    <row r="40" spans="1:29">
      <c r="B40" s="373"/>
      <c r="C40" s="375"/>
      <c r="D40" s="375"/>
      <c r="E40" s="375"/>
      <c r="F40" s="375"/>
      <c r="G40" s="375"/>
      <c r="H40" s="375"/>
      <c r="I40" s="375"/>
      <c r="J40" s="375"/>
      <c r="K40" s="375"/>
      <c r="L40" s="375"/>
      <c r="M40" s="375"/>
      <c r="N40" s="375"/>
      <c r="O40" s="455">
        <f t="shared" si="1"/>
        <v>0</v>
      </c>
      <c r="P40" s="456"/>
      <c r="Q40" s="456">
        <f t="shared" ref="Q40" si="3">Q$3*12-SUMPRODUCT(--($C40:$N40&lt;=Q$3),Q$3-$C40:$N40)</f>
        <v>0</v>
      </c>
      <c r="R40" s="456">
        <f>R$3*12-SUM($Q40:Q40)-SUMPRODUCT(--($C40:$N40&lt;=R$3),R$3-$C40:$N40)</f>
        <v>0</v>
      </c>
      <c r="S40" s="456">
        <f>S$3*12-SUM($Q40:R40)-SUMPRODUCT(--($C40:$N40&lt;=S$3),S$3-$C40:$N40)</f>
        <v>0</v>
      </c>
      <c r="T40" s="446">
        <f>T$3*12-SUM($Q40:S40)-SUMPRODUCT(--($C40:$N40&lt;=T$3),T$3-$C40:$N40)</f>
        <v>0</v>
      </c>
      <c r="U40" s="446">
        <f>U$3*12-SUM($Q40:T40)-SUMPRODUCT(--($C40:$N40&lt;=U$3),U$3-$C40:$N40)</f>
        <v>0</v>
      </c>
      <c r="V40" s="447"/>
      <c r="W40" s="446"/>
      <c r="X40" s="446"/>
      <c r="Y40" s="448"/>
      <c r="Z40" s="448"/>
      <c r="AA40" s="449"/>
      <c r="AB40" s="447"/>
      <c r="AC40" s="447"/>
    </row>
    <row r="41" spans="1:29">
      <c r="B41" s="360"/>
      <c r="C41" s="362"/>
      <c r="D41" s="362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457"/>
      <c r="P41" s="446"/>
      <c r="Q41" s="446"/>
      <c r="R41" s="446"/>
      <c r="S41" s="446"/>
      <c r="T41" s="446"/>
      <c r="U41" s="446"/>
      <c r="V41" s="447"/>
      <c r="W41" s="446"/>
      <c r="X41" s="446"/>
      <c r="Y41" s="448"/>
      <c r="Z41" s="448"/>
      <c r="AA41" s="449"/>
      <c r="AB41" s="447"/>
      <c r="AC41" s="447"/>
    </row>
    <row r="42" spans="1:29">
      <c r="B42" s="360"/>
      <c r="C42" s="362"/>
      <c r="D42" s="362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446"/>
      <c r="P42" s="446"/>
      <c r="Q42" s="446"/>
      <c r="R42" s="446"/>
      <c r="S42" s="446"/>
      <c r="T42" s="446"/>
      <c r="U42" s="446"/>
      <c r="V42" s="447"/>
      <c r="W42" s="446"/>
      <c r="X42" s="447"/>
      <c r="Y42" s="448"/>
      <c r="Z42" s="448"/>
      <c r="AA42" s="449"/>
      <c r="AB42" s="447"/>
      <c r="AC42" s="447"/>
    </row>
    <row r="43" spans="1:29"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7"/>
      <c r="W43" s="456"/>
      <c r="X43" s="458"/>
      <c r="Y43" s="448"/>
      <c r="Z43" s="447"/>
      <c r="AA43" s="449"/>
      <c r="AB43" s="447"/>
      <c r="AC43" s="447"/>
    </row>
    <row r="44" spans="1:29" ht="13.5" thickBot="1">
      <c r="B44" s="352" t="s">
        <v>100</v>
      </c>
      <c r="C44" s="459">
        <f t="shared" ref="C44:N44" si="4">SUM(C5:C43)</f>
        <v>2389404</v>
      </c>
      <c r="D44" s="459">
        <f t="shared" si="4"/>
        <v>2159877</v>
      </c>
      <c r="E44" s="459">
        <f t="shared" si="4"/>
        <v>2137664</v>
      </c>
      <c r="F44" s="459">
        <f t="shared" si="4"/>
        <v>2191699</v>
      </c>
      <c r="G44" s="459">
        <f t="shared" si="4"/>
        <v>2389465</v>
      </c>
      <c r="H44" s="459">
        <f t="shared" si="4"/>
        <v>3324881</v>
      </c>
      <c r="I44" s="459">
        <f t="shared" si="4"/>
        <v>3281201</v>
      </c>
      <c r="J44" s="459">
        <f t="shared" si="4"/>
        <v>3266473</v>
      </c>
      <c r="K44" s="459">
        <f t="shared" si="4"/>
        <v>3075098</v>
      </c>
      <c r="L44" s="459">
        <f t="shared" si="4"/>
        <v>3023851</v>
      </c>
      <c r="M44" s="459">
        <f t="shared" si="4"/>
        <v>2633696</v>
      </c>
      <c r="N44" s="459">
        <f t="shared" si="4"/>
        <v>2320043</v>
      </c>
      <c r="O44" s="460">
        <f>IF(ROUND(SUM(O5:O43),3)&lt;&gt;ROUND(SUM(C44:N44),3),#VALUE!,SUM(C44:N44))</f>
        <v>32193352</v>
      </c>
      <c r="P44" s="461"/>
      <c r="Q44" s="459">
        <f>SUM(Q5:Q43)</f>
        <v>7217935</v>
      </c>
      <c r="R44" s="459">
        <f>SUM(R5:R43)</f>
        <v>7083974</v>
      </c>
      <c r="S44" s="459">
        <f>SUM(S5:S43)</f>
        <v>13394294</v>
      </c>
      <c r="T44" s="459">
        <f>SUM(T5:T43)</f>
        <v>2724881</v>
      </c>
      <c r="U44" s="459">
        <f>SUM(U5:U43)</f>
        <v>1772268</v>
      </c>
      <c r="V44" s="447"/>
      <c r="W44" s="446">
        <f>SUM(W5:W43)</f>
        <v>49658.713499999998</v>
      </c>
      <c r="X44" s="446">
        <f>SUM(X5:X43)</f>
        <v>56188.264000000003</v>
      </c>
      <c r="Y44" s="448">
        <f>SUM(Y5:Y43)</f>
        <v>3733818.3830700009</v>
      </c>
      <c r="Z44" s="448">
        <f>SUM(Z5:Z43)</f>
        <v>4249060.0869699987</v>
      </c>
      <c r="AA44" s="449">
        <f t="shared" si="2"/>
        <v>0.13799324204846797</v>
      </c>
      <c r="AB44" s="447"/>
      <c r="AC44" s="447"/>
    </row>
    <row r="45" spans="1:29" ht="13.5" thickTop="1">
      <c r="B45" s="352"/>
      <c r="C45" s="462"/>
      <c r="D45" s="462"/>
      <c r="E45" s="462"/>
      <c r="F45" s="462"/>
      <c r="G45" s="462"/>
      <c r="H45" s="462"/>
      <c r="I45" s="462"/>
      <c r="J45" s="462"/>
      <c r="K45" s="462"/>
      <c r="L45" s="462"/>
      <c r="M45" s="462"/>
      <c r="N45" s="462"/>
      <c r="O45" s="462"/>
      <c r="P45" s="463"/>
      <c r="Q45" s="462"/>
      <c r="R45" s="462"/>
      <c r="S45" s="462"/>
      <c r="T45" s="462"/>
      <c r="U45" s="446">
        <f>SUM(Q44:U44)</f>
        <v>32193352</v>
      </c>
      <c r="V45" s="447"/>
      <c r="W45" s="447"/>
      <c r="X45" s="447"/>
      <c r="Y45" s="448">
        <f ca="1">(Y44/1000)-RS!D18</f>
        <v>9.5700015663169324E-6</v>
      </c>
      <c r="Z45" s="448">
        <f ca="1">(Z44/1000)-RS!F18</f>
        <v>2.9699986043851823E-6</v>
      </c>
      <c r="AA45" s="451"/>
      <c r="AB45" s="447"/>
      <c r="AC45" s="447"/>
    </row>
    <row r="46" spans="1:29">
      <c r="B46" s="301" t="s">
        <v>98</v>
      </c>
      <c r="C46" s="332">
        <f>'12MEJUN23'!D170</f>
        <v>2422810</v>
      </c>
      <c r="D46" s="332">
        <f>'12MEJUN23'!E170</f>
        <v>2139256</v>
      </c>
      <c r="E46" s="332">
        <f>'12MEJUN23'!F170</f>
        <v>2116204</v>
      </c>
      <c r="F46" s="332">
        <f>'12MEJUN23'!G170</f>
        <v>2189947</v>
      </c>
      <c r="G46" s="332">
        <f>'12MEJUN23'!H170</f>
        <v>2469519</v>
      </c>
      <c r="H46" s="332">
        <f>'12MEJUN23'!I170</f>
        <v>3578929</v>
      </c>
      <c r="I46" s="332">
        <f>'12MEJUN23'!J170</f>
        <v>3591717</v>
      </c>
      <c r="J46" s="332">
        <f>'12MEJUN23'!K170</f>
        <v>3528113</v>
      </c>
      <c r="K46" s="332">
        <f>'12MEJUN23'!L170</f>
        <v>3299634</v>
      </c>
      <c r="L46" s="332">
        <f>'12MEJUN23'!M170</f>
        <v>3194133</v>
      </c>
      <c r="M46" s="332">
        <f>'12MEJUN23'!N170</f>
        <v>2720728</v>
      </c>
      <c r="N46" s="332">
        <f>'12MEJUN23'!O170</f>
        <v>2247224</v>
      </c>
      <c r="O46" s="332">
        <f>SUM(C46:N46)</f>
        <v>33498214</v>
      </c>
      <c r="P46" s="332"/>
      <c r="Q46" s="464" t="s">
        <v>90</v>
      </c>
      <c r="R46" s="465">
        <f>Q47</f>
        <v>200</v>
      </c>
      <c r="S46" s="465">
        <f>R47</f>
        <v>1000</v>
      </c>
      <c r="T46" s="465">
        <f>S47</f>
        <v>10000</v>
      </c>
      <c r="U46" s="465">
        <f>T47</f>
        <v>25000</v>
      </c>
      <c r="V46" s="447"/>
      <c r="W46" s="447"/>
      <c r="X46" s="447"/>
      <c r="Y46" s="447"/>
      <c r="Z46" s="447"/>
      <c r="AA46" s="447"/>
      <c r="AB46" s="447"/>
      <c r="AC46" s="447"/>
    </row>
    <row r="47" spans="1:29">
      <c r="B47" s="411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7" t="s">
        <v>393</v>
      </c>
      <c r="P47" s="463"/>
      <c r="Q47" s="468">
        <v>200</v>
      </c>
      <c r="R47" s="468">
        <v>1000</v>
      </c>
      <c r="S47" s="468">
        <v>10000</v>
      </c>
      <c r="T47" s="468">
        <v>25000</v>
      </c>
      <c r="U47" s="469">
        <v>99999999</v>
      </c>
      <c r="V47" s="447"/>
      <c r="W47" s="447"/>
      <c r="X47" s="447"/>
      <c r="Y47" s="447"/>
      <c r="Z47" s="447"/>
      <c r="AA47" s="447"/>
      <c r="AB47" s="447"/>
      <c r="AC47" s="447"/>
    </row>
    <row r="48" spans="1:29">
      <c r="B48" s="411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7" t="s">
        <v>403</v>
      </c>
      <c r="P48" s="463"/>
      <c r="Q48" s="468">
        <v>10000</v>
      </c>
      <c r="R48" s="468">
        <v>25000</v>
      </c>
      <c r="S48" s="468">
        <v>50000</v>
      </c>
      <c r="T48" s="469">
        <v>99999999</v>
      </c>
      <c r="U48" s="469"/>
      <c r="V48" s="447"/>
      <c r="W48" s="447"/>
      <c r="X48" s="447"/>
      <c r="Y48" s="447"/>
      <c r="Z48" s="447"/>
      <c r="AA48" s="447"/>
      <c r="AB48" s="447"/>
      <c r="AC48" s="447"/>
    </row>
    <row r="49" spans="2:46" s="421" customFormat="1">
      <c r="B49" s="426"/>
      <c r="C49" s="444">
        <v>81449</v>
      </c>
      <c r="D49" s="444">
        <v>66130</v>
      </c>
      <c r="E49" s="444">
        <v>65135</v>
      </c>
      <c r="F49" s="444">
        <v>67845</v>
      </c>
      <c r="G49" s="444">
        <v>81688</v>
      </c>
      <c r="H49" s="470">
        <v>0</v>
      </c>
      <c r="I49" s="444">
        <v>0</v>
      </c>
      <c r="J49" s="444">
        <v>0</v>
      </c>
      <c r="K49" s="444">
        <v>0</v>
      </c>
      <c r="L49" s="444">
        <v>0</v>
      </c>
      <c r="M49" s="444">
        <v>0</v>
      </c>
      <c r="N49" s="444">
        <v>0</v>
      </c>
      <c r="O49" s="471">
        <f t="shared" ref="O49" si="5">SUM(C49:N49)</f>
        <v>362247</v>
      </c>
      <c r="P49" s="472"/>
      <c r="Q49" s="473"/>
      <c r="R49" s="474"/>
      <c r="S49" s="474"/>
      <c r="T49" s="474"/>
      <c r="U49" s="475"/>
      <c r="V49" s="454"/>
      <c r="W49" s="454"/>
      <c r="X49" s="454"/>
      <c r="Y49" s="454"/>
      <c r="Z49" s="454"/>
      <c r="AA49" s="454"/>
      <c r="AB49" s="454"/>
      <c r="AC49" s="454"/>
    </row>
    <row r="50" spans="2:46" s="421" customFormat="1">
      <c r="B50" s="426"/>
      <c r="C50" s="444">
        <v>20629</v>
      </c>
      <c r="D50" s="444">
        <v>18096</v>
      </c>
      <c r="E50" s="444">
        <v>18108</v>
      </c>
      <c r="F50" s="444">
        <v>19181</v>
      </c>
      <c r="G50" s="444">
        <v>23430</v>
      </c>
      <c r="H50" s="470">
        <v>0</v>
      </c>
      <c r="I50" s="444">
        <v>0</v>
      </c>
      <c r="J50" s="444">
        <v>0</v>
      </c>
      <c r="K50" s="444">
        <v>0</v>
      </c>
      <c r="L50" s="444">
        <v>0</v>
      </c>
      <c r="M50" s="444">
        <v>0</v>
      </c>
      <c r="N50" s="444">
        <v>0</v>
      </c>
      <c r="O50" s="471">
        <f>SUM(C50:N50)</f>
        <v>99444</v>
      </c>
      <c r="P50" s="472"/>
      <c r="Q50" s="476"/>
      <c r="R50" s="477"/>
      <c r="S50" s="477"/>
      <c r="T50" s="477"/>
      <c r="U50" s="478"/>
      <c r="V50" s="454"/>
      <c r="W50" s="454"/>
      <c r="X50" s="454"/>
      <c r="Y50" s="454"/>
      <c r="Z50" s="454"/>
      <c r="AA50" s="454"/>
      <c r="AB50" s="454"/>
      <c r="AC50" s="454"/>
    </row>
    <row r="51" spans="2:46" s="421" customFormat="1">
      <c r="B51" s="426"/>
      <c r="C51" s="444">
        <v>16118</v>
      </c>
      <c r="D51" s="444">
        <v>12095</v>
      </c>
      <c r="E51" s="444">
        <v>12352</v>
      </c>
      <c r="F51" s="444">
        <v>16198</v>
      </c>
      <c r="G51" s="470">
        <v>0</v>
      </c>
      <c r="H51" s="444">
        <v>0</v>
      </c>
      <c r="I51" s="444">
        <v>0</v>
      </c>
      <c r="J51" s="444">
        <v>0</v>
      </c>
      <c r="K51" s="444">
        <v>0</v>
      </c>
      <c r="L51" s="444">
        <v>0</v>
      </c>
      <c r="M51" s="444">
        <v>0</v>
      </c>
      <c r="N51" s="444">
        <v>0</v>
      </c>
      <c r="O51" s="471">
        <f>SUM(C51:N51)</f>
        <v>56763</v>
      </c>
      <c r="P51" s="472"/>
      <c r="Q51" s="476" cm="1">
        <f t="array" ref="Q51">Q$47*12-SUMPRODUCT(--($C51:$N51&lt;=Q$47),Q$47-$C51:$N51)</f>
        <v>800</v>
      </c>
      <c r="R51" s="477" cm="1">
        <f t="array" ref="R51">R$47*12-SUM($Q51:Q51)-SUMPRODUCT(--($C51:$N51&lt;=R$47),R$47-$C51:$N51)</f>
        <v>3200</v>
      </c>
      <c r="S51" s="477" cm="1">
        <f t="array" ref="S51">S$47*12-SUM($Q51:R51)-SUMPRODUCT(--($C51:$N51&lt;=S$47),S$47-$C51:$N51)</f>
        <v>36000</v>
      </c>
      <c r="T51" s="477" cm="1">
        <f t="array" ref="T51">T$47*12-SUM($Q51:S51)-SUMPRODUCT(--($C51:$N51&lt;=T$47),T$47-$C51:$N51)</f>
        <v>16763</v>
      </c>
      <c r="U51" s="478" cm="1">
        <f t="array" ref="U51">U$47*12-SUM($Q51:T51)-SUMPRODUCT(--($C51:$N51&lt;=U$47),U$47-$C51:$N51)</f>
        <v>0</v>
      </c>
      <c r="V51" s="454"/>
      <c r="W51" s="454"/>
      <c r="X51" s="454"/>
      <c r="Y51" s="454"/>
      <c r="Z51" s="454"/>
      <c r="AA51" s="454"/>
      <c r="AB51" s="454"/>
      <c r="AC51" s="454"/>
    </row>
    <row r="52" spans="2:46" s="421" customFormat="1">
      <c r="B52" s="426"/>
      <c r="C52" s="444">
        <v>45576</v>
      </c>
      <c r="D52" s="444">
        <v>16100</v>
      </c>
      <c r="E52" s="444">
        <v>14667</v>
      </c>
      <c r="F52" s="444">
        <v>23869</v>
      </c>
      <c r="G52" s="444">
        <v>116668</v>
      </c>
      <c r="H52" s="444">
        <v>404062</v>
      </c>
      <c r="I52" s="444">
        <v>472976</v>
      </c>
      <c r="J52" s="444">
        <v>379785</v>
      </c>
      <c r="K52" s="444">
        <v>358809</v>
      </c>
      <c r="L52" s="444">
        <v>314000</v>
      </c>
      <c r="M52" s="444">
        <v>213744</v>
      </c>
      <c r="N52" s="444">
        <v>53319</v>
      </c>
      <c r="O52" s="453">
        <f>SUM(C52:N52)</f>
        <v>2413575</v>
      </c>
      <c r="P52" s="453"/>
      <c r="Q52" s="476" cm="1">
        <f t="array" ref="Q52">Q$47*12-SUMPRODUCT(--($C52:$N52&lt;=Q$47),Q$47-$C52:$N52)</f>
        <v>2400</v>
      </c>
      <c r="R52" s="477" cm="1">
        <f t="array" ref="R52">R$47*12-SUMPRODUCT(--($C52:$N52&lt;=R$47),R$47-$C52:$N52)</f>
        <v>12000</v>
      </c>
      <c r="S52" s="477" cm="1">
        <f t="array" ref="S52">S$47*12-SUMPRODUCT(--($C52:$N52&lt;=S$47),S$47-$C52:$N52)</f>
        <v>120000</v>
      </c>
      <c r="T52" s="477" cm="1">
        <f t="array" ref="T52">T$47*12-SUMPRODUCT(--($C52:$N52&lt;=T$47),T$47-$C52:$N52)</f>
        <v>279636</v>
      </c>
      <c r="U52" s="478" cm="1">
        <f t="array" ref="U52">U$47*12-SUM($Q52:T52)-SUMPRODUCT(--($C52:$N52&lt;=U$47),U$47-$C52:$N52)</f>
        <v>1999539</v>
      </c>
      <c r="V52" s="454"/>
      <c r="W52" s="453">
        <f>IF(O52&lt;250000,(250000-O52)*'JDM-7 pg 3'!$E$56,0)</f>
        <v>0</v>
      </c>
      <c r="X52" s="453">
        <f>IF(O52&lt;250000,(250000-O52)*'JDM-7 pg 3'!$K$56,0)</f>
        <v>0</v>
      </c>
      <c r="Y52" s="479">
        <f>Q52*'JDM-7 pg 3'!$D$51+'Big Schedules'!R52*'JDM-7 pg 3'!$D$52+'Big Schedules'!S52*'JDM-7 pg 3'!$D$53+'Big Schedules'!T52*'JDM-7 pg 3'!$D$54+'Big Schedules'!U52*'JDM-7 pg 3'!$D$55+'JDM-7 pg 3'!$D$49*12+W52</f>
        <v>186343.76826000001</v>
      </c>
      <c r="Z52" s="479">
        <f>Q52*'JDM-7 pg 3'!$K$51+'Big Schedules'!R52*'JDM-7 pg 3'!$K$52+'Big Schedules'!S52*'JDM-7 pg 3'!$K$53+'Big Schedules'!T52*'JDM-7 pg 3'!$K$54+'Big Schedules'!U52*'JDM-7 pg 3'!$K$55+'JDM-7 pg 3'!$K$49*12+X52</f>
        <v>211535.65287000002</v>
      </c>
      <c r="AA52" s="480">
        <f>Z52/Y52-1</f>
        <v>0.13519037875659201</v>
      </c>
      <c r="AB52" s="454"/>
      <c r="AC52" s="454"/>
    </row>
    <row r="53" spans="2:46" s="421" customFormat="1">
      <c r="B53" s="426"/>
      <c r="C53" s="444">
        <v>-130366</v>
      </c>
      <c r="D53" s="444">
        <v>-133042</v>
      </c>
      <c r="E53" s="444">
        <v>-131722</v>
      </c>
      <c r="F53" s="444">
        <v>-128845</v>
      </c>
      <c r="G53" s="444">
        <v>-141732</v>
      </c>
      <c r="H53" s="444">
        <v>-150014</v>
      </c>
      <c r="I53" s="444">
        <v>-162460</v>
      </c>
      <c r="J53" s="444">
        <v>-118145</v>
      </c>
      <c r="K53" s="444">
        <v>-134273</v>
      </c>
      <c r="L53" s="444">
        <v>-143718</v>
      </c>
      <c r="M53" s="444">
        <v>-126712</v>
      </c>
      <c r="N53" s="444">
        <v>-126138</v>
      </c>
      <c r="O53" s="506">
        <f>SUM(C53:N53)</f>
        <v>-1627167</v>
      </c>
      <c r="P53" s="453"/>
      <c r="Q53" s="476"/>
      <c r="R53" s="477"/>
      <c r="S53" s="477"/>
      <c r="T53" s="477"/>
      <c r="U53" s="478"/>
      <c r="V53" s="454"/>
      <c r="W53" s="453"/>
      <c r="X53" s="453"/>
      <c r="Y53" s="479"/>
      <c r="Z53" s="479"/>
      <c r="AA53" s="480"/>
      <c r="AB53" s="454"/>
      <c r="AC53" s="454"/>
    </row>
    <row r="54" spans="2:46" s="421" customFormat="1">
      <c r="B54" s="406"/>
      <c r="C54" s="444"/>
      <c r="D54" s="444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53">
        <f t="shared" ref="O54" si="6">SUM(C54:N54)</f>
        <v>0</v>
      </c>
      <c r="P54" s="453"/>
      <c r="Q54" s="481">
        <f>SUM(Q49:Q52)</f>
        <v>3200</v>
      </c>
      <c r="R54" s="482">
        <f>SUM(R49:R52)</f>
        <v>15200</v>
      </c>
      <c r="S54" s="482">
        <f t="shared" ref="S54:U54" si="7">SUM(S49:S52)</f>
        <v>156000</v>
      </c>
      <c r="T54" s="482">
        <f t="shared" si="7"/>
        <v>296399</v>
      </c>
      <c r="U54" s="483">
        <f t="shared" si="7"/>
        <v>1999539</v>
      </c>
      <c r="V54" s="454"/>
      <c r="W54" s="454"/>
      <c r="X54" s="454"/>
      <c r="Y54" s="454"/>
      <c r="Z54" s="454"/>
      <c r="AA54" s="454"/>
      <c r="AB54" s="454"/>
      <c r="AC54" s="454"/>
    </row>
    <row r="55" spans="2:46">
      <c r="B55" s="352" t="s">
        <v>99</v>
      </c>
      <c r="C55" s="484">
        <f t="shared" ref="C55:O55" si="8">C46-SUM(C49:C53)</f>
        <v>2389404</v>
      </c>
      <c r="D55" s="484">
        <f t="shared" si="8"/>
        <v>2159877</v>
      </c>
      <c r="E55" s="484">
        <f t="shared" si="8"/>
        <v>2137664</v>
      </c>
      <c r="F55" s="484">
        <f t="shared" si="8"/>
        <v>2191699</v>
      </c>
      <c r="G55" s="484">
        <f t="shared" si="8"/>
        <v>2389465</v>
      </c>
      <c r="H55" s="484">
        <f t="shared" si="8"/>
        <v>3324881</v>
      </c>
      <c r="I55" s="484">
        <f t="shared" si="8"/>
        <v>3281201</v>
      </c>
      <c r="J55" s="484">
        <f t="shared" si="8"/>
        <v>3266473</v>
      </c>
      <c r="K55" s="484">
        <f t="shared" si="8"/>
        <v>3075098</v>
      </c>
      <c r="L55" s="484">
        <f t="shared" si="8"/>
        <v>3023851</v>
      </c>
      <c r="M55" s="484">
        <f t="shared" si="8"/>
        <v>2633696</v>
      </c>
      <c r="N55" s="484">
        <f t="shared" si="8"/>
        <v>2320043</v>
      </c>
      <c r="O55" s="484">
        <f t="shared" si="8"/>
        <v>32193352</v>
      </c>
      <c r="P55" s="446"/>
      <c r="Q55" s="447"/>
      <c r="R55" s="447"/>
      <c r="S55" s="447"/>
      <c r="T55" s="447"/>
      <c r="U55" s="447"/>
      <c r="V55" s="447"/>
      <c r="W55" s="446"/>
      <c r="X55" s="447"/>
      <c r="Y55" s="447"/>
      <c r="Z55" s="447"/>
      <c r="AA55" s="447"/>
      <c r="AB55" s="447"/>
      <c r="AC55" s="447"/>
    </row>
    <row r="56" spans="2:46">
      <c r="B56" s="422"/>
      <c r="C56" s="470">
        <f t="shared" ref="C56:O56" si="9">C44-C55</f>
        <v>0</v>
      </c>
      <c r="D56" s="470">
        <f t="shared" si="9"/>
        <v>0</v>
      </c>
      <c r="E56" s="470">
        <f t="shared" si="9"/>
        <v>0</v>
      </c>
      <c r="F56" s="470">
        <f t="shared" si="9"/>
        <v>0</v>
      </c>
      <c r="G56" s="470">
        <f t="shared" si="9"/>
        <v>0</v>
      </c>
      <c r="H56" s="470">
        <f>H44-H55</f>
        <v>0</v>
      </c>
      <c r="I56" s="470">
        <f t="shared" si="9"/>
        <v>0</v>
      </c>
      <c r="J56" s="470">
        <f t="shared" si="9"/>
        <v>0</v>
      </c>
      <c r="K56" s="470">
        <f t="shared" si="9"/>
        <v>0</v>
      </c>
      <c r="L56" s="470">
        <f t="shared" si="9"/>
        <v>0</v>
      </c>
      <c r="M56" s="470">
        <f t="shared" si="9"/>
        <v>0</v>
      </c>
      <c r="N56" s="470">
        <f t="shared" si="9"/>
        <v>0</v>
      </c>
      <c r="O56" s="471">
        <f t="shared" si="9"/>
        <v>0</v>
      </c>
      <c r="P56" s="447"/>
      <c r="Q56" s="446">
        <f>SUM(Q49:Q52)</f>
        <v>3200</v>
      </c>
      <c r="R56" s="446">
        <f>SUM(R49:R52)</f>
        <v>15200</v>
      </c>
      <c r="S56" s="446">
        <f>SUM(S49:S52)</f>
        <v>156000</v>
      </c>
      <c r="T56" s="446">
        <f>SUM(T49:T52)</f>
        <v>296399</v>
      </c>
      <c r="U56" s="446">
        <f>SUM(U49:U52)</f>
        <v>1999539</v>
      </c>
      <c r="V56" s="446">
        <f>SUM(Q56:U56)</f>
        <v>2470338</v>
      </c>
      <c r="W56" s="447"/>
      <c r="X56" s="447"/>
      <c r="Y56" s="447"/>
      <c r="Z56" s="447"/>
      <c r="AA56" s="447"/>
      <c r="AB56" s="447"/>
      <c r="AC56" s="447"/>
    </row>
    <row r="57" spans="2:46">
      <c r="B57" s="422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1"/>
      <c r="P57" s="447"/>
      <c r="Q57" s="446"/>
      <c r="R57" s="446"/>
      <c r="S57" s="446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</row>
    <row r="58" spans="2:46">
      <c r="B58" s="352"/>
      <c r="C58" s="485">
        <f t="shared" ref="C58:N58" si="10">COUNT(C5:C40)</f>
        <v>35</v>
      </c>
      <c r="D58" s="485">
        <f t="shared" si="10"/>
        <v>35</v>
      </c>
      <c r="E58" s="485">
        <f t="shared" si="10"/>
        <v>35</v>
      </c>
      <c r="F58" s="485">
        <f t="shared" si="10"/>
        <v>35</v>
      </c>
      <c r="G58" s="485">
        <f t="shared" si="10"/>
        <v>35</v>
      </c>
      <c r="H58" s="485">
        <f t="shared" si="10"/>
        <v>35</v>
      </c>
      <c r="I58" s="485">
        <f t="shared" si="10"/>
        <v>35</v>
      </c>
      <c r="J58" s="485">
        <f t="shared" si="10"/>
        <v>35</v>
      </c>
      <c r="K58" s="485">
        <f t="shared" si="10"/>
        <v>35</v>
      </c>
      <c r="L58" s="485">
        <f t="shared" si="10"/>
        <v>35</v>
      </c>
      <c r="M58" s="485">
        <f t="shared" si="10"/>
        <v>35</v>
      </c>
      <c r="N58" s="485">
        <f t="shared" si="10"/>
        <v>35</v>
      </c>
      <c r="O58" s="447"/>
      <c r="P58" s="447"/>
      <c r="Q58" s="464" t="s">
        <v>90</v>
      </c>
      <c r="R58" s="465">
        <f>Q59</f>
        <v>200</v>
      </c>
      <c r="S58" s="465">
        <f>R59</f>
        <v>1000</v>
      </c>
      <c r="T58" s="465">
        <f>S59</f>
        <v>10000</v>
      </c>
      <c r="U58" s="465">
        <f>T59</f>
        <v>25000</v>
      </c>
      <c r="V58" s="447"/>
      <c r="W58" s="447"/>
      <c r="X58" s="447"/>
      <c r="Y58" s="447"/>
      <c r="Z58" s="447"/>
      <c r="AA58" s="447"/>
      <c r="AB58" s="447"/>
      <c r="AC58" s="447"/>
    </row>
    <row r="59" spans="2:46" hidden="1">
      <c r="B59" s="29" t="s">
        <v>286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68">
        <v>200</v>
      </c>
      <c r="R59" s="468">
        <v>1000</v>
      </c>
      <c r="S59" s="468">
        <v>10000</v>
      </c>
      <c r="T59" s="468">
        <v>25000</v>
      </c>
      <c r="U59" s="469">
        <v>99999999</v>
      </c>
      <c r="V59" s="447"/>
      <c r="W59" s="447"/>
      <c r="X59" s="447"/>
      <c r="Y59" s="447"/>
      <c r="Z59" s="447"/>
      <c r="AA59" s="447"/>
      <c r="AB59" s="447"/>
      <c r="AC59" s="447"/>
    </row>
    <row r="60" spans="2:46" hidden="1">
      <c r="B60" s="29" t="s">
        <v>57</v>
      </c>
      <c r="C60" s="486">
        <f t="shared" ref="C60:N60" si="11">C4</f>
        <v>44772</v>
      </c>
      <c r="D60" s="486">
        <f t="shared" si="11"/>
        <v>44804</v>
      </c>
      <c r="E60" s="486">
        <f t="shared" si="11"/>
        <v>44834</v>
      </c>
      <c r="F60" s="486">
        <f t="shared" si="11"/>
        <v>44865</v>
      </c>
      <c r="G60" s="486">
        <f t="shared" si="11"/>
        <v>44895</v>
      </c>
      <c r="H60" s="486">
        <f t="shared" si="11"/>
        <v>44926</v>
      </c>
      <c r="I60" s="486">
        <f t="shared" si="11"/>
        <v>44957</v>
      </c>
      <c r="J60" s="486">
        <f t="shared" si="11"/>
        <v>44985</v>
      </c>
      <c r="K60" s="486">
        <f t="shared" si="11"/>
        <v>45016</v>
      </c>
      <c r="L60" s="486">
        <f t="shared" si="11"/>
        <v>45046</v>
      </c>
      <c r="M60" s="486">
        <f t="shared" si="11"/>
        <v>45077</v>
      </c>
      <c r="N60" s="486">
        <f t="shared" si="11"/>
        <v>45107</v>
      </c>
      <c r="O60" s="487" t="s">
        <v>58</v>
      </c>
      <c r="P60" s="487"/>
      <c r="Q60" s="488" t="s">
        <v>89</v>
      </c>
      <c r="R60" s="488" t="s">
        <v>89</v>
      </c>
      <c r="S60" s="488" t="s">
        <v>89</v>
      </c>
      <c r="T60" s="488" t="s">
        <v>89</v>
      </c>
      <c r="U60" s="488" t="s">
        <v>89</v>
      </c>
      <c r="V60" s="447"/>
      <c r="W60" s="447"/>
      <c r="X60" s="489">
        <v>41913</v>
      </c>
      <c r="Y60" s="489"/>
      <c r="Z60" s="489"/>
      <c r="AA60" s="489"/>
      <c r="AB60" s="447"/>
      <c r="AC60" s="447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93" t="s">
        <v>488</v>
      </c>
      <c r="C61" s="447"/>
      <c r="D61" s="303"/>
      <c r="E61" s="303"/>
      <c r="F61" s="303"/>
      <c r="G61" s="303"/>
      <c r="H61" s="303"/>
      <c r="I61" s="302"/>
      <c r="J61" s="304"/>
      <c r="K61" s="304"/>
      <c r="L61" s="304"/>
      <c r="M61" s="304"/>
      <c r="N61" s="304"/>
      <c r="O61" s="457">
        <f>SUM(B61:N61)</f>
        <v>0</v>
      </c>
      <c r="P61" s="446"/>
      <c r="Q61" s="446" t="e" cm="1">
        <f t="array" ref="Q61">Q$59*12-SUMPRODUCT(--($B61:$N61&lt;=Q$59),Q$59-$B61:$N61)</f>
        <v>#VALUE!</v>
      </c>
      <c r="R61" s="446" t="e">
        <f>R$59*12-SUM($Q61:Q61)-SUMPRODUCT(--($B61:$N61&lt;=R$59),R$59-$B61:$N61)</f>
        <v>#VALUE!</v>
      </c>
      <c r="S61" s="446" t="e">
        <f>S$59*12-SUM($Q61:R61)-SUMPRODUCT(--($B61:$N61&lt;=S$59),S$59-$B61:$N61)</f>
        <v>#VALUE!</v>
      </c>
      <c r="T61" s="446" t="e">
        <f>T$59*12-SUM($Q61:S61)-SUMPRODUCT(--($B61:$N61&lt;=T$59),T$59-$B61:$N61)</f>
        <v>#VALUE!</v>
      </c>
      <c r="U61" s="446" t="e">
        <f>U$59*12-SUM($Q61:T61)-SUMPRODUCT(--($B61:$N61&lt;=U$59),U$59-$B61:$N61)</f>
        <v>#VALUE!</v>
      </c>
      <c r="V61" s="447"/>
      <c r="W61" s="447"/>
      <c r="X61" s="447"/>
      <c r="Y61" s="447"/>
      <c r="Z61" s="447"/>
      <c r="AA61" s="447"/>
      <c r="AB61" s="447"/>
      <c r="AC61" s="447"/>
    </row>
    <row r="62" spans="2:46" hidden="1">
      <c r="B62" s="196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457">
        <f t="shared" ref="O62" si="12">SUM(C62:N62)</f>
        <v>0</v>
      </c>
      <c r="P62" s="446"/>
      <c r="Q62" s="446">
        <f t="shared" ref="Q62" si="13">Q$59*12-SUMPRODUCT(--($C62:$N62&lt;=Q$59),Q$59-$C62:$N62)</f>
        <v>0</v>
      </c>
      <c r="R62" s="446">
        <f>R$59*12-SUM($Q62:Q62)-SUMPRODUCT(--($C62:$N62&lt;=R$59),R$59-$C62:$N62)</f>
        <v>0</v>
      </c>
      <c r="S62" s="446">
        <f>S$59*12-SUM($Q62:R62)-SUMPRODUCT(--($C62:$N62&lt;=S$59),S$59-$C62:$N62)</f>
        <v>0</v>
      </c>
      <c r="T62" s="446">
        <f>T$59*12-SUM($Q62:S62)-SUMPRODUCT(--($C62:$N62&lt;=T$59),T$59-$C62:$N62)</f>
        <v>0</v>
      </c>
      <c r="U62" s="446">
        <f>U$59*12-SUM($Q62:T62)-SUMPRODUCT(--($C62:$N62&lt;=U$59),U$59-$C62:$N62)</f>
        <v>0</v>
      </c>
      <c r="V62" s="447"/>
      <c r="W62" s="447"/>
      <c r="X62" s="447"/>
      <c r="Y62" s="447"/>
      <c r="Z62" s="447"/>
      <c r="AA62" s="447"/>
      <c r="AB62" s="447"/>
      <c r="AC62" s="447"/>
    </row>
    <row r="63" spans="2:46" ht="13.5" hidden="1" thickBot="1">
      <c r="B63" s="352" t="s">
        <v>287</v>
      </c>
      <c r="C63" s="459">
        <f>SUM(B61:B61)</f>
        <v>0</v>
      </c>
      <c r="D63" s="459">
        <f t="shared" ref="D63:N63" si="14">SUM(D61:D62)</f>
        <v>0</v>
      </c>
      <c r="E63" s="459">
        <f t="shared" si="14"/>
        <v>0</v>
      </c>
      <c r="F63" s="459">
        <f t="shared" si="14"/>
        <v>0</v>
      </c>
      <c r="G63" s="459">
        <f t="shared" si="14"/>
        <v>0</v>
      </c>
      <c r="H63" s="459">
        <f t="shared" si="14"/>
        <v>0</v>
      </c>
      <c r="I63" s="459">
        <f t="shared" si="14"/>
        <v>0</v>
      </c>
      <c r="J63" s="459">
        <f t="shared" si="14"/>
        <v>0</v>
      </c>
      <c r="K63" s="459">
        <f t="shared" si="14"/>
        <v>0</v>
      </c>
      <c r="L63" s="459">
        <f t="shared" si="14"/>
        <v>0</v>
      </c>
      <c r="M63" s="459">
        <f t="shared" si="14"/>
        <v>0</v>
      </c>
      <c r="N63" s="459">
        <f t="shared" si="14"/>
        <v>0</v>
      </c>
      <c r="O63" s="460">
        <f>IF(ROUND(SUM(O61:O62),3)&lt;&gt;ROUND(SUM(C63:N63),3),#VALUE!,SUM(C63:N63))</f>
        <v>0</v>
      </c>
      <c r="P63" s="447"/>
      <c r="Q63" s="459" t="e">
        <f>SUM(Q61:Q62)</f>
        <v>#VALUE!</v>
      </c>
      <c r="R63" s="459" t="e">
        <f>SUM(R61:R62)</f>
        <v>#VALUE!</v>
      </c>
      <c r="S63" s="459" t="e">
        <f>SUM(S61:S62)</f>
        <v>#VALUE!</v>
      </c>
      <c r="T63" s="459" t="e">
        <f>SUM(T61:T62)</f>
        <v>#VALUE!</v>
      </c>
      <c r="U63" s="459" t="e">
        <f>SUM(U61:U62)</f>
        <v>#VALUE!</v>
      </c>
      <c r="V63" s="447"/>
      <c r="W63" s="447"/>
      <c r="X63" s="446">
        <f>SUM(X61:X62)</f>
        <v>0</v>
      </c>
      <c r="Y63" s="446">
        <f>SUM(Y61:Y62)</f>
        <v>0</v>
      </c>
      <c r="Z63" s="446">
        <f>SUM(Z61:Z62)</f>
        <v>0</v>
      </c>
      <c r="AA63" s="446">
        <f>SUM(AA61:AA62)</f>
        <v>0</v>
      </c>
      <c r="AB63" s="446">
        <f>SUM(AB61:AB62)</f>
        <v>0</v>
      </c>
      <c r="AC63" s="447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62"/>
      <c r="D64" s="462"/>
      <c r="E64" s="462"/>
      <c r="F64" s="462"/>
      <c r="G64" s="462"/>
      <c r="H64" s="462"/>
      <c r="I64" s="462"/>
      <c r="J64" s="462"/>
      <c r="K64" s="490"/>
      <c r="L64" s="462"/>
      <c r="M64" s="462"/>
      <c r="N64" s="462"/>
      <c r="O64" s="462"/>
      <c r="P64" s="447"/>
      <c r="Q64" s="462"/>
      <c r="R64" s="462"/>
      <c r="S64" s="462"/>
      <c r="T64" s="462"/>
      <c r="U64" s="446" t="e">
        <f>SUM(Q63:U63)</f>
        <v>#VALUE!</v>
      </c>
      <c r="V64" s="447"/>
      <c r="W64" s="447"/>
      <c r="X64" s="447"/>
      <c r="Y64" s="447"/>
      <c r="Z64" s="447"/>
      <c r="AA64" s="447"/>
      <c r="AB64" s="447"/>
      <c r="AC64" s="447"/>
    </row>
    <row r="65" spans="1:29" hidden="1">
      <c r="B65" s="301" t="s">
        <v>98</v>
      </c>
      <c r="C65" s="333"/>
      <c r="D65" s="333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491">
        <f>SUM(C65:N65)</f>
        <v>0</v>
      </c>
      <c r="P65" s="463"/>
      <c r="Q65" s="446"/>
      <c r="R65" s="446"/>
      <c r="S65" s="446"/>
      <c r="T65" s="446"/>
      <c r="U65" s="446"/>
      <c r="V65" s="447"/>
      <c r="W65" s="447"/>
      <c r="X65" s="447"/>
      <c r="Y65" s="447"/>
      <c r="Z65" s="447"/>
      <c r="AA65" s="447"/>
      <c r="AB65" s="447"/>
      <c r="AC65" s="447"/>
    </row>
    <row r="66" spans="1:29" hidden="1">
      <c r="B66" s="365"/>
      <c r="C66" s="363"/>
      <c r="D66" s="363"/>
      <c r="E66" s="363"/>
      <c r="F66" s="364"/>
      <c r="G66" s="364"/>
      <c r="H66" s="364"/>
      <c r="I66" s="364"/>
      <c r="J66" s="364"/>
      <c r="K66" s="364"/>
      <c r="L66" s="466"/>
      <c r="M66" s="466"/>
      <c r="N66" s="466"/>
      <c r="O66" s="491">
        <f>SUM(C66:N66)</f>
        <v>0</v>
      </c>
      <c r="P66" s="463"/>
      <c r="Q66" s="446">
        <f>Q$59*12-SUMPRODUCT(--($C66:$N66&lt;=Q$59),Q$59-$C66:$N66)</f>
        <v>0</v>
      </c>
      <c r="R66" s="446">
        <f>R$59*12-SUM($Q66:Q66)-SUMPRODUCT(--($C66:$N66&lt;=R$59),R$59-$C66:$N66)</f>
        <v>0</v>
      </c>
      <c r="S66" s="446">
        <f>S$59*12-SUM($Q66:R66)-SUMPRODUCT(--($C66:$N66&lt;=S$59),S$59-$C66:$N66)</f>
        <v>0</v>
      </c>
      <c r="T66" s="446">
        <f>T$59*12-SUM($Q66:S66)-SUMPRODUCT(--($C66:$N66&lt;=T$59),T$59-$C66:$N66)</f>
        <v>0</v>
      </c>
      <c r="U66" s="446">
        <f>U$59*12-SUM($Q66:T66)-SUMPRODUCT(--($C66:$N66&lt;=U$59),U$59-$C66:$N66)</f>
        <v>0</v>
      </c>
      <c r="V66" s="447"/>
      <c r="W66" s="447"/>
      <c r="X66" s="447"/>
      <c r="Y66" s="447"/>
      <c r="Z66" s="447"/>
      <c r="AA66" s="447"/>
      <c r="AB66" s="447"/>
      <c r="AC66" s="447"/>
    </row>
    <row r="67" spans="1:29" hidden="1">
      <c r="B67" s="330"/>
      <c r="C67" s="492"/>
      <c r="D67" s="466"/>
      <c r="E67" s="466"/>
      <c r="F67" s="466"/>
      <c r="G67" s="466"/>
      <c r="H67" s="492"/>
      <c r="I67" s="466"/>
      <c r="J67" s="466"/>
      <c r="K67" s="492"/>
      <c r="L67" s="466"/>
      <c r="M67" s="492"/>
      <c r="N67" s="466"/>
      <c r="O67" s="491">
        <f t="shared" ref="O67:O68" si="15">SUM(C67:N67)</f>
        <v>0</v>
      </c>
      <c r="P67" s="463"/>
      <c r="Q67" s="446"/>
      <c r="R67" s="446"/>
      <c r="S67" s="446"/>
      <c r="T67" s="446"/>
      <c r="U67" s="446"/>
      <c r="V67" s="447"/>
      <c r="W67" s="447"/>
      <c r="X67" s="447"/>
      <c r="Y67" s="447">
        <f>COUNT(#REF!)</f>
        <v>0</v>
      </c>
      <c r="Z67" s="447"/>
      <c r="AA67" s="447"/>
      <c r="AB67" s="447"/>
      <c r="AC67" s="447"/>
    </row>
    <row r="68" spans="1:29" ht="15.75" hidden="1" customHeight="1">
      <c r="B68" s="331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1">
        <f t="shared" si="15"/>
        <v>0</v>
      </c>
      <c r="P68" s="446"/>
      <c r="Q68" s="447"/>
      <c r="R68" s="447"/>
      <c r="S68" s="447"/>
      <c r="T68" s="447"/>
      <c r="U68" s="447"/>
      <c r="V68" s="447"/>
      <c r="W68" s="447"/>
      <c r="X68" s="447"/>
      <c r="Y68" s="447"/>
      <c r="Z68" s="447"/>
      <c r="AA68" s="447"/>
      <c r="AB68" s="447"/>
      <c r="AC68" s="447"/>
    </row>
    <row r="69" spans="1:29" ht="13.5" hidden="1" thickBot="1">
      <c r="B69" s="352" t="s">
        <v>287</v>
      </c>
      <c r="C69" s="494">
        <f>C65-SUM(C66:C68)</f>
        <v>0</v>
      </c>
      <c r="D69" s="494">
        <f t="shared" ref="D69:N69" si="16">D65-SUM(D66:D68)</f>
        <v>0</v>
      </c>
      <c r="E69" s="494">
        <f t="shared" si="16"/>
        <v>0</v>
      </c>
      <c r="F69" s="494">
        <f t="shared" si="16"/>
        <v>0</v>
      </c>
      <c r="G69" s="494">
        <f t="shared" si="16"/>
        <v>0</v>
      </c>
      <c r="H69" s="494">
        <f t="shared" si="16"/>
        <v>0</v>
      </c>
      <c r="I69" s="494">
        <f t="shared" si="16"/>
        <v>0</v>
      </c>
      <c r="J69" s="494">
        <f t="shared" si="16"/>
        <v>0</v>
      </c>
      <c r="K69" s="494">
        <f t="shared" si="16"/>
        <v>0</v>
      </c>
      <c r="L69" s="494">
        <f t="shared" si="16"/>
        <v>0</v>
      </c>
      <c r="M69" s="494">
        <f t="shared" si="16"/>
        <v>0</v>
      </c>
      <c r="N69" s="494">
        <f t="shared" si="16"/>
        <v>0</v>
      </c>
      <c r="O69" s="460">
        <f>IF(ROUND(O65-SUM(O66:O68),3)&lt;&gt;ROUND(SUM(C69:N69),3),#VALUE!,SUM(C69:N69))</f>
        <v>0</v>
      </c>
      <c r="P69" s="446"/>
      <c r="Q69" s="447"/>
      <c r="R69" s="447"/>
      <c r="S69" s="447"/>
      <c r="T69" s="447"/>
      <c r="U69" s="446"/>
      <c r="V69" s="447"/>
      <c r="W69" s="447"/>
      <c r="X69" s="447"/>
      <c r="Y69" s="447"/>
      <c r="Z69" s="447"/>
      <c r="AA69" s="447"/>
      <c r="AB69" s="447"/>
      <c r="AC69" s="447"/>
    </row>
    <row r="70" spans="1:29" ht="13.5" hidden="1" thickTop="1">
      <c r="C70" s="485"/>
      <c r="D70" s="485"/>
      <c r="E70" s="485"/>
      <c r="F70" s="485"/>
      <c r="G70" s="485"/>
      <c r="H70" s="485"/>
      <c r="I70" s="485"/>
      <c r="J70" s="485"/>
      <c r="K70" s="485"/>
      <c r="L70" s="485"/>
      <c r="M70" s="485"/>
      <c r="N70" s="485"/>
      <c r="O70" s="485">
        <f t="shared" ref="O70" si="17">O63-O69</f>
        <v>0</v>
      </c>
      <c r="P70" s="447"/>
      <c r="Q70" s="462"/>
      <c r="R70" s="462"/>
      <c r="S70" s="462"/>
      <c r="T70" s="462"/>
      <c r="U70" s="462"/>
      <c r="V70" s="447"/>
      <c r="W70" s="447"/>
      <c r="X70" s="447"/>
      <c r="Y70" s="447"/>
      <c r="Z70" s="447"/>
      <c r="AA70" s="447"/>
      <c r="AB70" s="447"/>
      <c r="AC70" s="447"/>
    </row>
    <row r="71" spans="1:29" hidden="1">
      <c r="C71" s="485"/>
      <c r="D71" s="485"/>
      <c r="E71" s="485"/>
      <c r="F71" s="485"/>
      <c r="G71" s="485"/>
      <c r="H71" s="485"/>
      <c r="I71" s="485"/>
      <c r="J71" s="485"/>
      <c r="K71" s="485"/>
      <c r="L71" s="485">
        <f>COUNT(#REF!)</f>
        <v>0</v>
      </c>
      <c r="M71" s="485">
        <f>COUNT(#REF!)</f>
        <v>0</v>
      </c>
      <c r="N71" s="485">
        <f>COUNT(#REF!)</f>
        <v>0</v>
      </c>
      <c r="O71" s="485"/>
      <c r="P71" s="447"/>
      <c r="Q71" s="462"/>
      <c r="R71" s="462"/>
      <c r="S71" s="462"/>
      <c r="T71" s="462"/>
      <c r="U71" s="462"/>
      <c r="V71" s="447"/>
      <c r="W71" s="447"/>
      <c r="X71" s="447"/>
      <c r="Y71" s="447"/>
      <c r="Z71" s="447"/>
      <c r="AA71" s="447"/>
      <c r="AB71" s="447"/>
      <c r="AC71" s="447"/>
    </row>
    <row r="72" spans="1:29">
      <c r="B72" s="29" t="s">
        <v>357</v>
      </c>
      <c r="C72" s="485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95" t="s">
        <v>271</v>
      </c>
      <c r="P72" s="447"/>
      <c r="Q72" s="468">
        <v>10000</v>
      </c>
      <c r="R72" s="468">
        <v>25000</v>
      </c>
      <c r="S72" s="468">
        <v>50000</v>
      </c>
      <c r="T72" s="469">
        <v>99999999</v>
      </c>
      <c r="U72" s="447"/>
      <c r="V72" s="447"/>
      <c r="W72" s="447"/>
      <c r="X72" s="447"/>
      <c r="Y72" s="447"/>
      <c r="Z72" s="447"/>
      <c r="AA72" s="447"/>
      <c r="AB72" s="447"/>
      <c r="AC72" s="447"/>
    </row>
    <row r="73" spans="1:29">
      <c r="B73" s="29" t="s">
        <v>57</v>
      </c>
      <c r="C73" s="499">
        <f t="shared" ref="C73:N73" si="18">C4</f>
        <v>44772</v>
      </c>
      <c r="D73" s="499">
        <f t="shared" si="18"/>
        <v>44804</v>
      </c>
      <c r="E73" s="499">
        <f t="shared" si="18"/>
        <v>44834</v>
      </c>
      <c r="F73" s="499">
        <f t="shared" si="18"/>
        <v>44865</v>
      </c>
      <c r="G73" s="499">
        <f t="shared" si="18"/>
        <v>44895</v>
      </c>
      <c r="H73" s="499">
        <f t="shared" si="18"/>
        <v>44926</v>
      </c>
      <c r="I73" s="499">
        <f t="shared" si="18"/>
        <v>44957</v>
      </c>
      <c r="J73" s="499">
        <f t="shared" si="18"/>
        <v>44985</v>
      </c>
      <c r="K73" s="499">
        <f t="shared" si="18"/>
        <v>45016</v>
      </c>
      <c r="L73" s="499">
        <f t="shared" si="18"/>
        <v>45046</v>
      </c>
      <c r="M73" s="499">
        <f t="shared" si="18"/>
        <v>45077</v>
      </c>
      <c r="N73" s="499">
        <f t="shared" si="18"/>
        <v>45107</v>
      </c>
      <c r="O73" s="504" t="s">
        <v>58</v>
      </c>
      <c r="P73" s="487"/>
      <c r="Q73" s="488" t="s">
        <v>89</v>
      </c>
      <c r="R73" s="488" t="s">
        <v>89</v>
      </c>
      <c r="S73" s="488" t="s">
        <v>89</v>
      </c>
      <c r="T73" s="488" t="s">
        <v>89</v>
      </c>
      <c r="U73" s="447"/>
      <c r="V73" s="447"/>
      <c r="W73" s="447"/>
      <c r="X73" s="447"/>
      <c r="Y73" s="447"/>
      <c r="Z73" s="447"/>
      <c r="AA73" s="447"/>
      <c r="AB73" s="447"/>
      <c r="AC73" s="447"/>
    </row>
    <row r="74" spans="1:29">
      <c r="A74" s="421"/>
      <c r="B74" s="406"/>
      <c r="C74" s="423">
        <v>81449</v>
      </c>
      <c r="D74" s="423">
        <v>66130</v>
      </c>
      <c r="E74" s="423">
        <v>65135</v>
      </c>
      <c r="F74" s="423">
        <v>67845</v>
      </c>
      <c r="G74" s="423">
        <f>103634.154+81688</f>
        <v>185322.15399999998</v>
      </c>
      <c r="H74" s="423">
        <v>152982.82999999999</v>
      </c>
      <c r="I74" s="423">
        <v>160824.69</v>
      </c>
      <c r="J74" s="423">
        <v>137576.951</v>
      </c>
      <c r="K74" s="423">
        <v>131320.68799999999</v>
      </c>
      <c r="L74" s="423">
        <v>105375.197</v>
      </c>
      <c r="M74" s="423">
        <v>77353.847999999998</v>
      </c>
      <c r="N74" s="423">
        <v>68475.792000000001</v>
      </c>
      <c r="O74" s="453">
        <f t="shared" ref="O74:O76" si="19">SUM(C74:N74)</f>
        <v>1299791.1499999997</v>
      </c>
      <c r="P74" s="487"/>
      <c r="Q74" s="446" cm="1">
        <f t="array" ref="Q74">Q$72*12-SUMPRODUCT(--($C74:$N74&lt;=Q$72),Q$72-$C74:$N74)</f>
        <v>120000</v>
      </c>
      <c r="R74" s="446">
        <f>R$72*12-SUM($Q74:Q74)-SUMPRODUCT(--($C74:$N74&lt;=R$72),R$72-$C74:$N74)</f>
        <v>180000</v>
      </c>
      <c r="S74" s="446">
        <f>S$72*12-SUM($Q74:R74)-SUMPRODUCT(--($C74:$N74&lt;=S$72),S$72-$C74:$N74)</f>
        <v>300000</v>
      </c>
      <c r="T74" s="446">
        <f>T$72*12-SUM($Q74:S74)-SUMPRODUCT(--($C74:$N74&lt;=T$72),T$72-$C74:$N74)</f>
        <v>699791.15000009537</v>
      </c>
      <c r="U74" s="447"/>
      <c r="V74" s="447"/>
      <c r="W74" s="447"/>
      <c r="X74" s="447"/>
      <c r="Y74" s="447"/>
      <c r="Z74" s="447"/>
      <c r="AA74" s="447"/>
      <c r="AB74" s="447"/>
      <c r="AC74" s="447"/>
    </row>
    <row r="75" spans="1:29">
      <c r="A75" s="421"/>
      <c r="B75" s="406"/>
      <c r="C75" s="423">
        <v>27128</v>
      </c>
      <c r="D75" s="423">
        <v>28661</v>
      </c>
      <c r="E75" s="423">
        <v>31050.58</v>
      </c>
      <c r="F75" s="423">
        <v>37774.923000000003</v>
      </c>
      <c r="G75" s="423">
        <v>36376.199999999997</v>
      </c>
      <c r="H75" s="423">
        <v>124333.86</v>
      </c>
      <c r="I75" s="423">
        <v>75698.763999999996</v>
      </c>
      <c r="J75" s="423">
        <v>71508</v>
      </c>
      <c r="K75" s="423">
        <v>54565</v>
      </c>
      <c r="L75" s="423">
        <v>54148.512000000002</v>
      </c>
      <c r="M75" s="423">
        <v>41986.245000000003</v>
      </c>
      <c r="N75" s="423">
        <v>31772.44</v>
      </c>
      <c r="O75" s="453">
        <f t="shared" si="19"/>
        <v>615003.52399999986</v>
      </c>
      <c r="P75" s="487"/>
      <c r="Q75" s="446">
        <f t="shared" ref="Q75" si="20">Q$72*12-SUMPRODUCT(--($C75:$N75&lt;=Q$72),Q$72-$C75:$N75)</f>
        <v>120000</v>
      </c>
      <c r="R75" s="446">
        <f>R$72*12-SUM($Q75:Q75)-SUMPRODUCT(--($C75:$N75&lt;=R$72),R$72-$C75:$N75)</f>
        <v>180000</v>
      </c>
      <c r="S75" s="446">
        <f>S$72*12-SUM($Q75:R75)-SUMPRODUCT(--($C75:$N75&lt;=S$72),S$72-$C75:$N75)</f>
        <v>184749.38800000001</v>
      </c>
      <c r="T75" s="446">
        <f>T$72*12-SUM($Q75:S75)-SUMPRODUCT(--($C75:$N75&lt;=T$72),T$72-$C75:$N75)</f>
        <v>130254.13599991798</v>
      </c>
      <c r="U75" s="447"/>
      <c r="V75" s="447"/>
      <c r="W75" s="447"/>
      <c r="X75" s="447"/>
      <c r="Y75" s="447"/>
      <c r="Z75" s="447"/>
      <c r="AA75" s="447"/>
      <c r="AB75" s="447"/>
      <c r="AC75" s="447"/>
    </row>
    <row r="76" spans="1:29">
      <c r="A76" s="421"/>
      <c r="B76" s="406"/>
      <c r="C76" s="423">
        <v>16522</v>
      </c>
      <c r="D76" s="423">
        <v>12002.798000000001</v>
      </c>
      <c r="E76" s="423">
        <v>11073.072</v>
      </c>
      <c r="F76" s="423">
        <v>13009.168</v>
      </c>
      <c r="G76" s="423">
        <f>23534.574</f>
        <v>23534.574000000001</v>
      </c>
      <c r="H76" s="423">
        <v>62831.457000000002</v>
      </c>
      <c r="I76" s="423">
        <v>73597.854999999996</v>
      </c>
      <c r="J76" s="423">
        <v>57054.167999999998</v>
      </c>
      <c r="K76" s="423">
        <v>59728.2</v>
      </c>
      <c r="L76" s="423">
        <v>53987.508000000002</v>
      </c>
      <c r="M76" s="423">
        <v>38547.675000000003</v>
      </c>
      <c r="N76" s="423">
        <v>20285.975999999999</v>
      </c>
      <c r="O76" s="453">
        <f t="shared" si="19"/>
        <v>442174.45100000006</v>
      </c>
      <c r="P76" s="446"/>
      <c r="Q76" s="446">
        <f>Q$72*12-SUMPRODUCT(--($C76:$N76&lt;=Q$72),Q$72-$C76:$N76)</f>
        <v>120000</v>
      </c>
      <c r="R76" s="446">
        <f>R$72*12-SUM($Q76:Q76)-SUMPRODUCT(--($C76:$N76&lt;=R$72),R$72-$C76:$N76)</f>
        <v>126427.588</v>
      </c>
      <c r="S76" s="446">
        <f>S$72*12-SUM($Q76:R76)-SUMPRODUCT(--($C76:$N76&lt;=S$72),S$72-$C76:$N76)</f>
        <v>138547.67500000002</v>
      </c>
      <c r="T76" s="446">
        <f>T$72*12-SUM($Q76:S76)-SUMPRODUCT(--($C76:$N76&lt;=T$72),T$72-$C76:$N76)</f>
        <v>57199.188000202179</v>
      </c>
      <c r="U76" s="447"/>
      <c r="V76" s="447"/>
      <c r="W76" s="447"/>
      <c r="X76" s="447"/>
      <c r="Y76" s="447"/>
      <c r="Z76" s="447"/>
      <c r="AA76" s="447"/>
      <c r="AB76" s="447"/>
      <c r="AC76" s="447"/>
    </row>
    <row r="77" spans="1:29">
      <c r="A77" s="421"/>
      <c r="B77" s="406"/>
      <c r="C77" s="427">
        <v>20629</v>
      </c>
      <c r="D77" s="427">
        <v>18096</v>
      </c>
      <c r="E77" s="427">
        <v>18108</v>
      </c>
      <c r="F77" s="427">
        <v>19181</v>
      </c>
      <c r="G77" s="427">
        <v>23430</v>
      </c>
      <c r="H77" s="427">
        <v>37233.027000000002</v>
      </c>
      <c r="I77" s="427">
        <v>37976.834999999999</v>
      </c>
      <c r="J77" s="427">
        <v>34495.08</v>
      </c>
      <c r="K77" s="427">
        <v>32361</v>
      </c>
      <c r="L77" s="427">
        <v>30449.64</v>
      </c>
      <c r="M77" s="427">
        <v>34880.375</v>
      </c>
      <c r="N77" s="427">
        <v>29057.4</v>
      </c>
      <c r="O77" s="498">
        <f>SUM(C77:N77)</f>
        <v>335897.35700000002</v>
      </c>
      <c r="P77" s="446"/>
      <c r="Q77" s="446">
        <f>Q$72*12-SUMPRODUCT(--($C77:$N77&lt;=Q$72),Q$72-$C77:$N77)</f>
        <v>120000</v>
      </c>
      <c r="R77" s="446">
        <f>R$72*12-SUM($Q77:Q77)-SUMPRODUCT(--($C77:$N77&lt;=R$72),R$72-$C77:$N77)</f>
        <v>154444</v>
      </c>
      <c r="S77" s="446">
        <f>S$72*12-SUM($Q77:R77)-SUMPRODUCT(--($C77:$N77&lt;=S$72),S$72-$C77:$N77)</f>
        <v>61453.357000000018</v>
      </c>
      <c r="T77" s="446">
        <f>T$72*12-SUM($Q77:S77)-SUMPRODUCT(--($C77:$N77&lt;=T$72),T$72-$C77:$N77)</f>
        <v>0</v>
      </c>
      <c r="U77" s="447"/>
      <c r="V77" s="447"/>
      <c r="W77" s="447"/>
      <c r="X77" s="447"/>
      <c r="Y77" s="447"/>
      <c r="Z77" s="447"/>
      <c r="AA77" s="447"/>
      <c r="AB77" s="447"/>
      <c r="AC77" s="447"/>
    </row>
    <row r="78" spans="1:29">
      <c r="A78" s="421"/>
      <c r="B78" s="424"/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</row>
    <row r="79" spans="1:29">
      <c r="A79" s="421"/>
      <c r="B79" s="406"/>
      <c r="C79" s="474">
        <f t="shared" ref="C79:N79" si="21">SUM(C74:C78)</f>
        <v>145728</v>
      </c>
      <c r="D79" s="474">
        <f t="shared" si="21"/>
        <v>124889.798</v>
      </c>
      <c r="E79" s="474">
        <f t="shared" si="21"/>
        <v>125366.652</v>
      </c>
      <c r="F79" s="474">
        <f t="shared" si="21"/>
        <v>137810.09100000001</v>
      </c>
      <c r="G79" s="474">
        <f t="shared" si="21"/>
        <v>268662.92799999996</v>
      </c>
      <c r="H79" s="474">
        <f t="shared" si="21"/>
        <v>377381.174</v>
      </c>
      <c r="I79" s="474">
        <f t="shared" si="21"/>
        <v>348098.14400000003</v>
      </c>
      <c r="J79" s="474">
        <f t="shared" si="21"/>
        <v>300634.19900000002</v>
      </c>
      <c r="K79" s="474">
        <f t="shared" si="21"/>
        <v>277974.88799999998</v>
      </c>
      <c r="L79" s="474">
        <f t="shared" si="21"/>
        <v>243960.85700000002</v>
      </c>
      <c r="M79" s="474">
        <f t="shared" si="21"/>
        <v>192768.14299999998</v>
      </c>
      <c r="N79" s="474">
        <f t="shared" si="21"/>
        <v>149591.60800000001</v>
      </c>
      <c r="O79" s="474">
        <f>IF(ROUND(SUM(O74:O78),3)&lt;&gt;ROUND(SUM(C79:N79),3),#VALUE!,SUM(C79:N79))</f>
        <v>2692866.4819999998</v>
      </c>
      <c r="P79" s="447"/>
      <c r="Q79" s="459">
        <f>SUM(Q74:Q78)</f>
        <v>480000</v>
      </c>
      <c r="R79" s="459">
        <f t="shared" ref="R79:T79" si="22">SUM(R74:R78)</f>
        <v>640871.58799999999</v>
      </c>
      <c r="S79" s="459">
        <f t="shared" si="22"/>
        <v>684750.42000000016</v>
      </c>
      <c r="T79" s="459">
        <f t="shared" si="22"/>
        <v>887244.47400021553</v>
      </c>
      <c r="U79" s="447"/>
      <c r="V79" s="447"/>
      <c r="W79" s="447"/>
      <c r="X79" s="447"/>
      <c r="Y79" s="447"/>
      <c r="Z79" s="447"/>
      <c r="AA79" s="447"/>
      <c r="AB79" s="447"/>
      <c r="AC79" s="447"/>
    </row>
    <row r="80" spans="1:29">
      <c r="A80" s="421"/>
      <c r="B80" s="406"/>
      <c r="C80" s="477"/>
      <c r="D80" s="477"/>
      <c r="E80" s="477"/>
      <c r="F80" s="477"/>
      <c r="G80" s="477"/>
      <c r="H80" s="477"/>
      <c r="I80" s="477"/>
      <c r="J80" s="477"/>
      <c r="K80" s="477"/>
      <c r="L80" s="477"/>
      <c r="M80" s="477"/>
      <c r="N80" s="477"/>
      <c r="O80" s="477"/>
      <c r="P80" s="447"/>
      <c r="Q80" s="462"/>
      <c r="R80" s="462"/>
      <c r="S80" s="462"/>
      <c r="T80" s="462"/>
      <c r="U80" s="447"/>
      <c r="V80" s="447"/>
      <c r="W80" s="447"/>
      <c r="X80" s="447"/>
      <c r="Y80" s="447"/>
      <c r="Z80" s="447"/>
      <c r="AA80" s="447"/>
      <c r="AB80" s="447"/>
      <c r="AC80" s="447"/>
    </row>
    <row r="81" spans="1:29">
      <c r="A81" s="421"/>
      <c r="B81" s="406"/>
      <c r="C81" s="477"/>
      <c r="D81" s="477"/>
      <c r="E81" s="477"/>
      <c r="F81" s="477"/>
      <c r="G81" s="477"/>
      <c r="H81" s="477"/>
      <c r="I81" s="477"/>
      <c r="J81" s="477"/>
      <c r="K81" s="477"/>
      <c r="L81" s="477"/>
      <c r="M81" s="477"/>
      <c r="N81" s="477"/>
      <c r="O81" s="477"/>
      <c r="P81" s="447"/>
      <c r="Q81" s="350" t="s">
        <v>90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47"/>
      <c r="W81" s="447"/>
      <c r="X81" s="447"/>
      <c r="Y81" s="447"/>
      <c r="Z81" s="447"/>
      <c r="AA81" s="447"/>
      <c r="AB81" s="447"/>
      <c r="AC81" s="447"/>
    </row>
    <row r="82" spans="1:29">
      <c r="A82" s="421"/>
      <c r="B82" s="406"/>
      <c r="C82" s="477"/>
      <c r="D82" s="477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47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47"/>
      <c r="W82" s="447"/>
      <c r="X82" s="447"/>
      <c r="Y82" s="447"/>
      <c r="Z82" s="447"/>
      <c r="AA82" s="447"/>
      <c r="AB82" s="447"/>
      <c r="AC82" s="447"/>
    </row>
    <row r="83" spans="1:29">
      <c r="A83" s="421"/>
      <c r="B83" s="406"/>
      <c r="C83" s="477"/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47"/>
      <c r="Q83" s="45" t="s">
        <v>89</v>
      </c>
      <c r="R83" s="45" t="s">
        <v>89</v>
      </c>
      <c r="S83" s="45" t="s">
        <v>89</v>
      </c>
      <c r="T83" s="45" t="s">
        <v>89</v>
      </c>
      <c r="U83" s="45" t="s">
        <v>89</v>
      </c>
      <c r="V83" s="447"/>
      <c r="W83" s="447"/>
      <c r="X83" s="447"/>
      <c r="Y83" s="447"/>
      <c r="Z83" s="447"/>
      <c r="AA83" s="447"/>
      <c r="AB83" s="447"/>
      <c r="AC83" s="447"/>
    </row>
    <row r="84" spans="1:29" s="421" customFormat="1">
      <c r="B84" s="426"/>
      <c r="C84" s="444">
        <v>-81449</v>
      </c>
      <c r="D84" s="444">
        <v>-66130</v>
      </c>
      <c r="E84" s="444">
        <v>-65135</v>
      </c>
      <c r="F84" s="444">
        <v>-67845</v>
      </c>
      <c r="G84" s="444">
        <f>-81688</f>
        <v>-81688</v>
      </c>
      <c r="H84" s="470">
        <v>0</v>
      </c>
      <c r="I84" s="444">
        <v>0</v>
      </c>
      <c r="J84" s="444">
        <v>0</v>
      </c>
      <c r="K84" s="444">
        <v>0</v>
      </c>
      <c r="L84" s="444">
        <v>0</v>
      </c>
      <c r="M84" s="444">
        <v>0</v>
      </c>
      <c r="N84" s="444">
        <v>0</v>
      </c>
      <c r="O84" s="444">
        <f>SUM(C84:N84)</f>
        <v>-362247</v>
      </c>
      <c r="P84" s="453"/>
      <c r="Q84" s="515" cm="1">
        <f t="array" ref="Q84">Q$82*12-SUMPRODUCT(--($C84:$N84&lt;=Q$82),Q$82-$C84:$N84)</f>
        <v>-362247</v>
      </c>
      <c r="R84" s="516" cm="1">
        <f t="array" ref="R84">R$82*12-SUM($Q84:Q84)-SUMPRODUCT(--($C84:$N84&lt;=R$82),R$82-$C84:$N84)</f>
        <v>0</v>
      </c>
      <c r="S84" s="516" cm="1">
        <f t="array" ref="S84">S$82*12-SUM($Q84:R84)-SUMPRODUCT(--($C84:$N84&lt;=S$82),S$82-$C84:$N84)</f>
        <v>0</v>
      </c>
      <c r="T84" s="516" cm="1">
        <f t="array" ref="T84">T$82*12-SUM($Q84:S84)-SUMPRODUCT(--($C84:$N84&lt;=T$82),T$82-$C84:$N84)</f>
        <v>0</v>
      </c>
      <c r="U84" s="517" cm="1">
        <f t="array" ref="U84">U$82*12-SUM($Q84:T84)-SUMPRODUCT(--($C84:$N84&lt;=U$82),U$82-$C84:$N84)</f>
        <v>0</v>
      </c>
      <c r="V84" s="454"/>
      <c r="W84" s="453">
        <f>IF(O84&lt;250000,(250000-O84)*'JDM-7 pg 3'!$E$56,0)</f>
        <v>67702.273260000002</v>
      </c>
      <c r="X84" s="453">
        <f>IF(O84&lt;250000,(250000-O84)*'JDM-7 pg 3'!$K$56,0)</f>
        <v>76604.34464000001</v>
      </c>
      <c r="Y84" s="479">
        <f>Q84*'JDM-7 pg 3'!$D$51+'Big Schedules'!R84*'JDM-7 pg 3'!$D$52+'Big Schedules'!S84*'JDM-7 pg 3'!$D$53+'Big Schedules'!T84*'JDM-7 pg 3'!$D$54+'Big Schedules'!U84*'JDM-7 pg 3'!$D$55+'JDM-7 pg 3'!$D$49*12+W84</f>
        <v>31074.971160000001</v>
      </c>
      <c r="Z84" s="479">
        <f>Q84*'JDM-7 pg 3'!$K$51+'Big Schedules'!R84*'JDM-7 pg 3'!$K$52+'Big Schedules'!S84*'JDM-7 pg 3'!$K$53+'Big Schedules'!T84*'JDM-7 pg 3'!$K$54+'Big Schedules'!U84*'JDM-7 pg 3'!$K$55+'JDM-7 pg 3'!$K$49*12+X84</f>
        <v>35857.926560000014</v>
      </c>
      <c r="AA84" s="480">
        <f>Z84/Y84-1</f>
        <v>0.15391664807582117</v>
      </c>
      <c r="AB84" s="454"/>
      <c r="AC84" s="454"/>
    </row>
    <row r="85" spans="1:29" s="421" customFormat="1">
      <c r="B85" s="426"/>
      <c r="C85" s="444">
        <v>-20629</v>
      </c>
      <c r="D85" s="444">
        <v>-18096</v>
      </c>
      <c r="E85" s="444">
        <v>-18108</v>
      </c>
      <c r="F85" s="444">
        <v>-19181</v>
      </c>
      <c r="G85" s="444">
        <v>-23430</v>
      </c>
      <c r="H85" s="470">
        <v>0</v>
      </c>
      <c r="I85" s="444">
        <v>0</v>
      </c>
      <c r="J85" s="444">
        <v>0</v>
      </c>
      <c r="K85" s="444">
        <v>0</v>
      </c>
      <c r="L85" s="444">
        <v>0</v>
      </c>
      <c r="M85" s="444">
        <v>0</v>
      </c>
      <c r="N85" s="444">
        <v>0</v>
      </c>
      <c r="O85" s="444">
        <f>SUM(C85:N85)</f>
        <v>-99444</v>
      </c>
      <c r="P85" s="453"/>
      <c r="Q85" s="518" cm="1">
        <f t="array" ref="Q85">Q$82*12-SUMPRODUCT(--($C85:$N85&lt;=Q$82),Q$82-$C85:$N85)</f>
        <v>-99444</v>
      </c>
      <c r="R85" s="316" cm="1">
        <f t="array" ref="R85">R$82*12-SUM($Q85:Q85)-SUMPRODUCT(--($C85:$N85&lt;=R$82),R$82-$C85:$N85)</f>
        <v>0</v>
      </c>
      <c r="S85" s="316" cm="1">
        <f t="array" ref="S85">S$82*12-SUM($Q85:R85)-SUMPRODUCT(--($C85:$N85&lt;=S$82),S$82-$C85:$N85)</f>
        <v>0</v>
      </c>
      <c r="T85" s="316" cm="1">
        <f t="array" ref="T85">T$82*12-SUM($Q85:S85)-SUMPRODUCT(--($C85:$N85&lt;=T$82),T$82-$C85:$N85)</f>
        <v>0</v>
      </c>
      <c r="U85" s="519" cm="1">
        <f t="array" ref="U85">U$82*12-SUM($Q85:T85)-SUMPRODUCT(--($C85:$N85&lt;=U$82),U$82-$C85:$N85)</f>
        <v>0</v>
      </c>
      <c r="V85" s="454"/>
      <c r="W85" s="453">
        <f>IF(O85&lt;250000,(250000-O85)*'JDM-7 pg 3'!$E$56,0)</f>
        <v>38641.517520000001</v>
      </c>
      <c r="X85" s="453">
        <f>IF(O85&lt;250000,(250000-O85)*'JDM-7 pg 3'!$K$56,0)</f>
        <v>43722.433280000005</v>
      </c>
      <c r="Y85" s="479">
        <f>Q85*'JDM-7 pg 3'!$D$51+'Big Schedules'!R85*'JDM-7 pg 3'!$D$52+'Big Schedules'!S85*'JDM-7 pg 3'!$D$53+'Big Schedules'!T85*'JDM-7 pg 3'!$D$54+'Big Schedules'!U85*'JDM-7 pg 3'!$D$55+'JDM-7 pg 3'!$D$49*12+W85</f>
        <v>34680.628320000003</v>
      </c>
      <c r="Z85" s="479">
        <f>Q85*'JDM-7 pg 3'!$K$51+'Big Schedules'!R85*'JDM-7 pg 3'!$K$52+'Big Schedules'!S85*'JDM-7 pg 3'!$K$53+'Big Schedules'!T85*'JDM-7 pg 3'!$K$54+'Big Schedules'!U85*'JDM-7 pg 3'!$K$55+'JDM-7 pg 3'!$K$49*12+X85</f>
        <v>39936.629120000005</v>
      </c>
      <c r="AA85" s="480">
        <f t="shared" ref="AA85" si="23">Z85/Y85-1</f>
        <v>0.15155437068505795</v>
      </c>
      <c r="AB85" s="454"/>
      <c r="AC85" s="454"/>
    </row>
    <row r="86" spans="1:29" s="421" customFormat="1">
      <c r="B86" s="406" t="s">
        <v>98</v>
      </c>
      <c r="C86" s="445">
        <f>'12MEJUN23'!D169</f>
        <v>43650.04</v>
      </c>
      <c r="D86" s="445">
        <f>'12MEJUN23'!E169</f>
        <v>40663.729999999996</v>
      </c>
      <c r="E86" s="445">
        <f>'12MEJUN23'!F169</f>
        <v>42123.652000000002</v>
      </c>
      <c r="F86" s="445">
        <f>'12MEJUN23'!G169</f>
        <v>50784.091000000008</v>
      </c>
      <c r="G86" s="445">
        <f>'12MEJUN23'!H169+64051</f>
        <v>227595.92799999999</v>
      </c>
      <c r="H86" s="445">
        <f>'12MEJUN23'!I169-64051</f>
        <v>188996.31400000001</v>
      </c>
      <c r="I86" s="445">
        <f>'12MEJUN23'!J169</f>
        <v>472432.00400000002</v>
      </c>
      <c r="J86" s="445">
        <f>'12MEJUN23'!K169</f>
        <v>229126.19900000002</v>
      </c>
      <c r="K86" s="445">
        <f>'12MEJUN23'!L169</f>
        <v>349483.20600000001</v>
      </c>
      <c r="L86" s="445">
        <f>'12MEJUN23'!M169</f>
        <v>243960.85700000002</v>
      </c>
      <c r="M86" s="445">
        <f>'12MEJUN23'!N169</f>
        <v>192768.14299999998</v>
      </c>
      <c r="N86" s="445">
        <f>'12MEJUN23'!O169</f>
        <v>149591.60800000001</v>
      </c>
      <c r="O86" s="477">
        <f>SUM(C86:N86)</f>
        <v>2231175.7719999999</v>
      </c>
      <c r="P86" s="454"/>
      <c r="Q86" s="518">
        <f>SUM(Q84:Q85)</f>
        <v>-461691</v>
      </c>
      <c r="R86" s="316">
        <f t="shared" ref="R86:U86" si="24">SUM(R84:R85)</f>
        <v>0</v>
      </c>
      <c r="S86" s="316">
        <f t="shared" si="24"/>
        <v>0</v>
      </c>
      <c r="T86" s="316">
        <f t="shared" si="24"/>
        <v>0</v>
      </c>
      <c r="U86" s="519">
        <f t="shared" si="24"/>
        <v>0</v>
      </c>
      <c r="V86" s="454"/>
      <c r="W86" s="454"/>
      <c r="X86" s="454"/>
      <c r="Y86" s="454"/>
      <c r="Z86" s="454"/>
      <c r="AA86" s="454"/>
      <c r="AB86" s="454"/>
      <c r="AC86" s="454"/>
    </row>
    <row r="87" spans="1:29">
      <c r="A87" s="421"/>
      <c r="B87" s="425" t="s">
        <v>322</v>
      </c>
      <c r="C87" s="497">
        <v>0</v>
      </c>
      <c r="D87" s="497">
        <v>0</v>
      </c>
      <c r="E87" s="497">
        <v>0</v>
      </c>
      <c r="F87" s="497">
        <v>0</v>
      </c>
      <c r="G87" s="497">
        <v>0</v>
      </c>
      <c r="H87" s="498"/>
      <c r="I87" s="498"/>
      <c r="J87" s="498"/>
      <c r="K87" s="498"/>
      <c r="L87" s="498"/>
      <c r="M87" s="498"/>
      <c r="N87" s="498"/>
      <c r="O87" s="498">
        <f>SUM(C87:N87)</f>
        <v>0</v>
      </c>
      <c r="P87" s="447"/>
      <c r="Q87" s="462"/>
      <c r="R87" s="462"/>
      <c r="S87" s="462"/>
      <c r="T87" s="462"/>
      <c r="U87" s="447"/>
      <c r="V87" s="447"/>
      <c r="W87" s="447"/>
      <c r="X87" s="447"/>
      <c r="Y87" s="447"/>
      <c r="Z87" s="447"/>
      <c r="AA87" s="447"/>
      <c r="AB87" s="447"/>
      <c r="AC87" s="447"/>
    </row>
    <row r="88" spans="1:29">
      <c r="A88" s="421"/>
      <c r="B88" s="406" t="s">
        <v>323</v>
      </c>
      <c r="C88" s="453">
        <f>SUM(C79:C85)</f>
        <v>43650</v>
      </c>
      <c r="D88" s="453">
        <f>SUM(D79:D85)</f>
        <v>40663.797999999995</v>
      </c>
      <c r="E88" s="453">
        <f>SUM(E79:E85)</f>
        <v>42123.652000000002</v>
      </c>
      <c r="F88" s="453">
        <f>SUM(F79:F85)</f>
        <v>50784.091000000015</v>
      </c>
      <c r="G88" s="453">
        <f>SUM(G79:G85)</f>
        <v>163544.92799999996</v>
      </c>
      <c r="H88" s="453">
        <f t="shared" ref="H88:N88" si="25">SUM(H79:H85)</f>
        <v>377381.174</v>
      </c>
      <c r="I88" s="453">
        <f t="shared" si="25"/>
        <v>348098.14400000003</v>
      </c>
      <c r="J88" s="453">
        <f t="shared" si="25"/>
        <v>300634.19900000002</v>
      </c>
      <c r="K88" s="453">
        <f t="shared" si="25"/>
        <v>277974.88799999998</v>
      </c>
      <c r="L88" s="453">
        <f t="shared" si="25"/>
        <v>243960.85700000002</v>
      </c>
      <c r="M88" s="453">
        <f t="shared" si="25"/>
        <v>192768.14299999998</v>
      </c>
      <c r="N88" s="453">
        <f t="shared" si="25"/>
        <v>149591.60800000001</v>
      </c>
      <c r="O88" s="453">
        <f>SUM(O79:O85)</f>
        <v>2231175.4819999998</v>
      </c>
      <c r="P88" s="447"/>
      <c r="Q88" s="462"/>
      <c r="R88" s="462"/>
      <c r="S88" s="462"/>
      <c r="T88" s="446">
        <f>SUM(Q79:T79)</f>
        <v>2692866.4820002159</v>
      </c>
      <c r="U88" s="446"/>
      <c r="V88" s="447"/>
      <c r="W88" s="447"/>
      <c r="X88" s="447"/>
      <c r="Y88" s="447"/>
      <c r="Z88" s="447"/>
      <c r="AA88" s="447"/>
      <c r="AB88" s="447"/>
      <c r="AC88" s="447"/>
    </row>
    <row r="89" spans="1:29">
      <c r="A89" s="421"/>
      <c r="B89" s="352"/>
      <c r="C89" s="505">
        <f>C79+C84+C85-C86</f>
        <v>-4.0000000000873115E-2</v>
      </c>
      <c r="D89" s="505">
        <f>D79+D84+D85-D86</f>
        <v>6.7999999999301508E-2</v>
      </c>
      <c r="E89" s="505">
        <f>E79+E84+E85-E86</f>
        <v>0</v>
      </c>
      <c r="F89" s="505">
        <f>F79+F84+F85-F86</f>
        <v>0</v>
      </c>
      <c r="G89" s="505">
        <f>G79+G84+G85-G86</f>
        <v>-64051.000000000029</v>
      </c>
      <c r="H89" s="505">
        <f t="shared" ref="H89:O89" si="26">H79+H84+H85-H86</f>
        <v>188384.86</v>
      </c>
      <c r="I89" s="505">
        <f t="shared" si="26"/>
        <v>-124333.85999999999</v>
      </c>
      <c r="J89" s="505">
        <f t="shared" si="26"/>
        <v>71508</v>
      </c>
      <c r="K89" s="505">
        <f t="shared" si="26"/>
        <v>-71508.318000000028</v>
      </c>
      <c r="L89" s="505">
        <f t="shared" si="26"/>
        <v>0</v>
      </c>
      <c r="M89" s="505">
        <f t="shared" si="26"/>
        <v>0</v>
      </c>
      <c r="N89" s="505">
        <f t="shared" si="26"/>
        <v>0</v>
      </c>
      <c r="O89" s="505">
        <f t="shared" si="26"/>
        <v>-0.2900000000372529</v>
      </c>
      <c r="P89" s="447"/>
      <c r="Q89" s="462"/>
      <c r="R89" s="462"/>
      <c r="S89" s="462"/>
      <c r="T89" s="446"/>
      <c r="U89" s="446"/>
      <c r="V89" s="447"/>
      <c r="W89" s="447"/>
      <c r="X89" s="447"/>
      <c r="Y89" s="447"/>
      <c r="Z89" s="447"/>
      <c r="AA89" s="447"/>
      <c r="AB89" s="447"/>
      <c r="AC89" s="447"/>
    </row>
    <row r="90" spans="1:29">
      <c r="A90" s="421"/>
      <c r="B90" s="352"/>
      <c r="C90" s="505"/>
      <c r="D90" s="505"/>
      <c r="E90" s="505"/>
      <c r="F90" s="505"/>
      <c r="G90" s="505"/>
      <c r="H90" s="505"/>
      <c r="I90" s="505"/>
      <c r="J90" s="505"/>
      <c r="K90" s="505"/>
      <c r="L90" s="505"/>
      <c r="M90" s="505"/>
      <c r="N90" s="505"/>
      <c r="O90" s="505"/>
      <c r="P90" s="447"/>
      <c r="Q90" s="462"/>
      <c r="R90" s="462"/>
      <c r="S90" s="462"/>
      <c r="T90" s="446"/>
      <c r="U90" s="446"/>
      <c r="V90" s="447"/>
      <c r="W90" s="447"/>
      <c r="X90" s="447"/>
      <c r="Y90" s="447"/>
      <c r="Z90" s="447"/>
      <c r="AA90" s="447"/>
      <c r="AB90" s="447"/>
      <c r="AC90" s="447"/>
    </row>
    <row r="91" spans="1:29">
      <c r="B91" s="29" t="s">
        <v>91</v>
      </c>
      <c r="C91" s="447"/>
      <c r="D91" s="447"/>
      <c r="E91" s="447"/>
      <c r="F91" s="447"/>
      <c r="G91" s="454"/>
      <c r="H91" s="454"/>
      <c r="I91" s="447"/>
      <c r="J91" s="447"/>
      <c r="K91" s="447"/>
      <c r="L91" s="447"/>
      <c r="M91" s="447"/>
      <c r="N91" s="447"/>
      <c r="O91" s="495" t="s">
        <v>271</v>
      </c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</row>
    <row r="92" spans="1:29">
      <c r="B92" s="29" t="s">
        <v>57</v>
      </c>
      <c r="C92" s="486">
        <f t="shared" ref="C92:N92" si="27">C4</f>
        <v>44772</v>
      </c>
      <c r="D92" s="486">
        <f t="shared" si="27"/>
        <v>44804</v>
      </c>
      <c r="E92" s="486">
        <f t="shared" si="27"/>
        <v>44834</v>
      </c>
      <c r="F92" s="486">
        <f t="shared" si="27"/>
        <v>44865</v>
      </c>
      <c r="G92" s="486">
        <f t="shared" si="27"/>
        <v>44895</v>
      </c>
      <c r="H92" s="486">
        <f t="shared" si="27"/>
        <v>44926</v>
      </c>
      <c r="I92" s="486">
        <f t="shared" si="27"/>
        <v>44957</v>
      </c>
      <c r="J92" s="486">
        <f t="shared" si="27"/>
        <v>44985</v>
      </c>
      <c r="K92" s="486">
        <f t="shared" si="27"/>
        <v>45016</v>
      </c>
      <c r="L92" s="499">
        <f t="shared" si="27"/>
        <v>45046</v>
      </c>
      <c r="M92" s="486">
        <f t="shared" si="27"/>
        <v>45077</v>
      </c>
      <c r="N92" s="486">
        <f t="shared" si="27"/>
        <v>45107</v>
      </c>
      <c r="O92" s="496" t="s">
        <v>58</v>
      </c>
      <c r="P92" s="48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</row>
    <row r="93" spans="1:29">
      <c r="A93" s="421"/>
      <c r="B93" s="406"/>
      <c r="C93" s="423">
        <v>1821424</v>
      </c>
      <c r="D93" s="423">
        <v>1758563</v>
      </c>
      <c r="E93" s="423">
        <v>1699924</v>
      </c>
      <c r="F93" s="423">
        <v>1829958</v>
      </c>
      <c r="G93" s="423">
        <v>1958976</v>
      </c>
      <c r="H93" s="423">
        <v>2198086</v>
      </c>
      <c r="I93" s="423">
        <v>2208313</v>
      </c>
      <c r="J93" s="423">
        <v>2174991</v>
      </c>
      <c r="K93" s="423">
        <v>1878006</v>
      </c>
      <c r="L93" s="423">
        <v>2086383</v>
      </c>
      <c r="M93" s="423">
        <v>1871322</v>
      </c>
      <c r="N93" s="423">
        <v>1894050</v>
      </c>
      <c r="O93" s="457">
        <f>SUM(C93:N93)</f>
        <v>23379996</v>
      </c>
      <c r="P93" s="446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</row>
    <row r="94" spans="1:29">
      <c r="A94" s="421"/>
      <c r="B94" s="406"/>
      <c r="C94" s="423">
        <v>475988</v>
      </c>
      <c r="D94" s="423">
        <v>440400</v>
      </c>
      <c r="E94" s="423">
        <v>530248</v>
      </c>
      <c r="F94" s="423">
        <v>394515</v>
      </c>
      <c r="G94" s="423">
        <v>485631</v>
      </c>
      <c r="H94" s="423">
        <v>360408</v>
      </c>
      <c r="I94" s="423">
        <v>409780</v>
      </c>
      <c r="J94" s="423">
        <v>512314</v>
      </c>
      <c r="K94" s="423">
        <v>467349</v>
      </c>
      <c r="L94" s="423">
        <v>112824</v>
      </c>
      <c r="M94" s="423">
        <v>549337</v>
      </c>
      <c r="N94" s="423">
        <v>425342</v>
      </c>
      <c r="O94" s="457">
        <f>SUM(C94:N94)</f>
        <v>5164136</v>
      </c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</row>
    <row r="95" spans="1:29">
      <c r="A95" s="421"/>
      <c r="B95" s="406"/>
      <c r="C95" s="423">
        <v>369910</v>
      </c>
      <c r="D95" s="423">
        <v>246603</v>
      </c>
      <c r="E95" s="423">
        <v>397973</v>
      </c>
      <c r="F95" s="423">
        <v>443657</v>
      </c>
      <c r="G95" s="423">
        <v>493605</v>
      </c>
      <c r="H95" s="423">
        <v>532301</v>
      </c>
      <c r="I95" s="423">
        <v>543371</v>
      </c>
      <c r="J95" s="423">
        <v>516707</v>
      </c>
      <c r="K95" s="423">
        <v>534469</v>
      </c>
      <c r="L95" s="423">
        <v>600693</v>
      </c>
      <c r="M95" s="423">
        <v>512668</v>
      </c>
      <c r="N95" s="423">
        <v>522160</v>
      </c>
      <c r="O95" s="457">
        <f>SUM(C95:N95)</f>
        <v>5714117</v>
      </c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</row>
    <row r="96" spans="1:29">
      <c r="A96" s="421"/>
      <c r="B96" s="406"/>
      <c r="C96" s="423">
        <v>594493</v>
      </c>
      <c r="D96" s="423">
        <v>441795</v>
      </c>
      <c r="E96" s="423">
        <v>427872</v>
      </c>
      <c r="F96" s="423">
        <v>505676</v>
      </c>
      <c r="G96" s="423">
        <v>744511</v>
      </c>
      <c r="H96" s="423">
        <v>1338692</v>
      </c>
      <c r="I96" s="423">
        <v>1507902</v>
      </c>
      <c r="J96" s="423">
        <v>50279</v>
      </c>
      <c r="K96" s="423">
        <v>1235102</v>
      </c>
      <c r="L96" s="423">
        <v>1234119</v>
      </c>
      <c r="M96" s="423">
        <v>982400</v>
      </c>
      <c r="N96" s="423">
        <v>564746</v>
      </c>
      <c r="O96" s="457">
        <f>SUM(C96:N96)</f>
        <v>9627587</v>
      </c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</row>
    <row r="97" spans="1:29">
      <c r="A97" s="421"/>
      <c r="B97" s="406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</row>
    <row r="98" spans="1:29" ht="13.5" thickBot="1">
      <c r="B98" s="352" t="s">
        <v>102</v>
      </c>
      <c r="C98" s="459">
        <f t="shared" ref="C98:N98" si="28">SUM(C93:C97)</f>
        <v>3261815</v>
      </c>
      <c r="D98" s="459">
        <f t="shared" si="28"/>
        <v>2887361</v>
      </c>
      <c r="E98" s="459">
        <f t="shared" si="28"/>
        <v>3056017</v>
      </c>
      <c r="F98" s="459">
        <f t="shared" si="28"/>
        <v>3173806</v>
      </c>
      <c r="G98" s="459">
        <f t="shared" si="28"/>
        <v>3682723</v>
      </c>
      <c r="H98" s="459">
        <f t="shared" si="28"/>
        <v>4429487</v>
      </c>
      <c r="I98" s="459">
        <f t="shared" si="28"/>
        <v>4669366</v>
      </c>
      <c r="J98" s="459">
        <f t="shared" si="28"/>
        <v>3254291</v>
      </c>
      <c r="K98" s="459">
        <f t="shared" si="28"/>
        <v>4114926</v>
      </c>
      <c r="L98" s="474">
        <f t="shared" si="28"/>
        <v>4034019</v>
      </c>
      <c r="M98" s="459">
        <f t="shared" si="28"/>
        <v>3915727</v>
      </c>
      <c r="N98" s="459">
        <f t="shared" si="28"/>
        <v>3406298</v>
      </c>
      <c r="O98" s="460">
        <f>IF(ROUND(SUM(O93:O97),3)&lt;&gt;ROUND(SUM(C98:N98),3),#VALUE!,SUM(C98:N98))</f>
        <v>43885836</v>
      </c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</row>
    <row r="99" spans="1:29" ht="13.5" thickTop="1">
      <c r="C99" s="462"/>
      <c r="D99" s="462"/>
      <c r="E99" s="462"/>
      <c r="F99" s="462"/>
      <c r="G99" s="462"/>
      <c r="H99" s="462"/>
      <c r="I99" s="462"/>
      <c r="J99" s="462"/>
      <c r="K99" s="462"/>
      <c r="L99" s="477"/>
      <c r="M99" s="462"/>
      <c r="N99" s="462"/>
      <c r="O99" s="462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</row>
    <row r="100" spans="1:29" ht="13.5" thickBot="1">
      <c r="B100" s="301" t="s">
        <v>98</v>
      </c>
      <c r="C100" s="335">
        <f>'12MEJUN23'!D172</f>
        <v>3392181</v>
      </c>
      <c r="D100" s="335">
        <f>'12MEJUN23'!E172</f>
        <v>3020403</v>
      </c>
      <c r="E100" s="335">
        <f>'12MEJUN23'!F172</f>
        <v>3187739</v>
      </c>
      <c r="F100" s="335">
        <f>'12MEJUN23'!G172</f>
        <v>3302651</v>
      </c>
      <c r="G100" s="335">
        <f>'12MEJUN23'!H172</f>
        <v>3824455</v>
      </c>
      <c r="H100" s="335">
        <f>'12MEJUN23'!I172</f>
        <v>4579501</v>
      </c>
      <c r="I100" s="335">
        <f>'12MEJUN23'!J172</f>
        <v>4831826</v>
      </c>
      <c r="J100" s="335">
        <f>'12MEJUN23'!K172</f>
        <v>3372436</v>
      </c>
      <c r="K100" s="335">
        <f>'12MEJUN23'!L172</f>
        <v>4249199</v>
      </c>
      <c r="L100" s="428">
        <f>'12MEJUN23'!M172</f>
        <v>4177737</v>
      </c>
      <c r="M100" s="335">
        <f>'12MEJUN23'!N172</f>
        <v>4042439</v>
      </c>
      <c r="N100" s="335">
        <f>'12MEJUN23'!O172</f>
        <v>3532436</v>
      </c>
      <c r="O100" s="500">
        <f>SUM(C100:N100)</f>
        <v>45513003</v>
      </c>
      <c r="P100" s="463"/>
      <c r="Q100" s="462"/>
      <c r="R100" s="462"/>
      <c r="S100" s="462"/>
      <c r="T100" s="462"/>
      <c r="U100" s="462"/>
      <c r="V100" s="447"/>
      <c r="W100" s="447"/>
      <c r="X100" s="447"/>
      <c r="Y100" s="447"/>
      <c r="Z100" s="447"/>
      <c r="AA100" s="447"/>
      <c r="AB100" s="447"/>
      <c r="AC100" s="447"/>
    </row>
    <row r="101" spans="1:29" ht="13.5" thickTop="1">
      <c r="B101" s="301"/>
      <c r="C101" s="335"/>
      <c r="D101" s="335"/>
      <c r="E101" s="335"/>
      <c r="F101" s="335"/>
      <c r="G101" s="335"/>
      <c r="H101" s="335"/>
      <c r="I101" s="335"/>
      <c r="J101" s="335"/>
      <c r="K101" s="335"/>
      <c r="L101" s="428"/>
      <c r="M101" s="335"/>
      <c r="N101" s="335"/>
      <c r="O101" s="507"/>
      <c r="P101" s="463"/>
      <c r="Q101" s="462"/>
      <c r="R101" s="462"/>
      <c r="S101" s="462"/>
      <c r="T101" s="462"/>
      <c r="U101" s="462"/>
      <c r="V101" s="447"/>
      <c r="W101" s="447"/>
      <c r="X101" s="447"/>
      <c r="Y101" s="447"/>
      <c r="Z101" s="447"/>
      <c r="AA101" s="447"/>
      <c r="AB101" s="447"/>
      <c r="AC101" s="447"/>
    </row>
    <row r="102" spans="1:29" s="421" customFormat="1">
      <c r="B102" s="406"/>
      <c r="C102" s="423">
        <v>130366</v>
      </c>
      <c r="D102" s="423">
        <v>133042</v>
      </c>
      <c r="E102" s="423">
        <v>131722</v>
      </c>
      <c r="F102" s="423">
        <v>128845</v>
      </c>
      <c r="G102" s="423">
        <v>141732</v>
      </c>
      <c r="H102" s="423">
        <v>150014</v>
      </c>
      <c r="I102" s="423">
        <v>162460</v>
      </c>
      <c r="J102" s="423">
        <v>118145</v>
      </c>
      <c r="K102" s="423">
        <v>134273</v>
      </c>
      <c r="L102" s="423">
        <v>143718</v>
      </c>
      <c r="M102" s="423">
        <v>126712</v>
      </c>
      <c r="N102" s="423">
        <v>126138</v>
      </c>
      <c r="O102" s="453">
        <f>SUM(C102:N102)</f>
        <v>1627167</v>
      </c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</row>
    <row r="103" spans="1:29">
      <c r="B103" s="352"/>
      <c r="C103" s="506">
        <f>C98-C100+C102</f>
        <v>0</v>
      </c>
      <c r="D103" s="506">
        <f t="shared" ref="D103:N103" si="29">D98-D100+D102</f>
        <v>0</v>
      </c>
      <c r="E103" s="506">
        <f t="shared" si="29"/>
        <v>0</v>
      </c>
      <c r="F103" s="506">
        <f t="shared" si="29"/>
        <v>0</v>
      </c>
      <c r="G103" s="506">
        <f t="shared" si="29"/>
        <v>0</v>
      </c>
      <c r="H103" s="506">
        <f t="shared" si="29"/>
        <v>0</v>
      </c>
      <c r="I103" s="506">
        <f t="shared" si="29"/>
        <v>0</v>
      </c>
      <c r="J103" s="506">
        <f t="shared" si="29"/>
        <v>0</v>
      </c>
      <c r="K103" s="506">
        <f t="shared" si="29"/>
        <v>0</v>
      </c>
      <c r="L103" s="506">
        <f t="shared" si="29"/>
        <v>0</v>
      </c>
      <c r="M103" s="506">
        <f t="shared" si="29"/>
        <v>0</v>
      </c>
      <c r="N103" s="506">
        <f t="shared" si="29"/>
        <v>0</v>
      </c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</row>
    <row r="104" spans="1:29">
      <c r="B104" s="352"/>
      <c r="C104" s="506"/>
      <c r="D104" s="506"/>
      <c r="E104" s="506"/>
      <c r="F104" s="506"/>
      <c r="G104" s="506"/>
      <c r="H104" s="506"/>
      <c r="I104" s="506"/>
      <c r="J104" s="506"/>
      <c r="K104" s="506"/>
      <c r="L104" s="506"/>
      <c r="M104" s="506"/>
      <c r="N104" s="506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</row>
    <row r="105" spans="1:29">
      <c r="B105" s="29" t="s">
        <v>103</v>
      </c>
      <c r="C105" s="447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95" t="s">
        <v>271</v>
      </c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</row>
    <row r="106" spans="1:29">
      <c r="B106" s="29" t="s">
        <v>57</v>
      </c>
      <c r="C106" s="486">
        <f t="shared" ref="C106:N106" si="30">C4</f>
        <v>44772</v>
      </c>
      <c r="D106" s="486">
        <f t="shared" si="30"/>
        <v>44804</v>
      </c>
      <c r="E106" s="486">
        <f t="shared" si="30"/>
        <v>44834</v>
      </c>
      <c r="F106" s="486">
        <f t="shared" si="30"/>
        <v>44865</v>
      </c>
      <c r="G106" s="486">
        <f t="shared" si="30"/>
        <v>44895</v>
      </c>
      <c r="H106" s="486">
        <f t="shared" si="30"/>
        <v>44926</v>
      </c>
      <c r="I106" s="486">
        <f t="shared" si="30"/>
        <v>44957</v>
      </c>
      <c r="J106" s="486">
        <f t="shared" si="30"/>
        <v>44985</v>
      </c>
      <c r="K106" s="486">
        <f t="shared" si="30"/>
        <v>45016</v>
      </c>
      <c r="L106" s="486">
        <f t="shared" si="30"/>
        <v>45046</v>
      </c>
      <c r="M106" s="486">
        <f t="shared" si="30"/>
        <v>45077</v>
      </c>
      <c r="N106" s="486">
        <f t="shared" si="30"/>
        <v>45107</v>
      </c>
      <c r="O106" s="496" t="s">
        <v>58</v>
      </c>
      <c r="P106" s="48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</row>
    <row r="107" spans="1:29">
      <c r="C107" s="376">
        <v>104362</v>
      </c>
      <c r="D107" s="376">
        <v>467876</v>
      </c>
      <c r="E107" s="376">
        <v>836921</v>
      </c>
      <c r="F107" s="376">
        <v>1151977</v>
      </c>
      <c r="G107" s="376">
        <v>1409111</v>
      </c>
      <c r="H107" s="376">
        <v>1173796</v>
      </c>
      <c r="I107" s="376">
        <v>1094580</v>
      </c>
      <c r="J107" s="376">
        <v>270952</v>
      </c>
      <c r="K107" s="376">
        <v>320673</v>
      </c>
      <c r="L107" s="376">
        <v>728327</v>
      </c>
      <c r="M107" s="376">
        <v>1101544</v>
      </c>
      <c r="N107" s="376">
        <v>157163</v>
      </c>
      <c r="O107" s="457">
        <f>SUM(C107:N107)</f>
        <v>8817282</v>
      </c>
      <c r="P107" s="446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</row>
    <row r="108" spans="1:29">
      <c r="C108" s="376">
        <v>11229</v>
      </c>
      <c r="D108" s="376">
        <v>28696</v>
      </c>
      <c r="E108" s="376">
        <v>93219</v>
      </c>
      <c r="F108" s="376">
        <v>167746</v>
      </c>
      <c r="G108" s="376">
        <v>103970</v>
      </c>
      <c r="H108" s="376">
        <v>11221</v>
      </c>
      <c r="I108" s="376">
        <v>55562</v>
      </c>
      <c r="J108" s="376">
        <v>65531</v>
      </c>
      <c r="K108" s="376">
        <v>48461</v>
      </c>
      <c r="L108" s="376">
        <v>138928</v>
      </c>
      <c r="M108" s="376">
        <v>437697</v>
      </c>
      <c r="N108" s="376">
        <v>67634</v>
      </c>
      <c r="O108" s="457">
        <f>SUM(C108:N108)</f>
        <v>1229894</v>
      </c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</row>
    <row r="109" spans="1:29">
      <c r="C109" s="447"/>
      <c r="D109" s="447"/>
      <c r="E109" s="447"/>
      <c r="F109" s="447"/>
      <c r="G109" s="447"/>
      <c r="H109" s="447"/>
      <c r="I109" s="447"/>
      <c r="J109" s="447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</row>
    <row r="110" spans="1:29" ht="13.5" thickBot="1">
      <c r="B110" s="352" t="s">
        <v>104</v>
      </c>
      <c r="C110" s="459">
        <f>SUM(C107:C109)</f>
        <v>115591</v>
      </c>
      <c r="D110" s="459">
        <f t="shared" ref="D110:N110" si="31">SUM(D107:D109)</f>
        <v>496572</v>
      </c>
      <c r="E110" s="459">
        <f>SUM(E107:E109)</f>
        <v>930140</v>
      </c>
      <c r="F110" s="459">
        <f t="shared" si="31"/>
        <v>1319723</v>
      </c>
      <c r="G110" s="459">
        <f t="shared" si="31"/>
        <v>1513081</v>
      </c>
      <c r="H110" s="459">
        <f t="shared" si="31"/>
        <v>1185017</v>
      </c>
      <c r="I110" s="459">
        <f t="shared" si="31"/>
        <v>1150142</v>
      </c>
      <c r="J110" s="459">
        <f t="shared" si="31"/>
        <v>336483</v>
      </c>
      <c r="K110" s="459">
        <f t="shared" si="31"/>
        <v>369134</v>
      </c>
      <c r="L110" s="459">
        <f t="shared" si="31"/>
        <v>867255</v>
      </c>
      <c r="M110" s="459">
        <f t="shared" si="31"/>
        <v>1539241</v>
      </c>
      <c r="N110" s="459">
        <f t="shared" si="31"/>
        <v>224797</v>
      </c>
      <c r="O110" s="460">
        <f>IF(ROUND(SUM(O107:O109),3)&lt;&gt;ROUND(SUM(C110:N110),3),#VALUE!,SUM(C110:N110))</f>
        <v>10047176</v>
      </c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</row>
    <row r="111" spans="1:29" ht="13.5" thickTop="1">
      <c r="C111" s="462"/>
      <c r="D111" s="462"/>
      <c r="E111" s="462"/>
      <c r="F111" s="462"/>
      <c r="G111" s="462"/>
      <c r="H111" s="462"/>
      <c r="I111" s="462"/>
      <c r="J111" s="462"/>
      <c r="K111" s="462"/>
      <c r="L111" s="462"/>
      <c r="M111" s="462"/>
      <c r="N111" s="462"/>
      <c r="O111" s="462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</row>
    <row r="112" spans="1:29" ht="13.5" thickBot="1">
      <c r="B112" s="301" t="s">
        <v>98</v>
      </c>
      <c r="C112" s="334">
        <f>'12MEJUN23'!D171</f>
        <v>115591</v>
      </c>
      <c r="D112" s="334">
        <f>'12MEJUN23'!E171</f>
        <v>496572</v>
      </c>
      <c r="E112" s="334">
        <f>'12MEJUN23'!F171</f>
        <v>930140</v>
      </c>
      <c r="F112" s="334">
        <f>'12MEJUN23'!G171</f>
        <v>1319723</v>
      </c>
      <c r="G112" s="334">
        <f>'12MEJUN23'!H171</f>
        <v>1513081</v>
      </c>
      <c r="H112" s="334">
        <f>'12MEJUN23'!I171</f>
        <v>1185017</v>
      </c>
      <c r="I112" s="334">
        <f>'12MEJUN23'!J171</f>
        <v>1150142</v>
      </c>
      <c r="J112" s="334">
        <f>'12MEJUN23'!K171</f>
        <v>336483</v>
      </c>
      <c r="K112" s="334">
        <f>'12MEJUN23'!L171</f>
        <v>369134</v>
      </c>
      <c r="L112" s="334">
        <f>'12MEJUN23'!M171</f>
        <v>867255</v>
      </c>
      <c r="M112" s="334">
        <f>'12MEJUN23'!N171</f>
        <v>1539241</v>
      </c>
      <c r="N112" s="334">
        <f>'12MEJUN23'!O171</f>
        <v>224797</v>
      </c>
      <c r="O112" s="500">
        <f>SUM(C112:N112)</f>
        <v>10047176</v>
      </c>
      <c r="P112" s="463"/>
      <c r="Q112" s="462"/>
      <c r="R112" s="462"/>
      <c r="S112" s="462"/>
      <c r="T112" s="462"/>
      <c r="U112" s="462"/>
      <c r="V112" s="447"/>
      <c r="W112" s="447"/>
      <c r="X112" s="447"/>
      <c r="Y112" s="447"/>
      <c r="Z112" s="447"/>
      <c r="AA112" s="447"/>
      <c r="AB112" s="447"/>
      <c r="AC112" s="447"/>
    </row>
    <row r="113" spans="2:29" ht="13.5" thickTop="1">
      <c r="C113" s="485">
        <f>C110-C112</f>
        <v>0</v>
      </c>
      <c r="D113" s="485">
        <f t="shared" ref="D113:O113" si="32">D110-D112</f>
        <v>0</v>
      </c>
      <c r="E113" s="485">
        <f t="shared" si="32"/>
        <v>0</v>
      </c>
      <c r="F113" s="485">
        <f t="shared" si="32"/>
        <v>0</v>
      </c>
      <c r="G113" s="485">
        <f t="shared" si="32"/>
        <v>0</v>
      </c>
      <c r="H113" s="485">
        <f t="shared" si="32"/>
        <v>0</v>
      </c>
      <c r="I113" s="485">
        <f t="shared" si="32"/>
        <v>0</v>
      </c>
      <c r="J113" s="485">
        <f t="shared" si="32"/>
        <v>0</v>
      </c>
      <c r="K113" s="485">
        <f t="shared" si="32"/>
        <v>0</v>
      </c>
      <c r="L113" s="485">
        <f t="shared" si="32"/>
        <v>0</v>
      </c>
      <c r="M113" s="485">
        <f t="shared" si="32"/>
        <v>0</v>
      </c>
      <c r="N113" s="485">
        <f t="shared" si="32"/>
        <v>0</v>
      </c>
      <c r="O113" s="485">
        <f t="shared" si="32"/>
        <v>0</v>
      </c>
      <c r="P113" s="447"/>
      <c r="Q113" s="447"/>
      <c r="R113" s="447"/>
      <c r="S113" s="447"/>
      <c r="T113" s="447"/>
      <c r="U113" s="447"/>
      <c r="V113" s="447"/>
      <c r="W113" s="447"/>
      <c r="X113" s="447"/>
      <c r="Y113" s="447"/>
      <c r="Z113" s="447"/>
      <c r="AA113" s="447"/>
      <c r="AB113" s="447"/>
      <c r="AC113" s="447"/>
    </row>
    <row r="114" spans="2:29">
      <c r="C114" s="447"/>
      <c r="D114" s="447"/>
      <c r="E114" s="447"/>
      <c r="F114" s="447"/>
      <c r="G114" s="447"/>
      <c r="H114" s="447"/>
      <c r="I114" s="447"/>
      <c r="J114" s="447"/>
      <c r="K114" s="447"/>
      <c r="L114" s="447"/>
      <c r="M114" s="447"/>
      <c r="N114" s="447"/>
      <c r="O114" s="447"/>
      <c r="P114" s="447"/>
      <c r="Q114" s="447"/>
      <c r="R114" s="447"/>
      <c r="S114" s="447"/>
      <c r="T114" s="447"/>
      <c r="U114" s="447"/>
      <c r="V114" s="447"/>
      <c r="W114" s="447"/>
      <c r="X114" s="447"/>
      <c r="Y114" s="447"/>
      <c r="Z114" s="447"/>
      <c r="AA114" s="447"/>
      <c r="AB114" s="447"/>
      <c r="AC114" s="447"/>
    </row>
    <row r="115" spans="2:29">
      <c r="B115" s="406" t="s">
        <v>261</v>
      </c>
      <c r="C115" s="508">
        <v>2417.0100000000002</v>
      </c>
      <c r="D115" s="508">
        <v>10383.33</v>
      </c>
      <c r="E115" s="508">
        <v>19449.23</v>
      </c>
      <c r="F115" s="508">
        <v>27595.41</v>
      </c>
      <c r="G115" s="508">
        <v>31638.52</v>
      </c>
      <c r="H115" s="508">
        <v>24778.7</v>
      </c>
      <c r="I115" s="508">
        <v>24049.47</v>
      </c>
      <c r="J115" s="508">
        <v>7035.86</v>
      </c>
      <c r="K115" s="508">
        <v>7718.59</v>
      </c>
      <c r="L115" s="508">
        <v>18134.3</v>
      </c>
      <c r="M115" s="508">
        <v>32185.54</v>
      </c>
      <c r="N115" s="508">
        <v>4700.51</v>
      </c>
      <c r="O115" s="501">
        <f>SUM(C115:N115)</f>
        <v>210086.46999999997</v>
      </c>
      <c r="P115" s="447"/>
      <c r="Q115" s="447"/>
      <c r="R115" s="447"/>
      <c r="S115" s="447"/>
      <c r="T115" s="447"/>
      <c r="U115" s="447"/>
      <c r="V115" s="447"/>
      <c r="W115" s="447"/>
      <c r="X115" s="447"/>
      <c r="Y115" s="447"/>
      <c r="Z115" s="447"/>
      <c r="AA115" s="447"/>
      <c r="AB115" s="447"/>
      <c r="AC115" s="447"/>
    </row>
    <row r="116" spans="2:29">
      <c r="B116" s="411" t="s">
        <v>95</v>
      </c>
      <c r="C116" s="502">
        <f>C110*0.02091</f>
        <v>2417.0078100000001</v>
      </c>
      <c r="D116" s="502">
        <f t="shared" ref="D116:L116" si="33">D110*0.02091</f>
        <v>10383.320520000001</v>
      </c>
      <c r="E116" s="502">
        <f t="shared" si="33"/>
        <v>19449.2274</v>
      </c>
      <c r="F116" s="502">
        <f t="shared" si="33"/>
        <v>27595.407930000001</v>
      </c>
      <c r="G116" s="502">
        <f t="shared" si="33"/>
        <v>31638.523710000001</v>
      </c>
      <c r="H116" s="502">
        <f t="shared" si="33"/>
        <v>24778.705470000001</v>
      </c>
      <c r="I116" s="502">
        <f t="shared" si="33"/>
        <v>24049.469220000003</v>
      </c>
      <c r="J116" s="502">
        <f t="shared" si="33"/>
        <v>7035.8595300000006</v>
      </c>
      <c r="K116" s="502">
        <f t="shared" si="33"/>
        <v>7718.5919400000002</v>
      </c>
      <c r="L116" s="502">
        <f t="shared" si="33"/>
        <v>18134.302050000002</v>
      </c>
      <c r="M116" s="502">
        <f>M110*0.02091</f>
        <v>32185.529310000002</v>
      </c>
      <c r="N116" s="502">
        <f>N110*0.02091</f>
        <v>4700.5052700000006</v>
      </c>
      <c r="O116" s="501">
        <f>SUM(C116:N116)</f>
        <v>210086.45016000001</v>
      </c>
      <c r="P116" s="447"/>
      <c r="Q116" s="447"/>
      <c r="R116" s="447"/>
      <c r="S116" s="447"/>
      <c r="T116" s="447"/>
      <c r="U116" s="447"/>
      <c r="V116" s="447"/>
      <c r="W116" s="447"/>
      <c r="X116" s="447"/>
      <c r="Y116" s="447"/>
      <c r="Z116" s="447"/>
      <c r="AA116" s="447"/>
      <c r="AB116" s="447"/>
      <c r="AC116" s="447"/>
    </row>
    <row r="117" spans="2:29">
      <c r="C117" s="447"/>
      <c r="D117" s="447"/>
      <c r="E117" s="447"/>
      <c r="F117" s="447"/>
      <c r="G117" s="447"/>
      <c r="H117" s="447"/>
      <c r="I117" s="447"/>
      <c r="J117" s="447"/>
      <c r="K117" s="447"/>
      <c r="L117" s="447"/>
      <c r="M117" s="447"/>
      <c r="N117" s="447"/>
      <c r="O117" s="447"/>
      <c r="P117" s="447"/>
      <c r="Q117" s="447"/>
      <c r="R117" s="447"/>
      <c r="S117" s="447"/>
      <c r="T117" s="447"/>
      <c r="U117" s="447"/>
      <c r="V117" s="447"/>
      <c r="W117" s="447"/>
      <c r="X117" s="447"/>
      <c r="Y117" s="447"/>
      <c r="Z117" s="447"/>
      <c r="AA117" s="447"/>
      <c r="AB117" s="447"/>
      <c r="AC117" s="447"/>
    </row>
    <row r="118" spans="2:29">
      <c r="C118" s="447"/>
      <c r="D118" s="447"/>
      <c r="E118" s="447"/>
      <c r="F118" s="447"/>
      <c r="G118" s="447"/>
      <c r="H118" s="447"/>
      <c r="I118" s="447"/>
      <c r="J118" s="447"/>
      <c r="K118" s="447"/>
      <c r="L118" s="447"/>
      <c r="M118" s="447"/>
      <c r="N118" s="447"/>
      <c r="O118" s="447"/>
      <c r="P118" s="447"/>
      <c r="Q118" s="464"/>
      <c r="R118" s="465"/>
      <c r="S118" s="465"/>
      <c r="T118" s="465"/>
      <c r="U118" s="465"/>
      <c r="V118" s="447"/>
      <c r="W118" s="447"/>
      <c r="X118" s="447"/>
      <c r="Y118" s="447"/>
      <c r="Z118" s="447"/>
      <c r="AA118" s="447"/>
      <c r="AB118" s="447"/>
      <c r="AC118" s="447"/>
    </row>
  </sheetData>
  <phoneticPr fontId="17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R216"/>
  <sheetViews>
    <sheetView topLeftCell="A142" zoomScale="89" workbookViewId="0">
      <selection activeCell="M29" sqref="M29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49" t="s">
        <v>521</v>
      </c>
    </row>
    <row r="5" spans="1:18">
      <c r="A5" t="s">
        <v>324</v>
      </c>
    </row>
    <row r="7" spans="1:18">
      <c r="C7" s="273" t="s">
        <v>94</v>
      </c>
    </row>
    <row r="8" spans="1:18">
      <c r="A8" s="273"/>
      <c r="B8" s="273" t="s">
        <v>325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326</v>
      </c>
      <c r="P8" s="273" t="s">
        <v>328</v>
      </c>
    </row>
    <row r="9" spans="1:18">
      <c r="A9" s="273" t="s">
        <v>268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18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18">
        <f t="shared" ref="P11:P22" si="1">SUM(C11:N11)</f>
        <v>6478</v>
      </c>
      <c r="R11" s="312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18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18">
        <f t="shared" si="1"/>
        <v>23</v>
      </c>
      <c r="R13" s="312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18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18">
        <f>SUM(C15:N15)</f>
        <v>39</v>
      </c>
      <c r="R15" s="312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18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18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18">
        <f t="shared" si="1"/>
        <v>60</v>
      </c>
      <c r="R18" s="312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18">
        <f t="shared" si="1"/>
        <v>0</v>
      </c>
    </row>
    <row r="20" spans="1:18">
      <c r="A20" s="416" t="s">
        <v>373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18">
        <f t="shared" si="1"/>
        <v>0</v>
      </c>
    </row>
    <row r="21" spans="1:18">
      <c r="A21" s="416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18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18">
        <f t="shared" si="1"/>
        <v>0</v>
      </c>
    </row>
    <row r="23" spans="1:18">
      <c r="A23" t="s">
        <v>327</v>
      </c>
      <c r="C23" s="315">
        <f t="shared" ref="C23:N23" si="3">SUM(C10:C22)</f>
        <v>175306</v>
      </c>
      <c r="D23" s="315">
        <f t="shared" si="3"/>
        <v>176106</v>
      </c>
      <c r="E23" s="315">
        <f t="shared" si="3"/>
        <v>175927</v>
      </c>
      <c r="F23" s="315">
        <f t="shared" si="3"/>
        <v>176481</v>
      </c>
      <c r="G23" s="315">
        <f t="shared" si="3"/>
        <v>176495</v>
      </c>
      <c r="H23" s="315">
        <f t="shared" si="3"/>
        <v>176812</v>
      </c>
      <c r="I23" s="315">
        <f t="shared" si="3"/>
        <v>177278</v>
      </c>
      <c r="J23" s="315">
        <f t="shared" si="3"/>
        <v>176229</v>
      </c>
      <c r="K23" s="315">
        <f t="shared" si="3"/>
        <v>177557</v>
      </c>
      <c r="L23" s="315">
        <f t="shared" si="3"/>
        <v>177611</v>
      </c>
      <c r="M23" s="315">
        <f t="shared" si="3"/>
        <v>176710</v>
      </c>
      <c r="N23" s="315">
        <f t="shared" si="3"/>
        <v>176922</v>
      </c>
      <c r="O23" s="315"/>
      <c r="P23" s="312">
        <f>SUM(C23:N23)</f>
        <v>2119434</v>
      </c>
    </row>
    <row r="24" spans="1:18"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</row>
    <row r="25" spans="1:18"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 t="s">
        <v>58</v>
      </c>
      <c r="P25" t="s">
        <v>448</v>
      </c>
    </row>
    <row r="26" spans="1:18">
      <c r="B26" t="s">
        <v>436</v>
      </c>
      <c r="C26" s="315">
        <f t="shared" ref="C26:N26" si="4">C10+C11</f>
        <v>171944</v>
      </c>
      <c r="D26" s="315">
        <f t="shared" si="4"/>
        <v>172697</v>
      </c>
      <c r="E26" s="315">
        <f t="shared" si="4"/>
        <v>172525</v>
      </c>
      <c r="F26" s="315">
        <f t="shared" si="4"/>
        <v>173078</v>
      </c>
      <c r="G26" s="315">
        <f t="shared" si="4"/>
        <v>173064</v>
      </c>
      <c r="H26" s="315">
        <f t="shared" si="4"/>
        <v>173277</v>
      </c>
      <c r="I26" s="315">
        <f t="shared" si="4"/>
        <v>173633</v>
      </c>
      <c r="J26" s="315">
        <f t="shared" si="4"/>
        <v>172712</v>
      </c>
      <c r="K26" s="315">
        <f t="shared" si="4"/>
        <v>173942</v>
      </c>
      <c r="L26" s="315">
        <f t="shared" si="4"/>
        <v>173889</v>
      </c>
      <c r="M26" s="315">
        <f t="shared" si="4"/>
        <v>173225</v>
      </c>
      <c r="N26" s="315">
        <f t="shared" si="4"/>
        <v>173320</v>
      </c>
      <c r="O26" s="315">
        <f>SUM(C26:N26)</f>
        <v>2077306</v>
      </c>
      <c r="P26" s="312">
        <f>AVERAGE(C26:N26)</f>
        <v>173108.83333333334</v>
      </c>
    </row>
    <row r="27" spans="1:18">
      <c r="B27" t="s">
        <v>299</v>
      </c>
      <c r="C27" s="315">
        <f>C12+C13</f>
        <v>3314</v>
      </c>
      <c r="D27" s="315">
        <f>D12+D13</f>
        <v>3361</v>
      </c>
      <c r="E27" s="315">
        <f>E12+E13</f>
        <v>3354</v>
      </c>
      <c r="F27" s="315">
        <f>F12+F13</f>
        <v>3356</v>
      </c>
      <c r="G27" s="315">
        <f t="shared" ref="G27:N27" si="5">G12+G13</f>
        <v>3385</v>
      </c>
      <c r="H27" s="315">
        <f t="shared" si="5"/>
        <v>3490</v>
      </c>
      <c r="I27" s="315">
        <f t="shared" si="5"/>
        <v>3597</v>
      </c>
      <c r="J27" s="315">
        <f t="shared" si="5"/>
        <v>3472</v>
      </c>
      <c r="K27" s="315">
        <f t="shared" si="5"/>
        <v>3567</v>
      </c>
      <c r="L27" s="315">
        <f t="shared" si="5"/>
        <v>3675</v>
      </c>
      <c r="M27" s="315">
        <f t="shared" si="5"/>
        <v>3438</v>
      </c>
      <c r="N27" s="315">
        <f t="shared" si="5"/>
        <v>3554</v>
      </c>
      <c r="O27" s="315">
        <f t="shared" ref="O27:O32" si="6">SUM(C27:N27)</f>
        <v>41563</v>
      </c>
      <c r="P27" s="312">
        <f t="shared" ref="P27:P32" si="7">AVERAGE(C27:N27)</f>
        <v>3463.5833333333335</v>
      </c>
    </row>
    <row r="28" spans="1:18">
      <c r="B28">
        <v>116</v>
      </c>
      <c r="C28" s="315">
        <f t="shared" ref="C28:N28" si="8">C14</f>
        <v>0</v>
      </c>
      <c r="D28" s="315">
        <f t="shared" si="8"/>
        <v>0</v>
      </c>
      <c r="E28" s="315">
        <f t="shared" si="8"/>
        <v>0</v>
      </c>
      <c r="F28" s="315">
        <f t="shared" si="8"/>
        <v>0</v>
      </c>
      <c r="G28" s="315">
        <f t="shared" si="8"/>
        <v>0</v>
      </c>
      <c r="H28" s="315">
        <f t="shared" si="8"/>
        <v>0</v>
      </c>
      <c r="I28" s="315">
        <f t="shared" si="8"/>
        <v>0</v>
      </c>
      <c r="J28" s="315">
        <f t="shared" si="8"/>
        <v>0</v>
      </c>
      <c r="K28" s="315">
        <f t="shared" si="8"/>
        <v>0</v>
      </c>
      <c r="L28" s="315">
        <f t="shared" si="8"/>
        <v>0</v>
      </c>
      <c r="M28" s="315">
        <f t="shared" si="8"/>
        <v>0</v>
      </c>
      <c r="N28" s="315">
        <f t="shared" si="8"/>
        <v>0</v>
      </c>
      <c r="O28" s="315">
        <f t="shared" si="6"/>
        <v>0</v>
      </c>
      <c r="P28" s="312">
        <f t="shared" si="7"/>
        <v>0</v>
      </c>
    </row>
    <row r="29" spans="1:18">
      <c r="B29">
        <v>132</v>
      </c>
      <c r="C29" s="315">
        <f t="shared" ref="C29:N29" si="9">C15</f>
        <v>2</v>
      </c>
      <c r="D29" s="315">
        <f t="shared" si="9"/>
        <v>2</v>
      </c>
      <c r="E29" s="315">
        <f t="shared" si="9"/>
        <v>2</v>
      </c>
      <c r="F29" s="315">
        <f t="shared" si="9"/>
        <v>2</v>
      </c>
      <c r="G29" s="315">
        <f t="shared" si="9"/>
        <v>3</v>
      </c>
      <c r="H29" s="315">
        <f t="shared" si="9"/>
        <v>3</v>
      </c>
      <c r="I29" s="315">
        <f t="shared" si="9"/>
        <v>5</v>
      </c>
      <c r="J29" s="315">
        <f t="shared" si="9"/>
        <v>3</v>
      </c>
      <c r="K29" s="315">
        <f t="shared" si="9"/>
        <v>5</v>
      </c>
      <c r="L29" s="315">
        <f t="shared" si="9"/>
        <v>4</v>
      </c>
      <c r="M29" s="315">
        <f t="shared" si="9"/>
        <v>4</v>
      </c>
      <c r="N29" s="315">
        <f t="shared" si="9"/>
        <v>4</v>
      </c>
      <c r="O29" s="315">
        <f t="shared" si="6"/>
        <v>39</v>
      </c>
      <c r="P29" s="312">
        <f>AVERAGE(C29:N29)</f>
        <v>3.25</v>
      </c>
    </row>
    <row r="30" spans="1:18">
      <c r="B30">
        <v>146</v>
      </c>
      <c r="C30" s="315">
        <f t="shared" ref="C30:N30" si="10">C16</f>
        <v>38</v>
      </c>
      <c r="D30" s="315">
        <f t="shared" si="10"/>
        <v>38</v>
      </c>
      <c r="E30" s="315">
        <f t="shared" si="10"/>
        <v>38</v>
      </c>
      <c r="F30" s="315">
        <f t="shared" si="10"/>
        <v>37</v>
      </c>
      <c r="G30" s="315">
        <f t="shared" si="10"/>
        <v>35</v>
      </c>
      <c r="H30" s="315">
        <f t="shared" si="10"/>
        <v>34</v>
      </c>
      <c r="I30" s="315">
        <f t="shared" si="10"/>
        <v>35</v>
      </c>
      <c r="J30" s="315">
        <f t="shared" si="10"/>
        <v>35</v>
      </c>
      <c r="K30" s="315">
        <f t="shared" si="10"/>
        <v>35</v>
      </c>
      <c r="L30" s="315">
        <f t="shared" si="10"/>
        <v>35</v>
      </c>
      <c r="M30" s="315">
        <f t="shared" si="10"/>
        <v>35</v>
      </c>
      <c r="N30" s="315">
        <f t="shared" si="10"/>
        <v>36</v>
      </c>
      <c r="O30" s="315">
        <f>SUM(C30:N30)</f>
        <v>431</v>
      </c>
      <c r="P30" s="312">
        <f t="shared" si="7"/>
        <v>35.916666666666664</v>
      </c>
    </row>
    <row r="31" spans="1:18">
      <c r="B31">
        <v>147</v>
      </c>
      <c r="C31" s="315">
        <f t="shared" ref="C31:N31" si="11">C17</f>
        <v>3</v>
      </c>
      <c r="D31" s="315">
        <f t="shared" si="11"/>
        <v>3</v>
      </c>
      <c r="E31" s="315">
        <f t="shared" si="11"/>
        <v>3</v>
      </c>
      <c r="F31" s="315">
        <f t="shared" si="11"/>
        <v>3</v>
      </c>
      <c r="G31" s="315">
        <f t="shared" si="11"/>
        <v>3</v>
      </c>
      <c r="H31" s="315">
        <f t="shared" si="11"/>
        <v>3</v>
      </c>
      <c r="I31" s="315">
        <f t="shared" si="11"/>
        <v>3</v>
      </c>
      <c r="J31" s="315">
        <f t="shared" si="11"/>
        <v>2</v>
      </c>
      <c r="K31" s="315">
        <f t="shared" si="11"/>
        <v>3</v>
      </c>
      <c r="L31" s="315">
        <f t="shared" si="11"/>
        <v>3</v>
      </c>
      <c r="M31" s="315">
        <f t="shared" si="11"/>
        <v>3</v>
      </c>
      <c r="N31" s="315">
        <f t="shared" si="11"/>
        <v>3</v>
      </c>
      <c r="O31" s="279">
        <f>SUM(C31:N31)</f>
        <v>35</v>
      </c>
      <c r="P31" s="312">
        <f t="shared" si="7"/>
        <v>2.9166666666666665</v>
      </c>
    </row>
    <row r="32" spans="1:18">
      <c r="B32">
        <v>148</v>
      </c>
      <c r="C32" s="315">
        <f t="shared" ref="C32:N32" si="12">C18</f>
        <v>5</v>
      </c>
      <c r="D32" s="315">
        <f t="shared" si="12"/>
        <v>5</v>
      </c>
      <c r="E32" s="315">
        <f t="shared" si="12"/>
        <v>5</v>
      </c>
      <c r="F32" s="315">
        <f t="shared" si="12"/>
        <v>5</v>
      </c>
      <c r="G32" s="315">
        <f t="shared" si="12"/>
        <v>5</v>
      </c>
      <c r="H32" s="315">
        <f t="shared" si="12"/>
        <v>5</v>
      </c>
      <c r="I32" s="315">
        <f t="shared" si="12"/>
        <v>5</v>
      </c>
      <c r="J32" s="315">
        <f t="shared" si="12"/>
        <v>5</v>
      </c>
      <c r="K32" s="315">
        <f t="shared" si="12"/>
        <v>5</v>
      </c>
      <c r="L32" s="315">
        <f t="shared" si="12"/>
        <v>5</v>
      </c>
      <c r="M32" s="315">
        <f t="shared" si="12"/>
        <v>5</v>
      </c>
      <c r="N32" s="315">
        <f t="shared" si="12"/>
        <v>5</v>
      </c>
      <c r="O32" s="315">
        <f t="shared" si="6"/>
        <v>60</v>
      </c>
      <c r="P32" s="312">
        <f t="shared" si="7"/>
        <v>5</v>
      </c>
    </row>
    <row r="33" spans="1:16">
      <c r="B33" t="s">
        <v>58</v>
      </c>
      <c r="C33" s="315">
        <f>SUM(C26:C32)</f>
        <v>175306</v>
      </c>
      <c r="D33" s="315">
        <f t="shared" ref="D33:O33" si="13">SUM(D26:D32)</f>
        <v>176106</v>
      </c>
      <c r="E33" s="315">
        <f t="shared" si="13"/>
        <v>175927</v>
      </c>
      <c r="F33" s="315">
        <f t="shared" si="13"/>
        <v>176481</v>
      </c>
      <c r="G33" s="315">
        <f t="shared" si="13"/>
        <v>176495</v>
      </c>
      <c r="H33" s="315">
        <f t="shared" si="13"/>
        <v>176812</v>
      </c>
      <c r="I33" s="315">
        <f t="shared" si="13"/>
        <v>177278</v>
      </c>
      <c r="J33" s="315">
        <f t="shared" si="13"/>
        <v>176229</v>
      </c>
      <c r="K33" s="315">
        <f t="shared" si="13"/>
        <v>177557</v>
      </c>
      <c r="L33" s="315">
        <f t="shared" si="13"/>
        <v>177611</v>
      </c>
      <c r="M33" s="315">
        <f t="shared" si="13"/>
        <v>176710</v>
      </c>
      <c r="N33" s="315">
        <f t="shared" si="13"/>
        <v>176922</v>
      </c>
      <c r="O33" s="315">
        <f t="shared" si="13"/>
        <v>2119434</v>
      </c>
    </row>
    <row r="34" spans="1:16"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</row>
    <row r="35" spans="1:16">
      <c r="C35" s="315">
        <f>C23-C33</f>
        <v>0</v>
      </c>
      <c r="D35" s="315">
        <f t="shared" ref="D35:N35" si="14">D23-D33</f>
        <v>0</v>
      </c>
      <c r="E35" s="315">
        <f t="shared" si="14"/>
        <v>0</v>
      </c>
      <c r="F35" s="315">
        <f t="shared" si="14"/>
        <v>0</v>
      </c>
      <c r="G35" s="315">
        <f t="shared" si="14"/>
        <v>0</v>
      </c>
      <c r="H35" s="315">
        <f t="shared" si="14"/>
        <v>0</v>
      </c>
      <c r="I35" s="315">
        <f t="shared" si="14"/>
        <v>0</v>
      </c>
      <c r="J35" s="315">
        <f t="shared" si="14"/>
        <v>0</v>
      </c>
      <c r="K35" s="315">
        <f t="shared" si="14"/>
        <v>0</v>
      </c>
      <c r="L35" s="315">
        <f t="shared" si="14"/>
        <v>0</v>
      </c>
      <c r="M35" s="315">
        <f t="shared" si="14"/>
        <v>0</v>
      </c>
      <c r="N35" s="315">
        <f t="shared" si="14"/>
        <v>0</v>
      </c>
      <c r="O35" s="315"/>
    </row>
    <row r="36" spans="1:16"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</row>
    <row r="37" spans="1:16">
      <c r="A37" s="349" t="s">
        <v>521</v>
      </c>
    </row>
    <row r="42" spans="1:16">
      <c r="A42" s="273"/>
      <c r="B42" s="273"/>
      <c r="C42" s="273" t="s">
        <v>325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328</v>
      </c>
    </row>
    <row r="43" spans="1:16">
      <c r="A43" s="273" t="s">
        <v>268</v>
      </c>
      <c r="B43" s="273" t="s">
        <v>404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366</v>
      </c>
      <c r="B44" s="273" t="s">
        <v>406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405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407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408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409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410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434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411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412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435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413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414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415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416</v>
      </c>
      <c r="B57" s="273" t="s">
        <v>406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405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407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408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409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410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434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417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411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412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413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414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418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367</v>
      </c>
      <c r="B70" s="273" t="s">
        <v>406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405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407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408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409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434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411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412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413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414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419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421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422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420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415" t="s">
        <v>450</v>
      </c>
      <c r="B84" s="273" t="s">
        <v>406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405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407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408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409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434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411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412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413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414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419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421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422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451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406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312"/>
    </row>
    <row r="99" spans="1:17">
      <c r="A99" s="273"/>
      <c r="B99" s="273" t="s">
        <v>405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407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408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409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434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411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412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413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414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419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421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422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423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518</v>
      </c>
      <c r="B112" s="273" t="s">
        <v>406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405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407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408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409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434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411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412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413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414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419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421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422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424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368</v>
      </c>
      <c r="B126" s="273" t="s">
        <v>405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407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408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409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434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411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412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413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414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419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421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425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369</v>
      </c>
      <c r="B138" s="273" t="s">
        <v>406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405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407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408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412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413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414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419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421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422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426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370</v>
      </c>
      <c r="B149" s="273" t="s">
        <v>405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413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427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15"/>
    </row>
    <row r="152" spans="1:17">
      <c r="A152" s="273" t="s">
        <v>371</v>
      </c>
      <c r="B152" s="273" t="s">
        <v>406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405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413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428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372</v>
      </c>
      <c r="B156" s="273" t="s">
        <v>405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429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430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373</v>
      </c>
      <c r="B159" s="273" t="s">
        <v>429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431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374</v>
      </c>
      <c r="B161" s="273" t="s">
        <v>405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432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327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476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328</v>
      </c>
    </row>
    <row r="166" spans="1:16">
      <c r="A166" s="273"/>
      <c r="B166" s="273"/>
      <c r="C166" s="273" t="s">
        <v>436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299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58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325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328</v>
      </c>
    </row>
    <row r="185" spans="1:17">
      <c r="A185" s="273" t="s">
        <v>384</v>
      </c>
      <c r="B185" s="273" t="s">
        <v>268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385</v>
      </c>
      <c r="B186" s="273" t="s">
        <v>226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227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420">
        <v>705248</v>
      </c>
      <c r="P187" s="279">
        <f t="shared" ref="P187:P202" si="49">SUM(D187:O187)</f>
        <v>31018532</v>
      </c>
    </row>
    <row r="188" spans="1:17">
      <c r="A188" s="273"/>
      <c r="B188" s="273" t="s">
        <v>452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414"/>
    </row>
    <row r="190" spans="1:17">
      <c r="A190" s="273"/>
      <c r="B190" s="196" t="s">
        <v>518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414"/>
    </row>
    <row r="191" spans="1:17">
      <c r="A191" s="273"/>
      <c r="B191" s="273" t="s">
        <v>228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453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414"/>
    </row>
    <row r="193" spans="1:17">
      <c r="A193" s="273"/>
      <c r="B193" s="273" t="s">
        <v>238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386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387</v>
      </c>
      <c r="B195" s="273" t="s">
        <v>226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227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452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414"/>
    </row>
    <row r="199" spans="1:17">
      <c r="A199" s="273"/>
      <c r="B199" s="196" t="s">
        <v>518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414"/>
    </row>
    <row r="200" spans="1:17">
      <c r="A200" s="273"/>
      <c r="B200" s="273" t="s">
        <v>228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453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414"/>
    </row>
    <row r="202" spans="1:17">
      <c r="A202" s="273"/>
      <c r="B202" s="273" t="s">
        <v>238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388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327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414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414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58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5"/>
      <c r="P215" s="315"/>
    </row>
    <row r="216" spans="1:17">
      <c r="D216" s="315">
        <f>D204-D214</f>
        <v>0</v>
      </c>
      <c r="E216" s="315">
        <f t="shared" ref="E216:P216" si="61">E204-E214</f>
        <v>0</v>
      </c>
      <c r="F216" s="315">
        <f t="shared" si="61"/>
        <v>0</v>
      </c>
      <c r="G216" s="315">
        <f t="shared" si="61"/>
        <v>0</v>
      </c>
      <c r="H216" s="315">
        <f t="shared" si="61"/>
        <v>0</v>
      </c>
      <c r="I216" s="315">
        <f t="shared" si="61"/>
        <v>0</v>
      </c>
      <c r="J216" s="315">
        <f t="shared" si="61"/>
        <v>0</v>
      </c>
      <c r="K216" s="315">
        <f t="shared" si="61"/>
        <v>0</v>
      </c>
      <c r="L216" s="315">
        <f t="shared" si="61"/>
        <v>0</v>
      </c>
      <c r="M216" s="315">
        <f t="shared" si="61"/>
        <v>0</v>
      </c>
      <c r="N216" s="315">
        <f t="shared" si="61"/>
        <v>0</v>
      </c>
      <c r="O216" s="315">
        <f t="shared" si="61"/>
        <v>0</v>
      </c>
      <c r="P216" s="315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Final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2024-05-13T07:00:00+00:00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3BBAFF-DEA5-46A0-BC3E-BB1A48790E61}"/>
</file>

<file path=customXml/itemProps2.xml><?xml version="1.0" encoding="utf-8"?>
<ds:datastoreItem xmlns:ds="http://schemas.openxmlformats.org/officeDocument/2006/customXml" ds:itemID="{578BB64C-9C3D-4890-92B5-4AD2A004BA42}"/>
</file>

<file path=customXml/itemProps3.xml><?xml version="1.0" encoding="utf-8"?>
<ds:datastoreItem xmlns:ds="http://schemas.openxmlformats.org/officeDocument/2006/customXml" ds:itemID="{9F41EAA4-04D3-49B3-A887-EDA51555A3A9}"/>
</file>

<file path=customXml/itemProps4.xml><?xml version="1.0" encoding="utf-8"?>
<ds:datastoreItem xmlns:ds="http://schemas.openxmlformats.org/officeDocument/2006/customXml" ds:itemID="{EDD295CB-67F6-46C7-950D-170662DC5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Pres &amp; Prop Rev</vt:lpstr>
      <vt:lpstr>Rate Design</vt:lpstr>
      <vt:lpstr>RS</vt:lpstr>
      <vt:lpstr>JDM-7 pg 3</vt:lpstr>
      <vt:lpstr>BFG</vt:lpstr>
      <vt:lpstr>JDM-7 pg 2</vt:lpstr>
      <vt:lpstr>ROR</vt:lpstr>
      <vt:lpstr>Rate Spread</vt:lpstr>
      <vt:lpstr>Bill Impact</vt:lpstr>
      <vt:lpstr>Open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'Bill Impact'!Print_Area</vt:lpstr>
      <vt:lpstr>'Block Usage'!Print_Area</vt:lpstr>
      <vt:lpstr>'JDM-7 pg 2'!Print_Area</vt:lpstr>
      <vt:lpstr>'JDM-7 pg 3'!Print_Area</vt:lpstr>
      <vt:lpstr>'Pres &amp; Prop Rev'!Print_Area</vt:lpstr>
      <vt:lpstr>'Rate Design'!Print_Area</vt:lpstr>
      <vt:lpstr>'Rate Spread'!Print_Area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Kimball, Paul</cp:lastModifiedBy>
  <cp:lastPrinted>2024-01-11T18:40:05Z</cp:lastPrinted>
  <dcterms:created xsi:type="dcterms:W3CDTF">2004-04-05T21:48:48Z</dcterms:created>
  <dcterms:modified xsi:type="dcterms:W3CDTF">2024-05-06T16:21:59Z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