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2" yWindow="2832" windowWidth="16332" windowHeight="4476" tabRatio="883" activeTab="0"/>
  </bookViews>
  <sheets>
    <sheet name="Pg 1 CofCap" sheetId="1" r:id="rId1"/>
    <sheet name="Pg 2 Cost of Total Debt" sheetId="2" r:id="rId2"/>
    <sheet name="Pg 3 STD Int &amp; Fees-Details" sheetId="3" r:id="rId3"/>
    <sheet name="Pg 4 $250M Jr Sub Int Exp" sheetId="4" r:id="rId4"/>
    <sheet name="Pg 5 Reacquired Debt" sheetId="5" r:id="rId5"/>
  </sheets>
  <externalReferences>
    <externalReference r:id="rId8"/>
    <externalReference r:id="rId9"/>
    <externalReference r:id="rId10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P">#REF!</definedName>
    <definedName name="pagea">#REF!</definedName>
    <definedName name="pageb">#REF!</definedName>
    <definedName name="_xlnm.Print_Area" localSheetId="0">'Pg 1 CofCap'!$A$1:$F$42</definedName>
    <definedName name="_xlnm.Print_Area" localSheetId="1">'Pg 2 Cost of Total Debt'!$A$1:$J$45</definedName>
    <definedName name="_xlnm.Print_Area" localSheetId="2">'Pg 3 STD Int &amp; Fees-Details'!$A$1:$P$61</definedName>
    <definedName name="_xlnm.Print_Area" localSheetId="3">'Pg 4 $250M Jr Sub Int Exp'!$A$1:$O$20</definedName>
    <definedName name="_xlnm.Print_Area" localSheetId="4">'Pg 5 Reacquired Debt'!$A$1:$K$36</definedName>
    <definedName name="_xlnm.Print_Titles" localSheetId="4">'Pg 5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comments3.xml><?xml version="1.0" encoding="utf-8"?>
<comments xmlns="http://schemas.openxmlformats.org/spreadsheetml/2006/main">
  <authors>
    <author>Jim Sant</author>
    <author>Cindy Song</author>
    <author>jsant</author>
  </authors>
  <commentList>
    <comment ref="B10" authorId="0">
      <text>
        <r>
          <rPr>
            <sz val="8"/>
            <rFont val="Tahoma"/>
            <family val="2"/>
          </rPr>
          <t>Assumes half of borrowings are under CP, up to a max of $125 million outstanding to allow for managing maturities within the $75 million swingline, etc.</t>
        </r>
        <r>
          <rPr>
            <sz val="8"/>
            <rFont val="Tahoma"/>
            <family val="2"/>
          </rPr>
          <t xml:space="preserve">
</t>
        </r>
      </text>
    </comment>
    <comment ref="B15" authorId="1">
      <text>
        <r>
          <rPr>
            <sz val="9"/>
            <rFont val="Tahoma"/>
            <family val="2"/>
          </rPr>
          <t>Moody's forecast as of Oct 11, 2016.</t>
        </r>
      </text>
    </comment>
    <comment ref="B16" authorId="1">
      <text>
        <r>
          <rPr>
            <sz val="9"/>
            <rFont val="Tahoma"/>
            <family val="2"/>
          </rPr>
          <t>Backed out from 1-month indicative CP quote received from Wells Fargo on Oct 19, 2016.</t>
        </r>
      </text>
    </comment>
    <comment ref="C41" authorId="2">
      <text>
        <r>
          <rPr>
            <sz val="8"/>
            <rFont val="Tahoma"/>
            <family val="2"/>
          </rPr>
          <t xml:space="preserve">Represents LC Fees under credit agreements.  </t>
        </r>
      </text>
    </comment>
    <comment ref="C44" authorId="2">
      <text>
        <r>
          <rPr>
            <sz val="8"/>
            <rFont val="Tahoma"/>
            <family val="2"/>
          </rPr>
          <t>LC fee with Wells Fargo outside of credit agrmt commitments.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<sst xmlns="http://schemas.openxmlformats.org/spreadsheetml/2006/main" count="259" uniqueCount="165">
  <si>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</si>
  <si>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</si>
  <si>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</si>
  <si>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</si>
  <si>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</si>
  <si>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</si>
  <si>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</si>
  <si>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</si>
  <si>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</si>
  <si>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Total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</si>
  <si>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</si>
  <si>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</si>
  <si>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</si>
  <si>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</si>
  <si>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</si>
  <si>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</si>
  <si>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</si>
  <si>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</si>
  <si>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</si>
  <si>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 xml:space="preserve">Total Amortization on Reacquired Debt 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</si>
  <si>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</si>
  <si>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</si>
  <si>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</si>
  <si>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</si>
  <si>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</si>
  <si>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</si>
  <si>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WNG 8.4%</t>
  </si>
  <si>
    <t>WNG 8.39%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</si>
  <si>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</si>
  <si>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</si>
  <si>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</si>
  <si>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</si>
  <si>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</si>
  <si>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</si>
  <si>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</si>
  <si>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</si>
  <si>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</si>
  <si>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</si>
  <si>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</si>
  <si>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</si>
  <si>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</si>
  <si>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</si>
  <si>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</si>
  <si>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</si>
  <si>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</si>
  <si>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</si>
  <si>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</si>
  <si>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</si>
  <si>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</si>
  <si>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</si>
  <si>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</si>
  <si>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WNG 8.25%</t>
  </si>
  <si>
    <t>20 Yr 6.740%</t>
  </si>
  <si>
    <t>30 Yr 7.350%</t>
  </si>
  <si>
    <t>2003 PCB's</t>
  </si>
  <si>
    <t>30 Yr 6.724%</t>
  </si>
  <si>
    <t>9.14% PP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</si>
  <si>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</si>
  <si>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</si>
  <si>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</si>
  <si>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</si>
  <si>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</si>
  <si>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</si>
  <si>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</si>
  <si>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</si>
  <si>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</si>
  <si>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</si>
  <si>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</si>
  <si>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</si>
  <si>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</si>
  <si>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</si>
  <si>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 xml:space="preserve">Interest Calculation on $250M Jr. Subordinated Security </t>
  </si>
  <si>
    <t>For The 12 Months Ended December 31, 2018</t>
  </si>
  <si>
    <t xml:space="preserve">JrSubN Principle </t>
  </si>
  <si>
    <t>Interest Rate Components:</t>
  </si>
  <si>
    <t>Floating Rate after Dec 1 2017</t>
  </si>
  <si>
    <t>LIBOR Spread</t>
  </si>
  <si>
    <t>Monthly Interest Expense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</si>
  <si>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</si>
  <si>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</si>
  <si>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</si>
  <si>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</si>
  <si>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</si>
  <si>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</si>
  <si>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</si>
  <si>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Avg of Mo Avg</t>
  </si>
  <si>
    <t>STD Average Balance (in 000's)</t>
  </si>
  <si>
    <t>Borrowings (000's):</t>
  </si>
  <si>
    <t>Commercial Paper (CP)</t>
  </si>
  <si>
    <t>Credit Facilities</t>
  </si>
  <si>
    <t>Total Short-term Debt</t>
  </si>
  <si>
    <t>Projected LIBO Rates (1 mo)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</si>
  <si>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</si>
  <si>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</si>
  <si>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</si>
  <si>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</si>
  <si>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</si>
  <si>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</si>
  <si>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</si>
  <si>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</si>
  <si>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</si>
  <si>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</si>
  <si>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</si>
  <si>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</si>
  <si>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</si>
  <si>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</si>
  <si>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</si>
  <si>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</si>
  <si>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</si>
  <si>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</si>
  <si>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</si>
  <si>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</si>
  <si>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</si>
  <si>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</si>
  <si>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$400mm Operating Capital Facility</t>
  </si>
  <si>
    <t>$400mm Capital Expenditure Facility</t>
  </si>
  <si>
    <t>$650mm Liquidity Refinance</t>
  </si>
  <si>
    <t>$350mmHedging Refinance</t>
  </si>
  <si>
    <t>$650mm Liquidity Amend &amp; Extend</t>
  </si>
  <si>
    <t>$350mmHedging Amend &amp; Extend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</si>
  <si>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</si>
  <si>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</si>
  <si>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</si>
  <si>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</si>
  <si>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</si>
  <si>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</si>
  <si>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</si>
  <si>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</si>
  <si>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</si>
  <si>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</si>
  <si>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</si>
  <si>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</si>
  <si>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</si>
  <si>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(iv)</t>
  </si>
  <si>
    <t>Proposed Cost of Capital and Rate of Return</t>
  </si>
  <si>
    <t>Requested For Rate Year January 2018 through December 2018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</si>
  <si>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</si>
  <si>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</si>
  <si>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</si>
  <si>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</si>
  <si>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</si>
  <si>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</si>
  <si>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</si>
  <si>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</si>
  <si>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</si>
  <si>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Total First Mortgage Bonds and Senior Notes</t>
  </si>
  <si>
    <t>Total Junior Subordinated Notes</t>
  </si>
  <si>
    <t>Total Long-term Debt Cost of Interest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</si>
  <si>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</si>
  <si>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</si>
  <si>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</si>
  <si>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</si>
  <si>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</si>
  <si>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</si>
  <si>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r>
      <rPr>
        <b/>
        <sz val="9"/>
        <rFont val="Times New Roman"/>
        <family val="1"/>
      </rPr>
      <t>(i)</t>
    </r>
    <r>
      <rPr>
        <sz val="9"/>
        <rFont val="Times New Roman"/>
        <family val="1"/>
      </rPr>
      <t xml:space="preserve"> Average of Month-End Balances.</t>
    </r>
  </si>
  <si>
    <t>PUGET SOUND ENERGY</t>
  </si>
  <si>
    <r>
      <t xml:space="preserve">JrSubN </t>
    </r>
    <r>
      <rPr>
        <b/>
        <sz val="8"/>
        <rFont val="Times New Roman"/>
        <family val="1"/>
      </rPr>
      <t>(iii)</t>
    </r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</si>
  <si>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</si>
  <si>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</si>
  <si>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>(iv)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</si>
  <si>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</si>
  <si>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</si>
  <si>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r>
      <t xml:space="preserve">3-month LIBOR Rate Forecast </t>
    </r>
    <r>
      <rPr>
        <b/>
        <sz val="8"/>
        <rFont val="Times New Roman"/>
        <family val="1"/>
      </rPr>
      <t>(i)</t>
    </r>
  </si>
  <si>
    <r>
      <rPr>
        <b/>
        <sz val="8"/>
        <rFont val="Times New Roman"/>
        <family val="1"/>
      </rPr>
      <t>(i)</t>
    </r>
    <r>
      <rPr>
        <sz val="8"/>
        <rFont val="Times New Roman"/>
        <family val="1"/>
      </rPr>
      <t xml:space="preserve"> Moody's 3-month LIBOR forecast as of October 11, 2016. LIBOR rate is reset quarterly.</t>
    </r>
  </si>
  <si>
    <r>
      <t xml:space="preserve">(iii) </t>
    </r>
    <r>
      <rPr>
        <sz val="8"/>
        <rFont val="Times New Roman"/>
        <family val="1"/>
      </rPr>
      <t>$250M Jr Subordinated security becomes callable at par on June 1 2017; interest begins to float at LIBOR + 253bps on December 1 2017; maturity date is June 1 2067. See Page 4 for interest expense calculation.</t>
    </r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</si>
</sst>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</numFmts>
  <fonts count="58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u val="single"/>
      <sz val="9"/>
      <name val="Times New Roman"/>
      <family val="1"/>
    </font>
    <font>
      <u val="single"/>
      <sz val="8"/>
      <color indexed="12"/>
      <name val="Times New Roman"/>
      <family val="1"/>
    </font>
    <font>
      <sz val="8"/>
      <color rgb="FF0000FF"/>
      <name val="Times New Roman"/>
      <family val="1"/>
    </font>
    <font>
      <u val="single"/>
      <sz val="8"/>
      <color rgb="FF0000FF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177" fontId="0" fillId="0" borderId="0">
      <alignment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10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10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10" fillId="4" borderId="7" applyNumberFormat="0" applyFont="0" applyAlignment="0" applyProtection="0"/>
    <xf numFmtId="0" fontId="10" fillId="4" borderId="7" applyNumberFormat="0" applyFont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86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8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8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2" fillId="0" borderId="0" xfId="111" applyNumberFormat="1" applyFont="1" applyBorder="1" applyAlignment="1">
      <alignment horizontal="left"/>
      <protection/>
    </xf>
    <xf numFmtId="37" fontId="11" fillId="0" borderId="0" xfId="0" applyFont="1" applyBorder="1" applyAlignment="1">
      <alignment/>
    </xf>
    <xf numFmtId="37" fontId="13" fillId="0" borderId="0" xfId="108" applyFont="1">
      <alignment/>
      <protection/>
    </xf>
    <xf numFmtId="0" fontId="16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167" fontId="3" fillId="0" borderId="0" xfId="110" applyNumberFormat="1" applyFont="1">
      <alignment/>
      <protection/>
    </xf>
    <xf numFmtId="5" fontId="13" fillId="0" borderId="0" xfId="108" applyNumberFormat="1" applyFont="1" applyFill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4" fillId="0" borderId="0" xfId="111" applyNumberFormat="1" applyFont="1">
      <alignment/>
      <protection/>
    </xf>
    <xf numFmtId="5" fontId="34" fillId="0" borderId="0" xfId="106" applyNumberFormat="1" applyFont="1" applyFill="1" applyBorder="1" applyAlignment="1" applyProtection="1">
      <alignment horizontal="left"/>
      <protection/>
    </xf>
    <xf numFmtId="10" fontId="3" fillId="0" borderId="0" xfId="110" applyFont="1" applyBorder="1" applyAlignment="1">
      <alignment horizontal="centerContinuous" vertical="center" wrapText="1"/>
      <protection/>
    </xf>
    <xf numFmtId="165" fontId="3" fillId="0" borderId="0" xfId="110" applyNumberFormat="1" applyFont="1">
      <alignment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5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3" fillId="0" borderId="0" xfId="110" applyNumberFormat="1" applyFont="1" applyAlignment="1" applyProtection="1">
      <alignment horizontal="center"/>
      <protection/>
    </xf>
    <xf numFmtId="37" fontId="36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7" fillId="0" borderId="0" xfId="110" applyFont="1" applyAlignment="1" applyProtection="1">
      <alignment horizontal="left"/>
      <protection/>
    </xf>
    <xf numFmtId="10" fontId="37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65" fontId="3" fillId="0" borderId="0" xfId="110" applyNumberFormat="1" applyFont="1" applyAlignment="1" applyProtection="1">
      <alignment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6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6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65" fontId="5" fillId="0" borderId="0" xfId="110" applyNumberFormat="1" applyFont="1" applyAlignment="1" applyProtection="1">
      <alignment/>
      <protection/>
    </xf>
    <xf numFmtId="165" fontId="37" fillId="0" borderId="0" xfId="110" applyNumberFormat="1" applyFont="1" applyAlignment="1" applyProtection="1">
      <alignment/>
      <protection/>
    </xf>
    <xf numFmtId="10" fontId="38" fillId="0" borderId="0" xfId="110" applyNumberFormat="1" applyFont="1" applyFill="1" applyBorder="1" applyAlignment="1" applyProtection="1">
      <alignment horizontal="right"/>
      <protection/>
    </xf>
    <xf numFmtId="10" fontId="37" fillId="0" borderId="0" xfId="110" applyNumberFormat="1" applyFont="1" applyAlignment="1" applyProtection="1">
      <alignment/>
      <protection/>
    </xf>
    <xf numFmtId="5" fontId="39" fillId="0" borderId="0" xfId="110" applyNumberFormat="1" applyFont="1" applyBorder="1" applyAlignment="1" applyProtection="1">
      <alignment/>
      <protection/>
    </xf>
    <xf numFmtId="165" fontId="39" fillId="0" borderId="0" xfId="110" applyNumberFormat="1" applyFont="1" applyBorder="1" applyAlignment="1" applyProtection="1">
      <alignment horizontal="right"/>
      <protection/>
    </xf>
    <xf numFmtId="10" fontId="39" fillId="0" borderId="0" xfId="110" applyNumberFormat="1" applyFont="1" applyBorder="1" applyAlignment="1" applyProtection="1">
      <alignment horizontal="right"/>
      <protection/>
    </xf>
    <xf numFmtId="10" fontId="3" fillId="0" borderId="0" xfId="110" applyNumberFormat="1" applyFont="1" applyBorder="1">
      <alignment/>
      <protection/>
    </xf>
    <xf numFmtId="10" fontId="40" fillId="0" borderId="0" xfId="110" applyFont="1" applyAlignment="1" applyProtection="1">
      <alignment horizontal="right"/>
      <protection/>
    </xf>
    <xf numFmtId="10" fontId="37" fillId="0" borderId="0" xfId="110" applyFont="1" applyAlignment="1" applyProtection="1">
      <alignment horizontal="right"/>
      <protection/>
    </xf>
    <xf numFmtId="10" fontId="3" fillId="0" borderId="0" xfId="110" applyNumberFormat="1" applyFont="1" applyAlignment="1" applyProtection="1">
      <alignment horizontal="left"/>
      <protection/>
    </xf>
    <xf numFmtId="10" fontId="3" fillId="0" borderId="0" xfId="110" applyNumberFormat="1" applyFont="1" applyBorder="1" applyAlignment="1" applyProtection="1">
      <alignment horizontal="left"/>
      <protection/>
    </xf>
    <xf numFmtId="5" fontId="3" fillId="0" borderId="0" xfId="71" applyNumberFormat="1" applyFont="1" applyAlignment="1" applyProtection="1">
      <alignment/>
      <protection/>
    </xf>
    <xf numFmtId="165" fontId="3" fillId="0" borderId="0" xfId="110" applyNumberFormat="1" applyFont="1" applyAlignment="1" applyProtection="1">
      <alignment horizontal="right"/>
      <protection/>
    </xf>
    <xf numFmtId="10" fontId="3" fillId="0" borderId="0" xfId="110" applyFont="1" applyAlignment="1" applyProtection="1">
      <alignment horizontal="right"/>
      <protection/>
    </xf>
    <xf numFmtId="10" fontId="3" fillId="0" borderId="0" xfId="110" applyNumberFormat="1" applyFont="1" applyBorder="1" applyAlignment="1" applyProtection="1">
      <alignment horizontal="right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65" fontId="3" fillId="0" borderId="0" xfId="110" applyNumberFormat="1" applyFont="1" applyBorder="1" applyAlignment="1">
      <alignment horizontal="right"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NumberFormat="1" applyFont="1" applyAlignment="1">
      <alignment horizontal="right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Border="1" applyAlignment="1">
      <alignment horizontal="right"/>
      <protection/>
    </xf>
    <xf numFmtId="10" fontId="3" fillId="0" borderId="10" xfId="110" applyFont="1" applyBorder="1" applyAlignment="1">
      <alignment horizontal="right"/>
      <protection/>
    </xf>
    <xf numFmtId="10" fontId="3" fillId="0" borderId="10" xfId="110" applyNumberFormat="1" applyFont="1" applyBorder="1" applyAlignment="1">
      <alignment horizontal="right"/>
      <protection/>
    </xf>
    <xf numFmtId="10" fontId="5" fillId="0" borderId="0" xfId="110" applyNumberFormat="1" applyFont="1" applyAlignment="1">
      <alignment horizontal="right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Border="1" applyAlignment="1" applyProtection="1">
      <alignment horizontal="right"/>
      <protection/>
    </xf>
    <xf numFmtId="10" fontId="3" fillId="0" borderId="11" xfId="110" applyFont="1" applyBorder="1" applyAlignment="1" applyProtection="1">
      <alignment horizontal="right"/>
      <protection/>
    </xf>
    <xf numFmtId="10" fontId="5" fillId="0" borderId="11" xfId="110" applyNumberFormat="1" applyFont="1" applyBorder="1" applyAlignment="1" applyProtection="1">
      <alignment horizontal="righ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65" fontId="5" fillId="0" borderId="0" xfId="110" applyNumberFormat="1" applyFont="1" applyAlignment="1" applyProtection="1">
      <alignment horizontal="right"/>
      <protection/>
    </xf>
    <xf numFmtId="10" fontId="3" fillId="0" borderId="0" xfId="110" applyFont="1" applyFill="1" applyAlignment="1" applyProtection="1">
      <alignment horizontal="right"/>
      <protection/>
    </xf>
    <xf numFmtId="10" fontId="5" fillId="0" borderId="0" xfId="110" applyNumberFormat="1" applyFont="1" applyBorder="1" applyAlignment="1" applyProtection="1">
      <alignment horizontal="right"/>
      <protection/>
    </xf>
    <xf numFmtId="5" fontId="37" fillId="0" borderId="0" xfId="110" applyNumberFormat="1" applyFont="1" applyFill="1" applyBorder="1" applyAlignment="1" applyProtection="1">
      <alignment horizontal="right"/>
      <protection/>
    </xf>
    <xf numFmtId="165" fontId="37" fillId="0" borderId="0" xfId="110" applyNumberFormat="1" applyFont="1" applyFill="1" applyAlignment="1" applyProtection="1">
      <alignment horizontal="right"/>
      <protection/>
    </xf>
    <xf numFmtId="10" fontId="37" fillId="0" borderId="0" xfId="110" applyNumberFormat="1" applyFont="1" applyFill="1" applyAlignment="1" applyProtection="1">
      <alignment horizontal="right"/>
      <protection/>
    </xf>
    <xf numFmtId="5" fontId="39" fillId="0" borderId="0" xfId="110" applyNumberFormat="1" applyFont="1" applyFill="1" applyBorder="1" applyAlignment="1" applyProtection="1">
      <alignment horizontal="right"/>
      <protection/>
    </xf>
    <xf numFmtId="10" fontId="41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1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2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2" fillId="0" borderId="0" xfId="111" applyFont="1" applyFill="1" applyBorder="1" applyAlignment="1" applyProtection="1" quotePrefix="1">
      <alignment horizontal="centerContinuous" vertical="center" wrapText="1"/>
      <protection/>
    </xf>
    <xf numFmtId="181" fontId="12" fillId="0" borderId="0" xfId="108" applyNumberFormat="1" applyFont="1" applyFill="1" applyAlignment="1" applyProtection="1" quotePrefix="1">
      <alignment horizontal="centerContinuous"/>
      <protection/>
    </xf>
    <xf numFmtId="181" fontId="12" fillId="0" borderId="0" xfId="108" applyNumberFormat="1" applyFont="1" applyFill="1" applyAlignment="1" applyProtection="1">
      <alignment horizontal="centerContinuous"/>
      <protection/>
    </xf>
    <xf numFmtId="3" fontId="13" fillId="0" borderId="0" xfId="109" applyFont="1" applyAlignment="1">
      <alignment horizontal="center"/>
      <protection/>
    </xf>
    <xf numFmtId="37" fontId="42" fillId="0" borderId="0" xfId="107" applyFont="1" applyAlignment="1" applyProtection="1">
      <alignment horizontal="center"/>
      <protection/>
    </xf>
    <xf numFmtId="37" fontId="36" fillId="0" borderId="0" xfId="108" applyNumberFormat="1" applyFont="1" applyBorder="1" applyAlignment="1" applyProtection="1">
      <alignment horizontal="center" wrapText="1"/>
      <protection/>
    </xf>
    <xf numFmtId="3" fontId="3" fillId="0" borderId="0" xfId="109" applyFont="1" applyAlignment="1">
      <alignment horizontal="center"/>
      <protection/>
    </xf>
    <xf numFmtId="168" fontId="36" fillId="0" borderId="0" xfId="109" applyNumberFormat="1" applyFont="1" applyAlignment="1" applyProtection="1">
      <alignment horizontal="center"/>
      <protection/>
    </xf>
    <xf numFmtId="3" fontId="36" fillId="0" borderId="0" xfId="109" applyFont="1" applyAlignment="1">
      <alignment horizontal="center"/>
      <protection/>
    </xf>
    <xf numFmtId="3" fontId="36" fillId="0" borderId="10" xfId="109" applyFont="1" applyBorder="1" applyAlignment="1" applyProtection="1">
      <alignment horizontal="center"/>
      <protection/>
    </xf>
    <xf numFmtId="3" fontId="36" fillId="0" borderId="10" xfId="109" applyFont="1" applyBorder="1" applyAlignment="1" applyProtection="1" quotePrefix="1">
      <alignment horizontal="center"/>
      <protection/>
    </xf>
    <xf numFmtId="37" fontId="13" fillId="0" borderId="0" xfId="0" applyNumberFormat="1" applyFont="1" applyAlignment="1">
      <alignment horizontal="left"/>
    </xf>
    <xf numFmtId="168" fontId="13" fillId="0" borderId="0" xfId="0" applyNumberFormat="1" applyFont="1" applyAlignment="1">
      <alignment horizontal="center"/>
    </xf>
    <xf numFmtId="17" fontId="13" fillId="0" borderId="0" xfId="0" applyNumberFormat="1" applyFont="1" applyAlignment="1">
      <alignment horizontal="center"/>
    </xf>
    <xf numFmtId="39" fontId="13" fillId="0" borderId="0" xfId="0" applyNumberFormat="1" applyFont="1" applyFill="1" applyAlignment="1">
      <alignment horizontal="center"/>
    </xf>
    <xf numFmtId="10" fontId="13" fillId="0" borderId="0" xfId="0" applyNumberFormat="1" applyFont="1" applyAlignment="1">
      <alignment horizontal="right"/>
    </xf>
    <xf numFmtId="175" fontId="13" fillId="0" borderId="0" xfId="106" applyNumberFormat="1" applyFont="1" applyFill="1" applyProtection="1">
      <alignment/>
      <protection/>
    </xf>
    <xf numFmtId="37" fontId="13" fillId="0" borderId="0" xfId="108" applyNumberFormat="1" applyFont="1" applyAlignment="1" applyProtection="1">
      <alignment horizontal="left"/>
      <protection/>
    </xf>
    <xf numFmtId="17" fontId="13" fillId="0" borderId="0" xfId="108" applyNumberFormat="1" applyFont="1" applyAlignment="1" applyProtection="1">
      <alignment horizontal="center"/>
      <protection/>
    </xf>
    <xf numFmtId="175" fontId="13" fillId="0" borderId="0" xfId="106" applyNumberFormat="1" applyFont="1" applyFill="1" applyBorder="1" applyProtection="1">
      <alignment/>
      <protection/>
    </xf>
    <xf numFmtId="175" fontId="43" fillId="0" borderId="0" xfId="106" applyNumberFormat="1" applyFont="1" applyFill="1" applyBorder="1" applyProtection="1">
      <alignment/>
      <protection/>
    </xf>
    <xf numFmtId="175" fontId="43" fillId="0" borderId="0" xfId="106" applyNumberFormat="1" applyFont="1" applyFill="1" applyProtection="1">
      <alignment/>
      <protection/>
    </xf>
    <xf numFmtId="37" fontId="36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39" fontId="13" fillId="0" borderId="0" xfId="0" applyNumberFormat="1" applyFont="1" applyFill="1" applyAlignment="1">
      <alignment horizontal="right"/>
    </xf>
    <xf numFmtId="175" fontId="36" fillId="0" borderId="0" xfId="106" applyNumberFormat="1" applyFont="1" applyFill="1" applyBorder="1" applyProtection="1">
      <alignment/>
      <protection/>
    </xf>
    <xf numFmtId="37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175" fontId="36" fillId="0" borderId="0" xfId="106" applyNumberFormat="1" applyFont="1" applyFill="1" applyProtection="1">
      <alignment/>
      <protection/>
    </xf>
    <xf numFmtId="17" fontId="13" fillId="0" borderId="0" xfId="108" applyNumberFormat="1" applyFont="1" applyAlignment="1" applyProtection="1">
      <alignment horizontal="left"/>
      <protection/>
    </xf>
    <xf numFmtId="37" fontId="36" fillId="0" borderId="0" xfId="108" applyNumberFormat="1" applyFont="1" applyAlignment="1" applyProtection="1">
      <alignment horizontal="left"/>
      <protection/>
    </xf>
    <xf numFmtId="10" fontId="36" fillId="0" borderId="0" xfId="116" applyNumberFormat="1" applyFont="1" applyFill="1" applyAlignment="1">
      <alignment/>
    </xf>
    <xf numFmtId="175" fontId="36" fillId="0" borderId="12" xfId="106" applyNumberFormat="1" applyFont="1" applyFill="1" applyBorder="1" applyProtection="1">
      <alignment/>
      <protection/>
    </xf>
    <xf numFmtId="192" fontId="44" fillId="0" borderId="12" xfId="106" applyNumberFormat="1" applyFont="1" applyBorder="1" applyProtection="1">
      <alignment/>
      <protection/>
    </xf>
    <xf numFmtId="171" fontId="13" fillId="0" borderId="0" xfId="0" applyNumberFormat="1" applyFont="1" applyFill="1" applyAlignment="1">
      <alignment/>
    </xf>
    <xf numFmtId="3" fontId="13" fillId="0" borderId="0" xfId="109" applyFont="1">
      <alignment/>
      <protection/>
    </xf>
    <xf numFmtId="10" fontId="13" fillId="0" borderId="0" xfId="116" applyNumberFormat="1" applyFont="1" applyFill="1" applyAlignment="1">
      <alignment/>
    </xf>
    <xf numFmtId="192" fontId="45" fillId="0" borderId="0" xfId="106" applyNumberFormat="1" applyFont="1" applyBorder="1" applyProtection="1">
      <alignment/>
      <protection/>
    </xf>
    <xf numFmtId="37" fontId="36" fillId="0" borderId="0" xfId="105" applyNumberFormat="1" applyFont="1" applyFill="1" applyBorder="1">
      <alignment/>
      <protection/>
    </xf>
    <xf numFmtId="10" fontId="36" fillId="0" borderId="12" xfId="0" applyNumberFormat="1" applyFont="1" applyFill="1" applyBorder="1" applyAlignment="1">
      <alignment/>
    </xf>
    <xf numFmtId="171" fontId="13" fillId="0" borderId="0" xfId="0" applyNumberFormat="1" applyFont="1" applyFill="1" applyAlignment="1">
      <alignment horizontal="center"/>
    </xf>
    <xf numFmtId="10" fontId="36" fillId="0" borderId="0" xfId="108" applyNumberFormat="1" applyFont="1" applyFill="1" applyBorder="1" applyProtection="1">
      <alignment/>
      <protection/>
    </xf>
    <xf numFmtId="187" fontId="46" fillId="0" borderId="0" xfId="106" applyNumberFormat="1" applyFont="1" applyFill="1" applyBorder="1" applyProtection="1">
      <alignment/>
      <protection/>
    </xf>
    <xf numFmtId="192" fontId="44" fillId="0" borderId="0" xfId="106" applyNumberFormat="1" applyFont="1" applyBorder="1" applyProtection="1">
      <alignment/>
      <protection/>
    </xf>
    <xf numFmtId="165" fontId="43" fillId="0" borderId="0" xfId="110" applyNumberFormat="1" applyFont="1" applyAlignment="1" applyProtection="1">
      <alignment/>
      <protection/>
    </xf>
    <xf numFmtId="3" fontId="36" fillId="0" borderId="0" xfId="109" applyFont="1" quotePrefix="1">
      <alignment/>
      <protection/>
    </xf>
    <xf numFmtId="37" fontId="36" fillId="0" borderId="0" xfId="108" applyNumberFormat="1" applyFont="1">
      <alignment/>
      <protection/>
    </xf>
    <xf numFmtId="37" fontId="13" fillId="0" borderId="0" xfId="108" applyNumberFormat="1" applyFont="1">
      <alignment/>
      <protection/>
    </xf>
    <xf numFmtId="171" fontId="13" fillId="0" borderId="0" xfId="0" applyNumberFormat="1" applyFont="1" applyAlignment="1">
      <alignment/>
    </xf>
    <xf numFmtId="37" fontId="13" fillId="0" borderId="0" xfId="108" applyNumberFormat="1" applyFont="1" applyAlignment="1">
      <alignment horizontal="center"/>
      <protection/>
    </xf>
    <xf numFmtId="179" fontId="45" fillId="0" borderId="0" xfId="106" applyNumberFormat="1" applyFont="1" applyFill="1" applyProtection="1">
      <alignment/>
      <protection/>
    </xf>
    <xf numFmtId="37" fontId="13" fillId="0" borderId="0" xfId="105" applyFont="1" applyFill="1">
      <alignment/>
      <protection/>
    </xf>
    <xf numFmtId="37" fontId="11" fillId="0" borderId="0" xfId="105" applyFont="1" applyFill="1">
      <alignment/>
      <protection/>
    </xf>
    <xf numFmtId="37" fontId="8" fillId="0" borderId="0" xfId="105" applyFont="1" applyFill="1">
      <alignment/>
      <protection/>
    </xf>
    <xf numFmtId="37" fontId="13" fillId="0" borderId="0" xfId="107" applyFont="1" applyFill="1" applyAlignment="1" applyProtection="1">
      <alignment horizontal="center"/>
      <protection/>
    </xf>
    <xf numFmtId="37" fontId="36" fillId="0" borderId="0" xfId="107" applyFont="1" applyFill="1" applyAlignment="1" applyProtection="1">
      <alignment horizontal="center"/>
      <protection/>
    </xf>
    <xf numFmtId="17" fontId="43" fillId="0" borderId="0" xfId="105" applyNumberFormat="1" applyFont="1" applyFill="1" applyBorder="1" applyAlignment="1">
      <alignment horizontal="center"/>
      <protection/>
    </xf>
    <xf numFmtId="37" fontId="43" fillId="0" borderId="0" xfId="105" applyFont="1" applyFill="1" applyBorder="1" applyAlignment="1">
      <alignment horizontal="center" wrapText="1"/>
      <protection/>
    </xf>
    <xf numFmtId="37" fontId="36" fillId="0" borderId="0" xfId="105" applyFont="1" applyFill="1" applyBorder="1">
      <alignment/>
      <protection/>
    </xf>
    <xf numFmtId="5" fontId="13" fillId="0" borderId="0" xfId="106" applyNumberFormat="1" applyFont="1" applyFill="1" applyBorder="1" applyProtection="1">
      <alignment/>
      <protection/>
    </xf>
    <xf numFmtId="5" fontId="45" fillId="0" borderId="0" xfId="106" applyNumberFormat="1" applyFont="1" applyFill="1" applyBorder="1" applyProtection="1">
      <alignment/>
      <protection/>
    </xf>
    <xf numFmtId="5" fontId="44" fillId="0" borderId="0" xfId="106" applyNumberFormat="1" applyFont="1" applyFill="1" applyBorder="1" applyProtection="1">
      <alignment/>
      <protection/>
    </xf>
    <xf numFmtId="37" fontId="13" fillId="0" borderId="0" xfId="105" applyFont="1" applyFill="1" applyBorder="1">
      <alignment/>
      <protection/>
    </xf>
    <xf numFmtId="170" fontId="13" fillId="0" borderId="0" xfId="71" applyNumberFormat="1" applyFont="1" applyFill="1" applyBorder="1" applyAlignment="1" applyProtection="1">
      <alignment/>
      <protection/>
    </xf>
    <xf numFmtId="37" fontId="45" fillId="0" borderId="0" xfId="106" applyNumberFormat="1" applyFont="1" applyFill="1" applyBorder="1" applyProtection="1">
      <alignment/>
      <protection/>
    </xf>
    <xf numFmtId="37" fontId="13" fillId="0" borderId="0" xfId="105" applyFont="1" applyFill="1" applyBorder="1" applyAlignment="1">
      <alignment horizontal="left" indent="1"/>
      <protection/>
    </xf>
    <xf numFmtId="5" fontId="45" fillId="0" borderId="13" xfId="106" applyNumberFormat="1" applyFont="1" applyFill="1" applyBorder="1" applyProtection="1">
      <alignment/>
      <protection/>
    </xf>
    <xf numFmtId="5" fontId="44" fillId="0" borderId="13" xfId="106" applyNumberFormat="1" applyFont="1" applyFill="1" applyBorder="1" applyProtection="1">
      <alignment/>
      <protection/>
    </xf>
    <xf numFmtId="37" fontId="11" fillId="0" borderId="0" xfId="105" applyFont="1" applyFill="1" applyBorder="1">
      <alignment/>
      <protection/>
    </xf>
    <xf numFmtId="37" fontId="36" fillId="0" borderId="0" xfId="105" applyFont="1" applyFill="1" applyBorder="1" applyAlignment="1">
      <alignment horizontal="centerContinuous" vertical="center" wrapText="1"/>
      <protection/>
    </xf>
    <xf numFmtId="37" fontId="12" fillId="0" borderId="0" xfId="105" applyFont="1" applyFill="1" applyBorder="1" applyAlignment="1">
      <alignment horizontal="centerContinuous" vertical="center" wrapText="1"/>
      <protection/>
    </xf>
    <xf numFmtId="165" fontId="45" fillId="0" borderId="0" xfId="117" applyNumberFormat="1" applyFont="1" applyFill="1" applyBorder="1" applyAlignment="1" applyProtection="1">
      <alignment/>
      <protection/>
    </xf>
    <xf numFmtId="10" fontId="55" fillId="18" borderId="0" xfId="117" applyNumberFormat="1" applyFont="1" applyFill="1" applyAlignment="1">
      <alignment/>
    </xf>
    <xf numFmtId="10" fontId="55" fillId="0" borderId="0" xfId="105" applyNumberFormat="1" applyFont="1" applyFill="1">
      <alignment/>
      <protection/>
    </xf>
    <xf numFmtId="168" fontId="13" fillId="0" borderId="0" xfId="105" applyNumberFormat="1" applyFont="1" applyFill="1">
      <alignment/>
      <protection/>
    </xf>
    <xf numFmtId="37" fontId="13" fillId="0" borderId="0" xfId="105" applyFont="1" applyFill="1" applyBorder="1" applyAlignment="1">
      <alignment horizontal="left"/>
      <protection/>
    </xf>
    <xf numFmtId="10" fontId="45" fillId="0" borderId="11" xfId="106" applyNumberFormat="1" applyFont="1" applyFill="1" applyBorder="1" applyProtection="1">
      <alignment/>
      <protection/>
    </xf>
    <xf numFmtId="37" fontId="47" fillId="0" borderId="0" xfId="105" applyFont="1" applyFill="1" applyBorder="1" applyAlignment="1">
      <alignment horizontal="center"/>
      <protection/>
    </xf>
    <xf numFmtId="37" fontId="48" fillId="0" borderId="0" xfId="105" applyFont="1" applyFill="1" applyBorder="1" applyAlignment="1">
      <alignment horizontal="center" wrapText="1"/>
      <protection/>
    </xf>
    <xf numFmtId="37" fontId="36" fillId="0" borderId="0" xfId="105" applyFont="1" applyFill="1" applyBorder="1" applyAlignment="1">
      <alignment horizontal="left" indent="1"/>
      <protection/>
    </xf>
    <xf numFmtId="37" fontId="13" fillId="0" borderId="12" xfId="105" applyFont="1" applyFill="1" applyBorder="1">
      <alignment/>
      <protection/>
    </xf>
    <xf numFmtId="5" fontId="44" fillId="0" borderId="12" xfId="106" applyNumberFormat="1" applyFont="1" applyFill="1" applyBorder="1" applyProtection="1">
      <alignment/>
      <protection/>
    </xf>
    <xf numFmtId="10" fontId="13" fillId="0" borderId="0" xfId="105" applyNumberFormat="1" applyFont="1" applyFill="1">
      <alignment/>
      <protection/>
    </xf>
    <xf numFmtId="5" fontId="55" fillId="0" borderId="0" xfId="106" applyNumberFormat="1" applyFont="1" applyFill="1" applyBorder="1" applyProtection="1">
      <alignment/>
      <protection/>
    </xf>
    <xf numFmtId="37" fontId="13" fillId="0" borderId="0" xfId="105" applyFont="1" applyFill="1" applyBorder="1" applyAlignment="1">
      <alignment horizontal="left" indent="2"/>
      <protection/>
    </xf>
    <xf numFmtId="5" fontId="45" fillId="0" borderId="11" xfId="106" applyNumberFormat="1" applyFont="1" applyFill="1" applyBorder="1" applyProtection="1">
      <alignment/>
      <protection/>
    </xf>
    <xf numFmtId="37" fontId="43" fillId="0" borderId="0" xfId="105" applyFont="1" applyFill="1" applyBorder="1" applyAlignment="1">
      <alignment horizontal="center"/>
      <protection/>
    </xf>
    <xf numFmtId="168" fontId="55" fillId="18" borderId="0" xfId="117" applyNumberFormat="1" applyFont="1" applyFill="1" applyAlignment="1">
      <alignment horizontal="center"/>
    </xf>
    <xf numFmtId="168" fontId="13" fillId="0" borderId="0" xfId="117" applyNumberFormat="1" applyFont="1" applyFill="1" applyAlignment="1">
      <alignment/>
    </xf>
    <xf numFmtId="5" fontId="45" fillId="0" borderId="12" xfId="106" applyNumberFormat="1" applyFont="1" applyFill="1" applyBorder="1" applyProtection="1">
      <alignment/>
      <protection/>
    </xf>
    <xf numFmtId="10" fontId="13" fillId="0" borderId="0" xfId="117" applyNumberFormat="1" applyFont="1" applyFill="1" applyAlignment="1">
      <alignment/>
    </xf>
    <xf numFmtId="195" fontId="13" fillId="0" borderId="0" xfId="105" applyNumberFormat="1" applyFont="1" applyFill="1" applyBorder="1" applyAlignment="1">
      <alignment horizontal="left"/>
      <protection/>
    </xf>
    <xf numFmtId="10" fontId="13" fillId="0" borderId="0" xfId="105" applyNumberFormat="1" applyFont="1" applyFill="1" applyBorder="1">
      <alignment/>
      <protection/>
    </xf>
    <xf numFmtId="168" fontId="49" fillId="0" borderId="0" xfId="117" applyNumberFormat="1" applyFont="1" applyFill="1" applyAlignment="1">
      <alignment horizontal="center"/>
    </xf>
    <xf numFmtId="10" fontId="49" fillId="0" borderId="0" xfId="117" applyNumberFormat="1" applyFont="1" applyFill="1" applyAlignment="1">
      <alignment horizontal="center"/>
    </xf>
    <xf numFmtId="199" fontId="45" fillId="0" borderId="0" xfId="106" applyNumberFormat="1" applyFont="1" applyFill="1" applyBorder="1" applyProtection="1">
      <alignment/>
      <protection/>
    </xf>
    <xf numFmtId="37" fontId="11" fillId="0" borderId="0" xfId="105" applyFont="1" applyFill="1" applyAlignment="1">
      <alignment horizontal="right"/>
      <protection/>
    </xf>
    <xf numFmtId="10" fontId="44" fillId="0" borderId="0" xfId="117" applyNumberFormat="1" applyFont="1" applyFill="1" applyBorder="1" applyAlignment="1" applyProtection="1">
      <alignment/>
      <protection/>
    </xf>
    <xf numFmtId="5" fontId="13" fillId="0" borderId="12" xfId="105" applyNumberFormat="1" applyFont="1" applyFill="1" applyBorder="1">
      <alignment/>
      <protection/>
    </xf>
    <xf numFmtId="5" fontId="13" fillId="0" borderId="0" xfId="105" applyNumberFormat="1" applyFont="1" applyFill="1" applyBorder="1">
      <alignment/>
      <protection/>
    </xf>
    <xf numFmtId="37" fontId="50" fillId="0" borderId="0" xfId="105" applyFont="1" applyFill="1">
      <alignment/>
      <protection/>
    </xf>
    <xf numFmtId="171" fontId="11" fillId="0" borderId="0" xfId="105" applyNumberFormat="1" applyFont="1" applyFill="1">
      <alignment/>
      <protection/>
    </xf>
    <xf numFmtId="0" fontId="11" fillId="0" borderId="0" xfId="111" applyFont="1">
      <alignment/>
      <protection/>
    </xf>
    <xf numFmtId="3" fontId="3" fillId="0" borderId="0" xfId="109" applyFont="1">
      <alignment/>
      <protection/>
    </xf>
    <xf numFmtId="17" fontId="48" fillId="0" borderId="0" xfId="105" applyNumberFormat="1" applyFont="1" applyFill="1" applyBorder="1" applyAlignment="1">
      <alignment horizontal="center"/>
      <protection/>
    </xf>
    <xf numFmtId="37" fontId="13" fillId="0" borderId="0" xfId="107" applyFont="1" applyAlignment="1" applyProtection="1">
      <alignment horizontal="left"/>
      <protection/>
    </xf>
    <xf numFmtId="5" fontId="13" fillId="0" borderId="0" xfId="71" applyNumberFormat="1" applyFont="1" applyFill="1" applyAlignment="1" applyProtection="1">
      <alignment horizontal="right"/>
      <protection/>
    </xf>
    <xf numFmtId="3" fontId="36" fillId="0" borderId="0" xfId="109" applyFont="1" applyBorder="1" applyAlignment="1" applyProtection="1">
      <alignment horizontal="center"/>
      <protection/>
    </xf>
    <xf numFmtId="3" fontId="36" fillId="0" borderId="0" xfId="109" applyFont="1" applyBorder="1" applyAlignment="1" applyProtection="1" quotePrefix="1">
      <alignment horizontal="center"/>
      <protection/>
    </xf>
    <xf numFmtId="193" fontId="13" fillId="0" borderId="0" xfId="109" applyNumberFormat="1" applyFont="1" applyBorder="1" applyAlignment="1">
      <alignment horizontal="right"/>
      <protection/>
    </xf>
    <xf numFmtId="3" fontId="36" fillId="0" borderId="0" xfId="109" applyFont="1" applyBorder="1" applyAlignment="1" applyProtection="1">
      <alignment horizontal="left"/>
      <protection/>
    </xf>
    <xf numFmtId="3" fontId="13" fillId="0" borderId="0" xfId="109" applyFont="1" applyBorder="1" applyAlignment="1" applyProtection="1">
      <alignment horizontal="left"/>
      <protection/>
    </xf>
    <xf numFmtId="10" fontId="13" fillId="0" borderId="0" xfId="117" applyNumberFormat="1" applyFont="1" applyBorder="1" applyAlignment="1" applyProtection="1">
      <alignment horizontal="right" wrapText="1"/>
      <protection/>
    </xf>
    <xf numFmtId="3" fontId="13" fillId="0" borderId="0" xfId="109" applyFont="1" applyBorder="1" applyAlignment="1" applyProtection="1">
      <alignment horizontal="left" indent="1"/>
      <protection/>
    </xf>
    <xf numFmtId="10" fontId="55" fillId="0" borderId="0" xfId="117" applyNumberFormat="1" applyFont="1" applyFill="1" applyAlignment="1">
      <alignment/>
    </xf>
    <xf numFmtId="10" fontId="56" fillId="0" borderId="0" xfId="117" applyNumberFormat="1" applyFont="1" applyFill="1" applyAlignment="1">
      <alignment/>
    </xf>
    <xf numFmtId="10" fontId="13" fillId="0" borderId="0" xfId="117" applyNumberFormat="1" applyFont="1" applyAlignment="1">
      <alignment/>
    </xf>
    <xf numFmtId="5" fontId="36" fillId="0" borderId="12" xfId="71" applyNumberFormat="1" applyFont="1" applyFill="1" applyBorder="1" applyAlignment="1" applyProtection="1">
      <alignment horizontal="right"/>
      <protection/>
    </xf>
    <xf numFmtId="5" fontId="13" fillId="0" borderId="0" xfId="108" applyNumberFormat="1" applyFont="1" applyBorder="1" applyAlignment="1" applyProtection="1">
      <alignment horizontal="center" wrapText="1"/>
      <protection/>
    </xf>
    <xf numFmtId="5" fontId="36" fillId="0" borderId="0" xfId="71" applyNumberFormat="1" applyFont="1" applyFill="1" applyAlignment="1" applyProtection="1">
      <alignment horizontal="right"/>
      <protection/>
    </xf>
    <xf numFmtId="37" fontId="13" fillId="0" borderId="0" xfId="105" applyFont="1">
      <alignment/>
      <protection/>
    </xf>
    <xf numFmtId="37" fontId="11" fillId="0" borderId="0" xfId="105" applyFont="1">
      <alignment/>
      <protection/>
    </xf>
    <xf numFmtId="10" fontId="11" fillId="0" borderId="0" xfId="116" applyNumberFormat="1" applyFont="1" applyAlignment="1">
      <alignment/>
    </xf>
    <xf numFmtId="172" fontId="12" fillId="0" borderId="0" xfId="111" applyNumberFormat="1" applyFont="1" applyFill="1" applyAlignment="1">
      <alignment horizontal="left"/>
      <protection/>
    </xf>
    <xf numFmtId="0" fontId="51" fillId="0" borderId="0" xfId="111" applyFont="1" applyFill="1" applyAlignment="1" applyProtection="1" quotePrefix="1">
      <alignment horizontal="center"/>
      <protection/>
    </xf>
    <xf numFmtId="1" fontId="11" fillId="0" borderId="0" xfId="111" applyNumberFormat="1" applyFont="1" applyFill="1" applyAlignment="1" applyProtection="1">
      <alignment horizontal="center"/>
      <protection/>
    </xf>
    <xf numFmtId="37" fontId="36" fillId="0" borderId="0" xfId="107" applyFont="1" applyAlignment="1" applyProtection="1" quotePrefix="1">
      <alignment horizontal="center"/>
      <protection/>
    </xf>
    <xf numFmtId="0" fontId="12" fillId="0" borderId="0" xfId="111" applyFont="1" applyFill="1" applyAlignment="1" applyProtection="1">
      <alignment horizontal="center"/>
      <protection/>
    </xf>
    <xf numFmtId="0" fontId="36" fillId="0" borderId="0" xfId="111" applyFont="1" applyFill="1" applyAlignment="1" applyProtection="1">
      <alignment horizontal="center"/>
      <protection/>
    </xf>
    <xf numFmtId="0" fontId="36" fillId="0" borderId="0" xfId="111" applyFont="1" applyFill="1" applyAlignment="1">
      <alignment horizontal="center"/>
      <protection/>
    </xf>
    <xf numFmtId="0" fontId="36" fillId="0" borderId="0" xfId="111" applyFont="1" applyFill="1" applyBorder="1" applyAlignment="1" applyProtection="1">
      <alignment horizontal="center" wrapText="1"/>
      <protection/>
    </xf>
    <xf numFmtId="0" fontId="36" fillId="0" borderId="10" xfId="111" applyFont="1" applyFill="1" applyBorder="1" applyAlignment="1" applyProtection="1">
      <alignment horizontal="left"/>
      <protection/>
    </xf>
    <xf numFmtId="0" fontId="36" fillId="0" borderId="10" xfId="111" applyFont="1" applyFill="1" applyBorder="1" applyAlignment="1" applyProtection="1">
      <alignment horizontal="center" wrapText="1"/>
      <protection/>
    </xf>
    <xf numFmtId="0" fontId="36" fillId="0" borderId="10" xfId="111" applyFont="1" applyFill="1" applyBorder="1" applyAlignment="1" applyProtection="1">
      <alignment horizontal="center"/>
      <protection/>
    </xf>
    <xf numFmtId="168" fontId="11" fillId="0" borderId="0" xfId="111" applyNumberFormat="1" applyFont="1" applyFill="1" applyAlignment="1">
      <alignment horizontal="left"/>
      <protection/>
    </xf>
    <xf numFmtId="15" fontId="11" fillId="0" borderId="0" xfId="111" applyNumberFormat="1" applyFont="1" applyFill="1" applyAlignment="1">
      <alignment horizontal="center"/>
      <protection/>
    </xf>
    <xf numFmtId="15" fontId="11" fillId="0" borderId="0" xfId="111" applyNumberFormat="1" applyFont="1" applyFill="1" applyAlignment="1">
      <alignment horizontal="right"/>
      <protection/>
    </xf>
    <xf numFmtId="7" fontId="11" fillId="0" borderId="0" xfId="111" applyNumberFormat="1" applyFont="1" applyFill="1">
      <alignment/>
      <protection/>
    </xf>
    <xf numFmtId="5" fontId="11" fillId="0" borderId="0" xfId="111" applyNumberFormat="1" applyFont="1" applyFill="1">
      <alignment/>
      <protection/>
    </xf>
    <xf numFmtId="0" fontId="11" fillId="0" borderId="0" xfId="111" applyNumberFormat="1" applyFont="1" applyFill="1" applyAlignment="1">
      <alignment horizontal="center"/>
      <protection/>
    </xf>
    <xf numFmtId="168" fontId="11" fillId="0" borderId="0" xfId="111" applyNumberFormat="1" applyFont="1" applyFill="1" applyAlignment="1" applyProtection="1">
      <alignment horizontal="left"/>
      <protection/>
    </xf>
    <xf numFmtId="15" fontId="11" fillId="0" borderId="0" xfId="111" applyNumberFormat="1" applyFont="1" applyFill="1" applyAlignment="1" applyProtection="1">
      <alignment horizontal="center"/>
      <protection/>
    </xf>
    <xf numFmtId="205" fontId="52" fillId="0" borderId="0" xfId="111" applyNumberFormat="1" applyFont="1" applyFill="1">
      <alignment/>
      <protection/>
    </xf>
    <xf numFmtId="5" fontId="53" fillId="0" borderId="0" xfId="111" applyNumberFormat="1" applyFont="1" applyFill="1">
      <alignment/>
      <protection/>
    </xf>
    <xf numFmtId="0" fontId="12" fillId="0" borderId="0" xfId="111" applyFont="1" applyFill="1" applyBorder="1" applyAlignment="1" applyProtection="1" quotePrefix="1">
      <alignment horizontal="left"/>
      <protection/>
    </xf>
    <xf numFmtId="5" fontId="12" fillId="0" borderId="12" xfId="111" applyNumberFormat="1" applyFont="1" applyFill="1" applyBorder="1" applyAlignment="1" applyProtection="1">
      <alignment horizontal="right"/>
      <protection/>
    </xf>
    <xf numFmtId="5" fontId="12" fillId="0" borderId="0" xfId="111" applyNumberFormat="1" applyFont="1" applyFill="1" applyBorder="1" applyAlignment="1" applyProtection="1">
      <alignment horizontal="right"/>
      <protection/>
    </xf>
    <xf numFmtId="5" fontId="12" fillId="0" borderId="0" xfId="110" applyNumberFormat="1" applyFont="1" applyBorder="1" applyAlignment="1" applyProtection="1">
      <alignment/>
      <protection/>
    </xf>
    <xf numFmtId="5" fontId="11" fillId="0" borderId="0" xfId="111" applyNumberFormat="1" applyFont="1" applyProtection="1">
      <alignment/>
      <protection/>
    </xf>
    <xf numFmtId="10" fontId="11" fillId="0" borderId="0" xfId="116" applyNumberFormat="1" applyFont="1" applyFill="1" applyAlignment="1">
      <alignment/>
    </xf>
    <xf numFmtId="0" fontId="12" fillId="0" borderId="0" xfId="111" applyFont="1" applyFill="1" applyAlignment="1" applyProtection="1">
      <alignment horizontal="left"/>
      <protection/>
    </xf>
    <xf numFmtId="0" fontId="12" fillId="0" borderId="0" xfId="111" applyFont="1" applyAlignment="1" applyProtection="1">
      <alignment horizontal="left"/>
      <protection/>
    </xf>
    <xf numFmtId="170" fontId="13" fillId="0" borderId="0" xfId="69" applyNumberFormat="1" applyFont="1" applyAlignment="1">
      <alignment/>
    </xf>
    <xf numFmtId="10" fontId="5" fillId="0" borderId="14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15" xfId="110" applyFont="1" applyFill="1" applyBorder="1" applyAlignment="1" applyProtection="1">
      <alignment horizontal="center" wrapText="1"/>
      <protection/>
    </xf>
    <xf numFmtId="10" fontId="35" fillId="0" borderId="0" xfId="110" applyFont="1" applyAlignment="1" applyProtection="1">
      <alignment horizontal="center"/>
      <protection/>
    </xf>
    <xf numFmtId="172" fontId="35" fillId="0" borderId="0" xfId="110" applyNumberFormat="1" applyFont="1" applyAlignment="1" applyProtection="1">
      <alignment horizontal="center"/>
      <protection/>
    </xf>
    <xf numFmtId="37" fontId="36" fillId="0" borderId="0" xfId="108" applyNumberFormat="1" applyFont="1" applyBorder="1" applyAlignment="1" applyProtection="1">
      <alignment horizontal="center" wrapText="1"/>
      <protection/>
    </xf>
    <xf numFmtId="37" fontId="36" fillId="0" borderId="10" xfId="108" applyNumberFormat="1" applyFont="1" applyBorder="1" applyAlignment="1" applyProtection="1">
      <alignment horizontal="center" wrapText="1"/>
      <protection/>
    </xf>
    <xf numFmtId="3" fontId="36" fillId="0" borderId="0" xfId="109" applyFont="1" applyAlignment="1">
      <alignment horizontal="left" wrapText="1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11.5" defaultRowHeight="11.25"/>
  <cols>
    <col min="1" max="1" width="3.832031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83203125" style="1" customWidth="1"/>
    <col min="9" max="9" width="11.16015625" style="1" customWidth="1"/>
    <col min="10" max="10" width="10" style="1" customWidth="1"/>
    <col min="11" max="11" width="9" style="1" customWidth="1"/>
    <col min="12" max="12" width="8.66015625" style="1" customWidth="1"/>
    <col min="13" max="16384" width="11.5" style="1" customWidth="1"/>
  </cols>
  <sheetData>
    <row r="1" spans="2:6" ht="15">
      <c r="B1" s="49" t="s">
        <v>155</v>
      </c>
      <c r="C1" s="49"/>
      <c r="D1" s="49"/>
      <c r="E1" s="49"/>
      <c r="F1" s="49"/>
    </row>
    <row r="2" spans="1:6" ht="12.75">
      <c r="A2" s="50"/>
      <c r="B2" s="2"/>
      <c r="C2" s="2"/>
      <c r="D2" s="2"/>
      <c r="E2" s="2"/>
      <c r="F2" s="2"/>
    </row>
    <row r="3" spans="2:6" ht="15">
      <c r="B3" s="278" t="s">
        <v>2</v>
      </c>
      <c r="C3" s="278"/>
      <c r="D3" s="278"/>
      <c r="E3" s="278"/>
      <c r="F3" s="278"/>
    </row>
    <row r="4" spans="2:12" ht="15" customHeight="1">
      <c r="B4" s="279" t="s">
        <v>134</v>
      </c>
      <c r="C4" s="279"/>
      <c r="D4" s="279"/>
      <c r="E4" s="279"/>
      <c r="F4" s="279"/>
      <c r="H4" s="37"/>
      <c r="L4" s="38"/>
    </row>
    <row r="5" spans="1:12" ht="12.75">
      <c r="A5" s="51" t="s">
        <v>135</v>
      </c>
      <c r="B5" s="44"/>
      <c r="C5" s="51"/>
      <c r="D5" s="51"/>
      <c r="E5" s="51"/>
      <c r="F5" s="51"/>
      <c r="H5" s="37"/>
      <c r="L5" s="38"/>
    </row>
    <row r="6" spans="1:12" ht="12.75">
      <c r="A6" s="3"/>
      <c r="C6" s="4"/>
      <c r="H6" s="37"/>
      <c r="L6" s="38"/>
    </row>
    <row r="7" spans="1:12" ht="12.75">
      <c r="A7" s="3"/>
      <c r="H7" s="37"/>
      <c r="L7" s="38"/>
    </row>
    <row r="8" spans="1:12" ht="12.75">
      <c r="A8" s="52">
        <v>1</v>
      </c>
      <c r="B8" s="53" t="s">
        <v>1</v>
      </c>
      <c r="C8" s="53" t="s">
        <v>18</v>
      </c>
      <c r="D8" s="53" t="s">
        <v>28</v>
      </c>
      <c r="E8" s="53" t="s">
        <v>30</v>
      </c>
      <c r="F8" s="53" t="s">
        <v>31</v>
      </c>
      <c r="H8" s="37"/>
      <c r="L8" s="38"/>
    </row>
    <row r="9" spans="1:12" ht="12.75">
      <c r="A9" s="52">
        <f>A8+1</f>
        <v>2</v>
      </c>
      <c r="B9" s="275" t="s">
        <v>137</v>
      </c>
      <c r="C9" s="276"/>
      <c r="D9" s="276"/>
      <c r="E9" s="276"/>
      <c r="F9" s="277"/>
      <c r="H9" s="37"/>
      <c r="L9" s="38"/>
    </row>
    <row r="10" spans="1:12" ht="12.75">
      <c r="A10" s="52">
        <f>A9+1</f>
        <v>3</v>
      </c>
      <c r="B10" s="54"/>
      <c r="C10" s="54"/>
      <c r="D10" s="54"/>
      <c r="E10" s="54"/>
      <c r="F10" s="54"/>
      <c r="H10" s="37"/>
      <c r="L10" s="38"/>
    </row>
    <row r="11" spans="1:12" ht="12.75">
      <c r="A11" s="52">
        <f>A10+1</f>
        <v>4</v>
      </c>
      <c r="B11" s="53"/>
      <c r="C11" s="53"/>
      <c r="D11" s="55"/>
      <c r="E11" s="56" t="s">
        <v>6</v>
      </c>
      <c r="F11" s="56" t="s">
        <v>3</v>
      </c>
      <c r="H11" s="37"/>
      <c r="L11" s="38"/>
    </row>
    <row r="12" spans="1:12" ht="12.75">
      <c r="A12" s="52">
        <f aca="true" t="shared" si="0" ref="A12:A42">A11+1</f>
        <v>5</v>
      </c>
      <c r="B12" s="57" t="s">
        <v>4</v>
      </c>
      <c r="C12" s="58"/>
      <c r="D12" s="58" t="s">
        <v>5</v>
      </c>
      <c r="E12" s="58" t="s">
        <v>127</v>
      </c>
      <c r="F12" s="58" t="s">
        <v>7</v>
      </c>
      <c r="H12" s="37"/>
      <c r="L12" s="38"/>
    </row>
    <row r="13" spans="1:12" ht="12.75">
      <c r="A13" s="52">
        <f t="shared" si="0"/>
        <v>6</v>
      </c>
      <c r="B13" s="59"/>
      <c r="C13" s="53"/>
      <c r="D13" s="53"/>
      <c r="E13" s="53"/>
      <c r="F13" s="53"/>
      <c r="H13" s="37"/>
      <c r="L13" s="38"/>
    </row>
    <row r="14" spans="1:12" ht="12.75">
      <c r="A14" s="52">
        <f t="shared" si="0"/>
        <v>7</v>
      </c>
      <c r="B14" s="60" t="s">
        <v>150</v>
      </c>
      <c r="C14" s="53"/>
      <c r="D14" s="61">
        <v>0.01</v>
      </c>
      <c r="E14" s="62">
        <f>'Pg 2 Cost of Total Debt'!G35</f>
        <v>0.0306</v>
      </c>
      <c r="F14" s="62">
        <f>ROUND(D14*E14,4)</f>
        <v>0.0003</v>
      </c>
      <c r="H14" s="37"/>
      <c r="L14" s="38"/>
    </row>
    <row r="15" spans="1:12" ht="12.75">
      <c r="A15" s="52">
        <f t="shared" si="0"/>
        <v>8</v>
      </c>
      <c r="B15" s="63" t="s">
        <v>29</v>
      </c>
      <c r="C15" s="53"/>
      <c r="D15" s="61"/>
      <c r="E15" s="62"/>
      <c r="F15" s="62">
        <f>'Pg 3 STD Int &amp; Fees-Details'!P47</f>
        <v>0.0002</v>
      </c>
      <c r="H15" s="37"/>
      <c r="L15" s="38"/>
    </row>
    <row r="16" spans="1:12" ht="12.75">
      <c r="A16" s="52">
        <f t="shared" si="0"/>
        <v>9</v>
      </c>
      <c r="B16" s="64" t="s">
        <v>122</v>
      </c>
      <c r="C16" s="65"/>
      <c r="D16" s="66"/>
      <c r="E16" s="67"/>
      <c r="F16" s="67">
        <f>'Pg 3 STD Int &amp; Fees-Details'!P59</f>
        <v>0.0001</v>
      </c>
      <c r="H16" s="37"/>
      <c r="L16" s="38"/>
    </row>
    <row r="17" spans="1:12" ht="12.75">
      <c r="A17" s="52">
        <f t="shared" si="0"/>
        <v>10</v>
      </c>
      <c r="B17" s="68" t="s">
        <v>149</v>
      </c>
      <c r="C17" s="53"/>
      <c r="D17" s="61"/>
      <c r="E17" s="62"/>
      <c r="F17" s="69">
        <f>SUM(F14:F16)</f>
        <v>0.0006000000000000001</v>
      </c>
      <c r="H17" s="37"/>
      <c r="L17" s="38"/>
    </row>
    <row r="18" spans="1:12" ht="12.75">
      <c r="A18" s="52">
        <f t="shared" si="0"/>
        <v>11</v>
      </c>
      <c r="B18" s="60" t="s">
        <v>151</v>
      </c>
      <c r="C18" s="70"/>
      <c r="D18" s="61">
        <f>D23-D22-D14</f>
        <v>0.505</v>
      </c>
      <c r="E18" s="62">
        <f>'Pg 2 Cost of Total Debt'!G33</f>
        <v>0.05728432321283779</v>
      </c>
      <c r="F18" s="62">
        <f>ROUND(D18*E18,4)+0.01%</f>
        <v>0.028999999999999998</v>
      </c>
      <c r="H18" s="37"/>
      <c r="L18" s="38"/>
    </row>
    <row r="19" spans="1:12" ht="12.75">
      <c r="A19" s="52">
        <f t="shared" si="0"/>
        <v>12</v>
      </c>
      <c r="B19" s="64" t="s">
        <v>123</v>
      </c>
      <c r="C19" s="65"/>
      <c r="D19" s="66"/>
      <c r="E19" s="67"/>
      <c r="F19" s="67">
        <f>'Pg 5 Reacquired Debt'!K32</f>
        <v>0.0003</v>
      </c>
      <c r="H19" s="37"/>
      <c r="L19" s="38"/>
    </row>
    <row r="20" spans="1:12" ht="12.75">
      <c r="A20" s="52">
        <f t="shared" si="0"/>
        <v>13</v>
      </c>
      <c r="B20" s="71" t="s">
        <v>152</v>
      </c>
      <c r="C20" s="72"/>
      <c r="D20" s="73"/>
      <c r="E20" s="74"/>
      <c r="F20" s="75">
        <f>F18+F19</f>
        <v>0.0293</v>
      </c>
      <c r="H20" s="37"/>
      <c r="L20" s="38"/>
    </row>
    <row r="21" spans="1:12" ht="12.75">
      <c r="A21" s="52">
        <f t="shared" si="0"/>
        <v>14</v>
      </c>
      <c r="B21" s="76" t="s">
        <v>124</v>
      </c>
      <c r="C21" s="53"/>
      <c r="D21" s="77">
        <f>D14+D18</f>
        <v>0.515</v>
      </c>
      <c r="E21" s="62"/>
      <c r="F21" s="69">
        <f>F17+F20</f>
        <v>0.0299</v>
      </c>
      <c r="H21" s="37"/>
      <c r="L21" s="38"/>
    </row>
    <row r="22" spans="1:12" ht="12.75">
      <c r="A22" s="52">
        <f t="shared" si="0"/>
        <v>15</v>
      </c>
      <c r="B22" s="76" t="s">
        <v>125</v>
      </c>
      <c r="C22" s="53"/>
      <c r="D22" s="78">
        <v>0.485</v>
      </c>
      <c r="E22" s="79">
        <v>0.098</v>
      </c>
      <c r="F22" s="80">
        <f>ROUND(D22*E22,4)</f>
        <v>0.0475</v>
      </c>
      <c r="H22" s="37"/>
      <c r="J22" s="48"/>
      <c r="L22" s="38"/>
    </row>
    <row r="23" spans="1:12" ht="12.75">
      <c r="A23" s="52">
        <f t="shared" si="0"/>
        <v>16</v>
      </c>
      <c r="B23" s="76" t="s">
        <v>126</v>
      </c>
      <c r="C23" s="81"/>
      <c r="D23" s="82">
        <v>1</v>
      </c>
      <c r="E23" s="62"/>
      <c r="F23" s="83">
        <f>F21+F22</f>
        <v>0.0774</v>
      </c>
      <c r="H23" s="37"/>
      <c r="J23" s="48"/>
      <c r="L23" s="38"/>
    </row>
    <row r="24" spans="1:12" ht="12.75">
      <c r="A24" s="52">
        <f t="shared" si="0"/>
        <v>17</v>
      </c>
      <c r="B24" s="53"/>
      <c r="C24" s="53"/>
      <c r="D24" s="53"/>
      <c r="E24" s="53"/>
      <c r="F24" s="53"/>
      <c r="H24" s="37"/>
      <c r="L24" s="38"/>
    </row>
    <row r="25" spans="1:12" ht="12.75">
      <c r="A25" s="52">
        <f t="shared" si="0"/>
        <v>18</v>
      </c>
      <c r="B25" s="53"/>
      <c r="C25" s="53"/>
      <c r="D25" s="53"/>
      <c r="E25" s="53"/>
      <c r="F25" s="53"/>
      <c r="H25" s="37"/>
      <c r="L25" s="38"/>
    </row>
    <row r="26" spans="1:12" ht="12.75">
      <c r="A26" s="52">
        <f t="shared" si="0"/>
        <v>19</v>
      </c>
      <c r="B26" s="275" t="s">
        <v>138</v>
      </c>
      <c r="C26" s="276"/>
      <c r="D26" s="276"/>
      <c r="E26" s="276"/>
      <c r="F26" s="277"/>
      <c r="H26" s="37"/>
      <c r="L26" s="38"/>
    </row>
    <row r="27" spans="1:7" ht="12.75">
      <c r="A27" s="52">
        <f t="shared" si="0"/>
        <v>20</v>
      </c>
      <c r="G27" s="84"/>
    </row>
    <row r="28" spans="1:7" ht="12.75">
      <c r="A28" s="52">
        <f t="shared" si="0"/>
        <v>21</v>
      </c>
      <c r="B28" s="55"/>
      <c r="C28" s="85" t="s">
        <v>136</v>
      </c>
      <c r="D28" s="55"/>
      <c r="E28" s="56" t="s">
        <v>6</v>
      </c>
      <c r="F28" s="56" t="s">
        <v>3</v>
      </c>
      <c r="G28" s="84"/>
    </row>
    <row r="29" spans="1:7" ht="12.75">
      <c r="A29" s="52">
        <f t="shared" si="0"/>
        <v>22</v>
      </c>
      <c r="B29" s="57" t="s">
        <v>4</v>
      </c>
      <c r="C29" s="86" t="s">
        <v>139</v>
      </c>
      <c r="D29" s="58" t="s">
        <v>5</v>
      </c>
      <c r="E29" s="58" t="s">
        <v>127</v>
      </c>
      <c r="F29" s="58" t="s">
        <v>7</v>
      </c>
      <c r="G29" s="84"/>
    </row>
    <row r="30" spans="1:7" ht="12.75">
      <c r="A30" s="52">
        <f t="shared" si="0"/>
        <v>23</v>
      </c>
      <c r="B30" s="59"/>
      <c r="C30" s="59"/>
      <c r="D30" s="87"/>
      <c r="E30" s="59"/>
      <c r="F30" s="88"/>
      <c r="G30" s="84"/>
    </row>
    <row r="31" spans="1:8" ht="12.75">
      <c r="A31" s="52">
        <f t="shared" si="0"/>
        <v>24</v>
      </c>
      <c r="B31" s="60" t="s">
        <v>150</v>
      </c>
      <c r="C31" s="89">
        <v>58312.833</v>
      </c>
      <c r="D31" s="90">
        <v>0.00785</v>
      </c>
      <c r="E31" s="91">
        <v>0.0068</v>
      </c>
      <c r="F31" s="92">
        <v>0.0001</v>
      </c>
      <c r="G31" s="84"/>
      <c r="H31" s="48"/>
    </row>
    <row r="32" spans="1:7" ht="12.75">
      <c r="A32" s="52">
        <f t="shared" si="0"/>
        <v>25</v>
      </c>
      <c r="B32" s="63" t="s">
        <v>29</v>
      </c>
      <c r="C32" s="93"/>
      <c r="D32" s="94"/>
      <c r="E32" s="95"/>
      <c r="F32" s="96">
        <v>0.0002</v>
      </c>
      <c r="G32" s="84"/>
    </row>
    <row r="33" spans="1:7" ht="12.75">
      <c r="A33" s="52">
        <f t="shared" si="0"/>
        <v>26</v>
      </c>
      <c r="B33" s="64" t="s">
        <v>122</v>
      </c>
      <c r="C33" s="97"/>
      <c r="D33" s="98"/>
      <c r="E33" s="99"/>
      <c r="F33" s="100">
        <v>0.0002</v>
      </c>
      <c r="G33" s="84"/>
    </row>
    <row r="34" spans="1:7" ht="12.75">
      <c r="A34" s="52">
        <f t="shared" si="0"/>
        <v>27</v>
      </c>
      <c r="B34" s="68" t="s">
        <v>149</v>
      </c>
      <c r="C34" s="93"/>
      <c r="D34" s="94"/>
      <c r="E34" s="95"/>
      <c r="F34" s="101">
        <f>SUM(F31:F33)</f>
        <v>0.0005</v>
      </c>
      <c r="G34" s="84"/>
    </row>
    <row r="35" spans="1:8" ht="12.75">
      <c r="A35" s="52">
        <f t="shared" si="0"/>
        <v>28</v>
      </c>
      <c r="B35" s="60" t="s">
        <v>8</v>
      </c>
      <c r="C35" s="93">
        <v>3753975.376</v>
      </c>
      <c r="D35" s="90">
        <v>0.5032</v>
      </c>
      <c r="E35" s="91">
        <v>0.0589</v>
      </c>
      <c r="F35" s="92">
        <v>0.0296</v>
      </c>
      <c r="G35" s="84"/>
      <c r="H35" s="48"/>
    </row>
    <row r="36" spans="1:7" ht="12.75">
      <c r="A36" s="52">
        <f t="shared" si="0"/>
        <v>29</v>
      </c>
      <c r="B36" s="64" t="s">
        <v>123</v>
      </c>
      <c r="C36" s="97"/>
      <c r="D36" s="98"/>
      <c r="E36" s="99"/>
      <c r="F36" s="100">
        <v>0.00030428397115456223</v>
      </c>
      <c r="G36" s="84"/>
    </row>
    <row r="37" spans="1:7" ht="12.75">
      <c r="A37" s="52">
        <f t="shared" si="0"/>
        <v>30</v>
      </c>
      <c r="B37" s="71" t="s">
        <v>152</v>
      </c>
      <c r="C37" s="102"/>
      <c r="D37" s="103"/>
      <c r="E37" s="104"/>
      <c r="F37" s="105">
        <f>F35+F36</f>
        <v>0.029904283971154563</v>
      </c>
      <c r="G37" s="84"/>
    </row>
    <row r="38" spans="1:9" ht="12.75">
      <c r="A38" s="52">
        <f t="shared" si="0"/>
        <v>31</v>
      </c>
      <c r="B38" s="76" t="s">
        <v>124</v>
      </c>
      <c r="C38" s="106">
        <v>3812288.209</v>
      </c>
      <c r="D38" s="107">
        <f>D31+D35</f>
        <v>0.51105</v>
      </c>
      <c r="E38" s="108"/>
      <c r="F38" s="109">
        <f>F34+F37</f>
        <v>0.030404283971154564</v>
      </c>
      <c r="G38" s="84"/>
      <c r="H38" s="48"/>
      <c r="I38" s="47"/>
    </row>
    <row r="39" spans="1:9" ht="12.75">
      <c r="A39" s="52">
        <f t="shared" si="0"/>
        <v>32</v>
      </c>
      <c r="B39" s="76" t="s">
        <v>125</v>
      </c>
      <c r="C39" s="110">
        <v>3647339.82</v>
      </c>
      <c r="D39" s="111">
        <v>0.4889</v>
      </c>
      <c r="E39" s="79">
        <v>0.098</v>
      </c>
      <c r="F39" s="112">
        <f>ROUND(+D39*E39,4)</f>
        <v>0.0479</v>
      </c>
      <c r="G39" s="84"/>
      <c r="H39" s="48"/>
      <c r="I39" s="47"/>
    </row>
    <row r="40" spans="1:8" ht="12.75">
      <c r="A40" s="52">
        <f t="shared" si="0"/>
        <v>33</v>
      </c>
      <c r="B40" s="76" t="s">
        <v>126</v>
      </c>
      <c r="C40" s="113">
        <f>SUM(C38:C39)</f>
        <v>7459628.028999999</v>
      </c>
      <c r="D40" s="82">
        <f>SUM(D38:D39)</f>
        <v>0.99995</v>
      </c>
      <c r="E40" s="114"/>
      <c r="F40" s="83">
        <f>SUM(F38:F39)</f>
        <v>0.07830428397115456</v>
      </c>
      <c r="G40" s="84"/>
      <c r="H40" s="46"/>
    </row>
    <row r="41" spans="1:7" ht="12.75">
      <c r="A41" s="52">
        <f t="shared" si="0"/>
        <v>34</v>
      </c>
      <c r="C41" s="115"/>
      <c r="D41" s="116"/>
      <c r="E41" s="95"/>
      <c r="F41" s="116"/>
      <c r="G41" s="84"/>
    </row>
    <row r="42" spans="1:10" ht="12.75">
      <c r="A42" s="52">
        <f t="shared" si="0"/>
        <v>35</v>
      </c>
      <c r="B42" s="117" t="s">
        <v>154</v>
      </c>
      <c r="C42" s="118"/>
      <c r="E42" s="119"/>
      <c r="F42" s="119"/>
      <c r="J42" s="45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workbookViewId="0" topLeftCell="A1">
      <selection activeCell="A1" sqref="A1"/>
    </sheetView>
  </sheetViews>
  <sheetFormatPr defaultColWidth="8.832031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2" width="6" style="8" customWidth="1"/>
    <col min="13" max="16384" width="8.83203125" style="8" customWidth="1"/>
  </cols>
  <sheetData>
    <row r="1" spans="1:10" ht="12.75">
      <c r="A1" s="120"/>
      <c r="B1" s="121" t="s">
        <v>83</v>
      </c>
      <c r="C1" s="122"/>
      <c r="D1" s="122"/>
      <c r="E1" s="122"/>
      <c r="F1" s="122"/>
      <c r="G1" s="121"/>
      <c r="H1" s="122"/>
      <c r="I1" s="122"/>
      <c r="J1" s="121"/>
    </row>
    <row r="2" spans="1:10" s="30" customFormat="1" ht="12.75">
      <c r="A2" s="123"/>
      <c r="B2" s="121" t="s">
        <v>144</v>
      </c>
      <c r="C2" s="122"/>
      <c r="D2" s="122"/>
      <c r="E2" s="122"/>
      <c r="F2" s="122"/>
      <c r="G2" s="121"/>
      <c r="H2" s="122"/>
      <c r="I2" s="122"/>
      <c r="J2" s="121"/>
    </row>
    <row r="3" spans="1:10" s="30" customFormat="1" ht="12.75">
      <c r="A3" s="124"/>
      <c r="B3" s="121" t="s">
        <v>72</v>
      </c>
      <c r="C3" s="122"/>
      <c r="D3" s="122"/>
      <c r="E3" s="122"/>
      <c r="F3" s="122"/>
      <c r="G3" s="121"/>
      <c r="H3" s="122"/>
      <c r="I3" s="122"/>
      <c r="J3" s="121"/>
    </row>
    <row r="4" spans="1:7" ht="10.5" customHeight="1">
      <c r="A4" s="8"/>
      <c r="G4" s="8"/>
    </row>
    <row r="5" spans="1:9" ht="10.5" customHeight="1">
      <c r="A5" s="125">
        <v>1</v>
      </c>
      <c r="B5" s="126" t="s">
        <v>1</v>
      </c>
      <c r="C5" s="126" t="s">
        <v>18</v>
      </c>
      <c r="D5" s="126" t="s">
        <v>28</v>
      </c>
      <c r="E5" s="126" t="s">
        <v>30</v>
      </c>
      <c r="F5" s="126" t="s">
        <v>31</v>
      </c>
      <c r="G5" s="126" t="s">
        <v>32</v>
      </c>
      <c r="H5" s="126" t="s">
        <v>33</v>
      </c>
      <c r="I5" s="126" t="s">
        <v>34</v>
      </c>
    </row>
    <row r="6" spans="1:9" ht="10.5" customHeight="1">
      <c r="A6" s="125">
        <f>A5+1</f>
        <v>2</v>
      </c>
      <c r="B6" s="126"/>
      <c r="C6" s="126"/>
      <c r="D6" s="126"/>
      <c r="E6" s="126"/>
      <c r="F6" s="280" t="s">
        <v>132</v>
      </c>
      <c r="G6" s="128"/>
      <c r="H6" s="128"/>
      <c r="I6" s="280" t="s">
        <v>148</v>
      </c>
    </row>
    <row r="7" spans="1:9" ht="10.5" customHeight="1">
      <c r="A7" s="125">
        <f aca="true" t="shared" si="0" ref="A7:A45">A6+1</f>
        <v>3</v>
      </c>
      <c r="B7" s="126"/>
      <c r="C7" s="126"/>
      <c r="D7" s="126"/>
      <c r="E7" s="126"/>
      <c r="F7" s="280"/>
      <c r="G7" s="128"/>
      <c r="H7" s="128"/>
      <c r="I7" s="280"/>
    </row>
    <row r="8" spans="1:9" ht="10.5" customHeight="1">
      <c r="A8" s="125">
        <f t="shared" si="0"/>
        <v>4</v>
      </c>
      <c r="B8" s="126"/>
      <c r="C8" s="129" t="s">
        <v>21</v>
      </c>
      <c r="D8" s="129" t="s">
        <v>10</v>
      </c>
      <c r="E8" s="130" t="s">
        <v>48</v>
      </c>
      <c r="F8" s="280"/>
      <c r="G8" s="280" t="s">
        <v>44</v>
      </c>
      <c r="H8" s="280" t="s">
        <v>143</v>
      </c>
      <c r="I8" s="280"/>
    </row>
    <row r="9" spans="1:9" ht="9.75" customHeight="1">
      <c r="A9" s="125">
        <f t="shared" si="0"/>
        <v>5</v>
      </c>
      <c r="B9" s="131" t="s">
        <v>131</v>
      </c>
      <c r="C9" s="132" t="s">
        <v>12</v>
      </c>
      <c r="D9" s="131" t="s">
        <v>49</v>
      </c>
      <c r="E9" s="131" t="s">
        <v>49</v>
      </c>
      <c r="F9" s="281"/>
      <c r="G9" s="281"/>
      <c r="H9" s="281" t="s">
        <v>43</v>
      </c>
      <c r="I9" s="281"/>
    </row>
    <row r="10" spans="1:11" s="12" customFormat="1" ht="12.75">
      <c r="A10" s="125">
        <f t="shared" si="0"/>
        <v>6</v>
      </c>
      <c r="B10" s="133" t="s">
        <v>13</v>
      </c>
      <c r="C10" s="134">
        <v>0.0674</v>
      </c>
      <c r="D10" s="135">
        <v>35961</v>
      </c>
      <c r="E10" s="135">
        <v>43266</v>
      </c>
      <c r="F10" s="136">
        <v>98.98509159000001</v>
      </c>
      <c r="G10" s="137">
        <f aca="true" t="shared" si="1" ref="G10:G26">ROUND(YIELD(D10,E10,C10,F10,100,2,2),4)</f>
        <v>0.0683</v>
      </c>
      <c r="H10" s="138">
        <f>I10*G10</f>
        <v>13660000</v>
      </c>
      <c r="I10" s="138">
        <v>200000000</v>
      </c>
      <c r="J10" s="138"/>
      <c r="K10" s="283"/>
    </row>
    <row r="11" spans="1:11" s="13" customFormat="1" ht="12.75">
      <c r="A11" s="125">
        <f t="shared" si="0"/>
        <v>7</v>
      </c>
      <c r="B11" s="133" t="s">
        <v>15</v>
      </c>
      <c r="C11" s="134">
        <v>0.0715</v>
      </c>
      <c r="D11" s="135">
        <v>35053</v>
      </c>
      <c r="E11" s="135">
        <v>46010</v>
      </c>
      <c r="F11" s="136">
        <v>99.211912</v>
      </c>
      <c r="G11" s="137">
        <f t="shared" si="1"/>
        <v>0.0721</v>
      </c>
      <c r="H11" s="138">
        <f aca="true" t="shared" si="2" ref="H11:H26">I11*G11</f>
        <v>1081500</v>
      </c>
      <c r="I11" s="138">
        <v>15000000</v>
      </c>
      <c r="J11" s="138"/>
      <c r="K11" s="284"/>
    </row>
    <row r="12" spans="1:11" s="13" customFormat="1" ht="12.75">
      <c r="A12" s="125">
        <f t="shared" si="0"/>
        <v>8</v>
      </c>
      <c r="B12" s="133" t="s">
        <v>15</v>
      </c>
      <c r="C12" s="134">
        <v>0.072</v>
      </c>
      <c r="D12" s="135">
        <v>35054</v>
      </c>
      <c r="E12" s="135">
        <v>46013</v>
      </c>
      <c r="F12" s="136">
        <v>99.2116</v>
      </c>
      <c r="G12" s="137">
        <f t="shared" si="1"/>
        <v>0.0726</v>
      </c>
      <c r="H12" s="138">
        <f t="shared" si="2"/>
        <v>145200</v>
      </c>
      <c r="I12" s="138">
        <v>2000000</v>
      </c>
      <c r="J12" s="138"/>
      <c r="K12" s="284"/>
    </row>
    <row r="13" spans="1:11" s="13" customFormat="1" ht="12.75">
      <c r="A13" s="125">
        <f t="shared" si="0"/>
        <v>9</v>
      </c>
      <c r="B13" s="133" t="s">
        <v>13</v>
      </c>
      <c r="C13" s="134">
        <v>0.0702</v>
      </c>
      <c r="D13" s="135">
        <v>35786</v>
      </c>
      <c r="E13" s="135">
        <v>46722</v>
      </c>
      <c r="F13" s="136">
        <v>98.98573577666666</v>
      </c>
      <c r="G13" s="137">
        <f t="shared" si="1"/>
        <v>0.071</v>
      </c>
      <c r="H13" s="138">
        <f t="shared" si="2"/>
        <v>21299999.999999996</v>
      </c>
      <c r="I13" s="138">
        <v>300000000</v>
      </c>
      <c r="J13" s="138"/>
      <c r="K13" s="284"/>
    </row>
    <row r="14" spans="1:11" ht="12.75">
      <c r="A14" s="125">
        <f t="shared" si="0"/>
        <v>10</v>
      </c>
      <c r="B14" s="133" t="s">
        <v>14</v>
      </c>
      <c r="C14" s="134">
        <v>0.07</v>
      </c>
      <c r="D14" s="135">
        <v>36228</v>
      </c>
      <c r="E14" s="135">
        <v>47186</v>
      </c>
      <c r="F14" s="136">
        <v>99.04287054999999</v>
      </c>
      <c r="G14" s="137">
        <f t="shared" si="1"/>
        <v>0.0708</v>
      </c>
      <c r="H14" s="138">
        <f t="shared" si="2"/>
        <v>7080000</v>
      </c>
      <c r="I14" s="138">
        <v>100000000</v>
      </c>
      <c r="J14" s="138"/>
      <c r="K14" s="285"/>
    </row>
    <row r="15" spans="1:11" ht="12.75">
      <c r="A15" s="125">
        <f t="shared" si="0"/>
        <v>11</v>
      </c>
      <c r="B15" s="139" t="s">
        <v>16</v>
      </c>
      <c r="C15" s="134">
        <v>0.039</v>
      </c>
      <c r="D15" s="140">
        <v>41417</v>
      </c>
      <c r="E15" s="140">
        <v>47908</v>
      </c>
      <c r="F15" s="136">
        <v>98.9391</v>
      </c>
      <c r="G15" s="137">
        <f t="shared" si="1"/>
        <v>0.0398</v>
      </c>
      <c r="H15" s="138">
        <f t="shared" si="2"/>
        <v>5510708</v>
      </c>
      <c r="I15" s="138">
        <v>138460000</v>
      </c>
      <c r="J15" s="138"/>
      <c r="K15" s="285"/>
    </row>
    <row r="16" spans="1:11" ht="12.75">
      <c r="A16" s="125">
        <f t="shared" si="0"/>
        <v>12</v>
      </c>
      <c r="B16" s="139" t="s">
        <v>16</v>
      </c>
      <c r="C16" s="134">
        <v>0.04</v>
      </c>
      <c r="D16" s="140">
        <v>41417</v>
      </c>
      <c r="E16" s="140">
        <v>47908</v>
      </c>
      <c r="F16" s="136">
        <v>98.9391</v>
      </c>
      <c r="G16" s="137">
        <f t="shared" si="1"/>
        <v>0.0408</v>
      </c>
      <c r="H16" s="138">
        <f t="shared" si="2"/>
        <v>954720.0000000001</v>
      </c>
      <c r="I16" s="138">
        <v>23400000</v>
      </c>
      <c r="J16" s="138"/>
      <c r="K16" s="285"/>
    </row>
    <row r="17" spans="1:11" ht="12.75">
      <c r="A17" s="125">
        <f t="shared" si="0"/>
        <v>13</v>
      </c>
      <c r="B17" s="133" t="s">
        <v>45</v>
      </c>
      <c r="C17" s="134">
        <v>0.05483</v>
      </c>
      <c r="D17" s="135">
        <v>38499</v>
      </c>
      <c r="E17" s="135">
        <v>49461</v>
      </c>
      <c r="F17" s="136">
        <v>84.886606836</v>
      </c>
      <c r="G17" s="137">
        <f t="shared" si="1"/>
        <v>0.0665</v>
      </c>
      <c r="H17" s="141">
        <f t="shared" si="2"/>
        <v>16625000</v>
      </c>
      <c r="I17" s="138">
        <v>250000000</v>
      </c>
      <c r="J17" s="138"/>
      <c r="K17" s="285"/>
    </row>
    <row r="18" spans="1:11" ht="12.75">
      <c r="A18" s="125">
        <f t="shared" si="0"/>
        <v>14</v>
      </c>
      <c r="B18" s="133" t="s">
        <v>45</v>
      </c>
      <c r="C18" s="134">
        <v>0.06724</v>
      </c>
      <c r="D18" s="135">
        <v>38898</v>
      </c>
      <c r="E18" s="135">
        <v>49841</v>
      </c>
      <c r="F18" s="136">
        <v>107.515271756</v>
      </c>
      <c r="G18" s="137">
        <f t="shared" si="1"/>
        <v>0.0617</v>
      </c>
      <c r="H18" s="141">
        <f t="shared" si="2"/>
        <v>15425000</v>
      </c>
      <c r="I18" s="138">
        <v>250000000</v>
      </c>
      <c r="J18" s="138"/>
      <c r="K18" s="285"/>
    </row>
    <row r="19" spans="1:11" ht="12.75">
      <c r="A19" s="125">
        <f t="shared" si="0"/>
        <v>15</v>
      </c>
      <c r="B19" s="133" t="s">
        <v>45</v>
      </c>
      <c r="C19" s="134">
        <v>0.06274</v>
      </c>
      <c r="D19" s="135">
        <v>38978</v>
      </c>
      <c r="E19" s="135">
        <v>50114</v>
      </c>
      <c r="F19" s="136">
        <v>98.8127</v>
      </c>
      <c r="G19" s="137">
        <f t="shared" si="1"/>
        <v>0.0636</v>
      </c>
      <c r="H19" s="141">
        <f t="shared" si="2"/>
        <v>19080000</v>
      </c>
      <c r="I19" s="138">
        <v>300000000</v>
      </c>
      <c r="J19" s="138"/>
      <c r="K19" s="285"/>
    </row>
    <row r="20" spans="1:11" ht="12.75">
      <c r="A20" s="125">
        <f t="shared" si="0"/>
        <v>16</v>
      </c>
      <c r="B20" s="133" t="s">
        <v>45</v>
      </c>
      <c r="C20" s="134">
        <v>0.05757</v>
      </c>
      <c r="D20" s="135">
        <v>40067</v>
      </c>
      <c r="E20" s="135">
        <v>51058</v>
      </c>
      <c r="F20" s="136">
        <v>98.9836</v>
      </c>
      <c r="G20" s="137">
        <f t="shared" si="1"/>
        <v>0.0583</v>
      </c>
      <c r="H20" s="141">
        <f t="shared" si="2"/>
        <v>20405000</v>
      </c>
      <c r="I20" s="138">
        <v>350000000</v>
      </c>
      <c r="J20" s="138"/>
      <c r="K20" s="285"/>
    </row>
    <row r="21" spans="1:11" ht="12.75">
      <c r="A21" s="125">
        <f t="shared" si="0"/>
        <v>17</v>
      </c>
      <c r="B21" s="133" t="s">
        <v>45</v>
      </c>
      <c r="C21" s="134">
        <v>0.05795</v>
      </c>
      <c r="D21" s="135">
        <v>40245</v>
      </c>
      <c r="E21" s="135">
        <v>51210</v>
      </c>
      <c r="F21" s="136">
        <v>98.9588</v>
      </c>
      <c r="G21" s="137">
        <f t="shared" si="1"/>
        <v>0.0587</v>
      </c>
      <c r="H21" s="141">
        <f t="shared" si="2"/>
        <v>19077500</v>
      </c>
      <c r="I21" s="138">
        <v>325000000</v>
      </c>
      <c r="J21" s="138"/>
      <c r="K21" s="285"/>
    </row>
    <row r="22" spans="1:11" ht="12.75">
      <c r="A22" s="125">
        <f t="shared" si="0"/>
        <v>18</v>
      </c>
      <c r="B22" s="133" t="s">
        <v>45</v>
      </c>
      <c r="C22" s="134">
        <v>0.05764</v>
      </c>
      <c r="D22" s="135">
        <v>40358</v>
      </c>
      <c r="E22" s="135">
        <v>51332</v>
      </c>
      <c r="F22" s="136">
        <v>98.9652</v>
      </c>
      <c r="G22" s="137">
        <f t="shared" si="1"/>
        <v>0.0584</v>
      </c>
      <c r="H22" s="141">
        <f t="shared" si="2"/>
        <v>14600000</v>
      </c>
      <c r="I22" s="138">
        <v>250000000</v>
      </c>
      <c r="J22" s="138"/>
      <c r="K22" s="285"/>
    </row>
    <row r="23" spans="1:11" ht="12.75">
      <c r="A23" s="125">
        <f t="shared" si="0"/>
        <v>19</v>
      </c>
      <c r="B23" s="133" t="s">
        <v>45</v>
      </c>
      <c r="C23" s="134">
        <v>0.05638</v>
      </c>
      <c r="D23" s="135">
        <v>40627</v>
      </c>
      <c r="E23" s="135">
        <v>51606</v>
      </c>
      <c r="F23" s="136">
        <v>98.971</v>
      </c>
      <c r="G23" s="137">
        <f t="shared" si="1"/>
        <v>0.0571</v>
      </c>
      <c r="H23" s="141">
        <f t="shared" si="2"/>
        <v>17130000</v>
      </c>
      <c r="I23" s="138">
        <v>300000000</v>
      </c>
      <c r="J23" s="138"/>
      <c r="K23" s="285"/>
    </row>
    <row r="24" spans="1:11" ht="12.75">
      <c r="A24" s="125">
        <f t="shared" si="0"/>
        <v>20</v>
      </c>
      <c r="B24" s="133" t="s">
        <v>45</v>
      </c>
      <c r="C24" s="134">
        <v>0.04434</v>
      </c>
      <c r="D24" s="135">
        <v>40863</v>
      </c>
      <c r="E24" s="135">
        <v>51820</v>
      </c>
      <c r="F24" s="136">
        <v>98.963</v>
      </c>
      <c r="G24" s="137">
        <f t="shared" si="1"/>
        <v>0.045</v>
      </c>
      <c r="H24" s="141">
        <f t="shared" si="2"/>
        <v>11250000</v>
      </c>
      <c r="I24" s="138">
        <v>250000000</v>
      </c>
      <c r="J24" s="138"/>
      <c r="K24" s="285"/>
    </row>
    <row r="25" spans="1:11" ht="12.75">
      <c r="A25" s="125">
        <f t="shared" si="0"/>
        <v>21</v>
      </c>
      <c r="B25" s="133" t="s">
        <v>45</v>
      </c>
      <c r="C25" s="134">
        <v>0.047</v>
      </c>
      <c r="D25" s="135">
        <v>40869</v>
      </c>
      <c r="E25" s="135">
        <v>55472</v>
      </c>
      <c r="F25" s="136">
        <v>98.8639</v>
      </c>
      <c r="G25" s="137">
        <f t="shared" si="1"/>
        <v>0.0476</v>
      </c>
      <c r="H25" s="141">
        <f t="shared" si="2"/>
        <v>2142000</v>
      </c>
      <c r="I25" s="138">
        <v>45000000</v>
      </c>
      <c r="J25" s="138"/>
      <c r="K25" s="285"/>
    </row>
    <row r="26" spans="1:11" ht="12.75">
      <c r="A26" s="125">
        <f aca="true" t="shared" si="3" ref="A26:A33">A25+1</f>
        <v>22</v>
      </c>
      <c r="B26" s="133" t="s">
        <v>45</v>
      </c>
      <c r="C26" s="134">
        <v>0.043</v>
      </c>
      <c r="D26" s="135">
        <v>42150</v>
      </c>
      <c r="E26" s="135">
        <v>53102</v>
      </c>
      <c r="F26" s="136">
        <v>98.48334164941176</v>
      </c>
      <c r="G26" s="137">
        <f t="shared" si="1"/>
        <v>0.0439</v>
      </c>
      <c r="H26" s="142">
        <f t="shared" si="2"/>
        <v>18657500</v>
      </c>
      <c r="I26" s="143">
        <v>425000000</v>
      </c>
      <c r="J26" s="138"/>
      <c r="K26" s="285"/>
    </row>
    <row r="27" spans="1:11" ht="12.75">
      <c r="A27" s="125">
        <f t="shared" si="3"/>
        <v>23</v>
      </c>
      <c r="B27" s="144" t="s">
        <v>145</v>
      </c>
      <c r="C27" s="138"/>
      <c r="D27" s="145"/>
      <c r="E27" s="135"/>
      <c r="F27" s="135"/>
      <c r="G27" s="146"/>
      <c r="H27" s="147">
        <f>SUM(H10:H26)</f>
        <v>204124128</v>
      </c>
      <c r="I27" s="147">
        <f>SUM(I10:I26)</f>
        <v>3523860000</v>
      </c>
      <c r="J27" s="138"/>
      <c r="K27" s="285"/>
    </row>
    <row r="28" spans="1:10" ht="12.75">
      <c r="A28" s="125">
        <f t="shared" si="3"/>
        <v>24</v>
      </c>
      <c r="B28" s="148"/>
      <c r="C28" s="138"/>
      <c r="D28" s="145"/>
      <c r="E28" s="135"/>
      <c r="F28" s="135"/>
      <c r="G28" s="146"/>
      <c r="H28" s="149"/>
      <c r="I28" s="141"/>
      <c r="J28" s="138"/>
    </row>
    <row r="29" spans="1:10" ht="12.75">
      <c r="A29" s="125">
        <f t="shared" si="3"/>
        <v>25</v>
      </c>
      <c r="B29" s="148"/>
      <c r="C29" s="138"/>
      <c r="D29" s="145"/>
      <c r="E29" s="135"/>
      <c r="F29" s="135"/>
      <c r="G29" s="146"/>
      <c r="H29" s="149"/>
      <c r="I29" s="141"/>
      <c r="J29" s="138"/>
    </row>
    <row r="30" spans="1:9" ht="12.75">
      <c r="A30" s="125">
        <f t="shared" si="3"/>
        <v>26</v>
      </c>
      <c r="B30" s="148" t="s">
        <v>156</v>
      </c>
      <c r="C30" s="134">
        <v>0.06974</v>
      </c>
      <c r="D30" s="135">
        <v>39237</v>
      </c>
      <c r="E30" s="135">
        <v>61149</v>
      </c>
      <c r="F30" s="136">
        <v>98.2262</v>
      </c>
      <c r="G30" s="137">
        <f>ROUND(H30/I30,4)</f>
        <v>0.0482</v>
      </c>
      <c r="H30" s="142">
        <f>'Pg 4 $250M Jr Sub Int Exp'!O17</f>
        <v>12058888</v>
      </c>
      <c r="I30" s="143">
        <v>250000000</v>
      </c>
    </row>
    <row r="31" spans="1:10" ht="12.75">
      <c r="A31" s="125">
        <f t="shared" si="3"/>
        <v>27</v>
      </c>
      <c r="B31" s="144" t="s">
        <v>146</v>
      </c>
      <c r="C31" s="138"/>
      <c r="D31" s="145"/>
      <c r="E31" s="135"/>
      <c r="F31" s="136"/>
      <c r="G31" s="149"/>
      <c r="H31" s="147">
        <f>H30</f>
        <v>12058888</v>
      </c>
      <c r="I31" s="150">
        <f>I30</f>
        <v>250000000</v>
      </c>
      <c r="J31" s="48"/>
    </row>
    <row r="32" spans="1:9" ht="12.75">
      <c r="A32" s="125">
        <f t="shared" si="3"/>
        <v>28</v>
      </c>
      <c r="B32" s="148"/>
      <c r="C32" s="138"/>
      <c r="D32" s="145"/>
      <c r="E32" s="135"/>
      <c r="F32" s="136"/>
      <c r="G32" s="149"/>
      <c r="H32" s="141"/>
      <c r="I32" s="138"/>
    </row>
    <row r="33" spans="1:9" ht="13.5" thickBot="1">
      <c r="A33" s="125">
        <f t="shared" si="3"/>
        <v>29</v>
      </c>
      <c r="B33" s="151" t="s">
        <v>147</v>
      </c>
      <c r="C33" s="152"/>
      <c r="D33" s="145"/>
      <c r="E33" s="135"/>
      <c r="F33" s="147"/>
      <c r="G33" s="153">
        <f>H33/I33</f>
        <v>0.05728432321283779</v>
      </c>
      <c r="H33" s="154">
        <f>H27+H31</f>
        <v>216183016</v>
      </c>
      <c r="I33" s="155">
        <f>I27+I31</f>
        <v>3773860000</v>
      </c>
    </row>
    <row r="34" spans="1:9" ht="13.5" thickTop="1">
      <c r="A34" s="125">
        <f t="shared" si="0"/>
        <v>30</v>
      </c>
      <c r="B34" s="152"/>
      <c r="C34" s="152"/>
      <c r="D34" s="145"/>
      <c r="E34" s="135"/>
      <c r="F34" s="147"/>
      <c r="G34" s="156"/>
      <c r="H34" s="156"/>
      <c r="I34" s="147"/>
    </row>
    <row r="35" spans="1:9" ht="12.75">
      <c r="A35" s="125">
        <f t="shared" si="0"/>
        <v>31</v>
      </c>
      <c r="B35" s="157" t="s">
        <v>128</v>
      </c>
      <c r="C35" s="157"/>
      <c r="D35" s="145"/>
      <c r="E35" s="135"/>
      <c r="F35" s="147"/>
      <c r="G35" s="158">
        <f>_xlfn.IFERROR(ROUND(H35/I35,4),0)</f>
        <v>0.0306</v>
      </c>
      <c r="H35" s="141">
        <f>'Pg 3 STD Int &amp; Fees-Details'!P28</f>
        <v>2289996.976171932</v>
      </c>
      <c r="I35" s="159">
        <f>'Pg 3 STD Int &amp; Fees-Details'!P7*1000</f>
        <v>74729901</v>
      </c>
    </row>
    <row r="36" spans="1:9" ht="13.5" thickBot="1">
      <c r="A36" s="125">
        <f t="shared" si="0"/>
        <v>32</v>
      </c>
      <c r="B36" s="160" t="s">
        <v>129</v>
      </c>
      <c r="C36" s="160"/>
      <c r="D36" s="145"/>
      <c r="E36" s="135"/>
      <c r="F36" s="130" t="s">
        <v>133</v>
      </c>
      <c r="G36" s="161">
        <f>ROUND(H36/I36,4)</f>
        <v>0.0568</v>
      </c>
      <c r="H36" s="154">
        <f>H33+H35</f>
        <v>218473012.97617194</v>
      </c>
      <c r="I36" s="155">
        <f>I33+I35</f>
        <v>3848589901</v>
      </c>
    </row>
    <row r="37" spans="1:10" ht="13.5" thickTop="1">
      <c r="A37" s="125">
        <f t="shared" si="0"/>
        <v>33</v>
      </c>
      <c r="B37" s="160"/>
      <c r="C37" s="160"/>
      <c r="D37" s="145"/>
      <c r="E37" s="135"/>
      <c r="F37" s="135"/>
      <c r="G37" s="147"/>
      <c r="H37" s="162"/>
      <c r="I37" s="163"/>
      <c r="J37" s="164"/>
    </row>
    <row r="38" spans="1:10" ht="12.75">
      <c r="A38" s="125">
        <f t="shared" si="0"/>
        <v>34</v>
      </c>
      <c r="B38" s="160" t="s">
        <v>141</v>
      </c>
      <c r="C38" s="160"/>
      <c r="D38" s="145"/>
      <c r="E38" s="135"/>
      <c r="F38" s="135"/>
      <c r="H38" s="165">
        <f>I33</f>
        <v>3773860000</v>
      </c>
      <c r="I38" s="163"/>
      <c r="J38" s="164"/>
    </row>
    <row r="39" spans="1:10" ht="12.75">
      <c r="A39" s="125">
        <f t="shared" si="0"/>
        <v>35</v>
      </c>
      <c r="B39" s="160" t="s">
        <v>140</v>
      </c>
      <c r="C39" s="160"/>
      <c r="D39" s="145"/>
      <c r="E39" s="135"/>
      <c r="F39" s="135"/>
      <c r="H39" s="166">
        <f>'Pg 1 CofCap'!D18</f>
        <v>0.505</v>
      </c>
      <c r="I39" s="163"/>
      <c r="J39" s="164"/>
    </row>
    <row r="40" spans="1:10" ht="12.75">
      <c r="A40" s="125">
        <f t="shared" si="0"/>
        <v>36</v>
      </c>
      <c r="B40" s="160" t="s">
        <v>142</v>
      </c>
      <c r="C40" s="160"/>
      <c r="D40" s="145"/>
      <c r="E40" s="135"/>
      <c r="F40" s="135"/>
      <c r="H40" s="165">
        <f>I33/'Pg 1 CofCap'!D18</f>
        <v>7472990099.009901</v>
      </c>
      <c r="I40" s="163"/>
      <c r="J40" s="164"/>
    </row>
    <row r="41" spans="1:10" ht="12.75">
      <c r="A41" s="125">
        <f t="shared" si="0"/>
        <v>37</v>
      </c>
      <c r="B41" s="160"/>
      <c r="C41" s="160"/>
      <c r="D41" s="145"/>
      <c r="E41" s="135"/>
      <c r="F41" s="135"/>
      <c r="G41" s="147"/>
      <c r="H41" s="162"/>
      <c r="I41" s="163"/>
      <c r="J41" s="164"/>
    </row>
    <row r="42" spans="1:9" ht="12.75">
      <c r="A42" s="125">
        <f t="shared" si="0"/>
        <v>38</v>
      </c>
      <c r="B42" s="167" t="s">
        <v>157</v>
      </c>
      <c r="C42" s="168"/>
      <c r="D42" s="169"/>
      <c r="E42" s="169"/>
      <c r="F42" s="169"/>
      <c r="G42" s="169"/>
      <c r="H42" s="169"/>
      <c r="I42" s="169"/>
    </row>
    <row r="43" spans="1:9" ht="12.75">
      <c r="A43" s="125">
        <f t="shared" si="0"/>
        <v>39</v>
      </c>
      <c r="B43" s="167" t="s">
        <v>158</v>
      </c>
      <c r="C43" s="168"/>
      <c r="D43" s="169"/>
      <c r="E43" s="169"/>
      <c r="F43" s="169"/>
      <c r="G43" s="169"/>
      <c r="H43" s="170"/>
      <c r="I43" s="169"/>
    </row>
    <row r="44" spans="1:9" ht="22.5" customHeight="1">
      <c r="A44" s="125">
        <f t="shared" si="0"/>
        <v>40</v>
      </c>
      <c r="B44" s="282" t="s">
        <v>164</v>
      </c>
      <c r="C44" s="282"/>
      <c r="D44" s="282"/>
      <c r="E44" s="282"/>
      <c r="F44" s="282"/>
      <c r="G44" s="282"/>
      <c r="H44" s="282"/>
      <c r="I44" s="282"/>
    </row>
    <row r="45" spans="1:9" ht="23.25" customHeight="1">
      <c r="A45" s="125">
        <f t="shared" si="0"/>
        <v>41</v>
      </c>
      <c r="B45" s="282" t="s">
        <v>159</v>
      </c>
      <c r="C45" s="282"/>
      <c r="D45" s="282"/>
      <c r="E45" s="282"/>
      <c r="F45" s="282"/>
      <c r="G45" s="282"/>
      <c r="H45" s="282"/>
      <c r="I45" s="282"/>
    </row>
    <row r="46" spans="1:39" ht="12.75">
      <c r="A46" s="171"/>
      <c r="B46" s="33"/>
      <c r="C46" s="33"/>
      <c r="D46" s="33"/>
      <c r="E46" s="33"/>
      <c r="F46" s="169"/>
      <c r="H46" s="33"/>
      <c r="I46" s="169"/>
      <c r="J46" s="13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</row>
    <row r="47" spans="1:10" ht="12.75">
      <c r="A47" s="18"/>
      <c r="B47" s="41"/>
      <c r="C47" s="41"/>
      <c r="D47" s="41"/>
      <c r="E47" s="41"/>
      <c r="F47" s="41"/>
      <c r="G47" s="40"/>
      <c r="H47" s="41"/>
      <c r="I47" s="169"/>
      <c r="J47" s="148"/>
    </row>
    <row r="48" spans="1:10" ht="12.75">
      <c r="A48" s="18"/>
      <c r="B48" s="41"/>
      <c r="C48" s="41"/>
      <c r="D48" s="41"/>
      <c r="E48" s="41"/>
      <c r="F48" s="41"/>
      <c r="G48" s="39"/>
      <c r="H48" s="41"/>
      <c r="I48" s="33"/>
      <c r="J48" s="150"/>
    </row>
    <row r="49" spans="1:10" ht="12.75">
      <c r="A49" s="18"/>
      <c r="B49" s="13"/>
      <c r="C49" s="13"/>
      <c r="D49" s="13"/>
      <c r="E49" s="13"/>
      <c r="F49" s="13"/>
      <c r="G49" s="40"/>
      <c r="H49" s="13"/>
      <c r="I49" s="13"/>
      <c r="J49" s="18">
        <f>IF(J48&lt;&gt;0,"ERROR","")</f>
      </c>
    </row>
    <row r="50" spans="1:9" ht="12.75">
      <c r="A50" s="18"/>
      <c r="B50" s="13"/>
      <c r="C50" s="13"/>
      <c r="D50" s="13"/>
      <c r="E50" s="13"/>
      <c r="F50" s="13"/>
      <c r="G50" s="19"/>
      <c r="H50" s="13"/>
      <c r="I50" s="149"/>
    </row>
    <row r="51" spans="1:9" ht="12.75">
      <c r="A51" s="20"/>
      <c r="B51" s="21"/>
      <c r="C51" s="21"/>
      <c r="D51" s="22"/>
      <c r="E51" s="23"/>
      <c r="F51" s="23"/>
      <c r="G51" s="172"/>
      <c r="H51" s="25"/>
      <c r="I51" s="149"/>
    </row>
    <row r="52" spans="1:9" ht="12.75">
      <c r="A52" s="20"/>
      <c r="B52" s="21"/>
      <c r="C52" s="21"/>
      <c r="D52" s="22"/>
      <c r="E52" s="23"/>
      <c r="F52" s="23"/>
      <c r="G52" s="24"/>
      <c r="H52" s="25"/>
      <c r="I52" s="26"/>
    </row>
    <row r="53" spans="1:9" ht="12.75">
      <c r="A53" s="20"/>
      <c r="B53" s="21"/>
      <c r="C53" s="21"/>
      <c r="D53" s="22"/>
      <c r="E53" s="23"/>
      <c r="F53" s="23"/>
      <c r="G53" s="24"/>
      <c r="H53" s="25"/>
      <c r="I53" s="26"/>
    </row>
    <row r="54" spans="1:9" ht="12.75" hidden="1">
      <c r="A54" s="27"/>
      <c r="B54" s="13"/>
      <c r="C54" s="13"/>
      <c r="D54" s="13"/>
      <c r="E54" s="13"/>
      <c r="F54" s="13"/>
      <c r="G54" s="19"/>
      <c r="H54" s="13"/>
      <c r="I54" s="28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29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13"/>
    </row>
    <row r="57" spans="1:9" ht="12.75">
      <c r="A57" s="20"/>
      <c r="B57" s="21"/>
      <c r="C57" s="21"/>
      <c r="D57" s="22"/>
      <c r="E57" s="23"/>
      <c r="F57" s="23"/>
      <c r="G57" s="24"/>
      <c r="H57" s="25"/>
      <c r="I57" s="26"/>
    </row>
    <row r="58" spans="1:9" ht="12.75">
      <c r="A58" s="20"/>
      <c r="B58" s="21"/>
      <c r="C58" s="21"/>
      <c r="D58" s="22"/>
      <c r="E58" s="23"/>
      <c r="F58" s="23"/>
      <c r="G58" s="24"/>
      <c r="H58" s="25"/>
      <c r="I58" s="26"/>
    </row>
    <row r="59" spans="1:9" ht="12.75">
      <c r="A59" s="27"/>
      <c r="B59" s="13"/>
      <c r="C59" s="13"/>
      <c r="D59" s="13"/>
      <c r="E59" s="13"/>
      <c r="F59" s="13"/>
      <c r="G59" s="19"/>
      <c r="H59" s="13"/>
      <c r="I59" s="13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18"/>
      <c r="B68" s="13"/>
      <c r="C68" s="13"/>
      <c r="D68" s="21"/>
      <c r="E68" s="13"/>
      <c r="F68" s="13"/>
      <c r="G68" s="19"/>
      <c r="H68" s="13"/>
      <c r="I68" s="13"/>
    </row>
    <row r="69" spans="4:6" ht="12.75">
      <c r="D69" s="9"/>
      <c r="F69" s="15"/>
    </row>
    <row r="70" ht="12.75">
      <c r="D70" s="14"/>
    </row>
  </sheetData>
  <sheetProtection/>
  <mergeCells count="6">
    <mergeCell ref="G8:G9"/>
    <mergeCell ref="H8:H9"/>
    <mergeCell ref="F6:F9"/>
    <mergeCell ref="I6:I9"/>
    <mergeCell ref="B44:I44"/>
    <mergeCell ref="B45:I45"/>
  </mergeCells>
  <printOptions horizontalCentered="1"/>
  <pageMargins left="0.2" right="0.2" top="0.41" bottom="0.35" header="0.17" footer="0.17"/>
  <pageSetup fitToHeight="1" fitToWidth="1" horizontalDpi="600" verticalDpi="600" orientation="landscape" scale="92" r:id="rId1"/>
  <headerFooter alignWithMargins="0">
    <oddFooter>&amp;RExhibit No. ___(BJL-4)
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workbookViewId="0" topLeftCell="A1">
      <selection activeCell="A1" sqref="A1"/>
    </sheetView>
  </sheetViews>
  <sheetFormatPr defaultColWidth="10.5" defaultRowHeight="11.25"/>
  <cols>
    <col min="1" max="1" width="3.5" style="174" customWidth="1"/>
    <col min="2" max="2" width="32.33203125" style="174" customWidth="1"/>
    <col min="3" max="3" width="12.66015625" style="174" bestFit="1" customWidth="1"/>
    <col min="4" max="15" width="13.83203125" style="174" customWidth="1"/>
    <col min="16" max="16" width="14.33203125" style="174" customWidth="1"/>
    <col min="17" max="17" width="2" style="174" customWidth="1"/>
    <col min="18" max="18" width="8" style="174" bestFit="1" customWidth="1"/>
    <col min="19" max="16384" width="10.5" style="174" customWidth="1"/>
  </cols>
  <sheetData>
    <row r="1" spans="1:16" ht="12.75">
      <c r="A1" s="173"/>
      <c r="B1" s="121" t="s">
        <v>83</v>
      </c>
      <c r="C1" s="122"/>
      <c r="D1" s="122"/>
      <c r="E1" s="122"/>
      <c r="F1" s="122"/>
      <c r="G1" s="121"/>
      <c r="H1" s="122"/>
      <c r="I1" s="122"/>
      <c r="J1" s="121"/>
      <c r="K1" s="121"/>
      <c r="L1" s="122"/>
      <c r="M1" s="122"/>
      <c r="N1" s="122"/>
      <c r="O1" s="122"/>
      <c r="P1" s="121"/>
    </row>
    <row r="2" spans="1:16" ht="12.75">
      <c r="A2" s="173"/>
      <c r="B2" s="121" t="s">
        <v>84</v>
      </c>
      <c r="C2" s="122"/>
      <c r="D2" s="122"/>
      <c r="E2" s="122"/>
      <c r="F2" s="122"/>
      <c r="G2" s="121"/>
      <c r="H2" s="122"/>
      <c r="I2" s="122"/>
      <c r="J2" s="121"/>
      <c r="K2" s="121"/>
      <c r="L2" s="122"/>
      <c r="M2" s="122"/>
      <c r="N2" s="122"/>
      <c r="O2" s="122"/>
      <c r="P2" s="121"/>
    </row>
    <row r="3" spans="1:16" ht="13.5" customHeight="1">
      <c r="A3" s="173"/>
      <c r="B3" s="121" t="s">
        <v>72</v>
      </c>
      <c r="C3" s="122"/>
      <c r="D3" s="122"/>
      <c r="E3" s="122"/>
      <c r="F3" s="122"/>
      <c r="G3" s="121"/>
      <c r="H3" s="122"/>
      <c r="I3" s="122"/>
      <c r="J3" s="121"/>
      <c r="K3" s="121"/>
      <c r="L3" s="122"/>
      <c r="M3" s="122"/>
      <c r="N3" s="122"/>
      <c r="O3" s="122"/>
      <c r="P3" s="121"/>
    </row>
    <row r="4" spans="1:16" ht="12.75">
      <c r="A4" s="173"/>
      <c r="B4" s="175"/>
      <c r="C4" s="175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2">
      <c r="A5" s="176">
        <v>1</v>
      </c>
      <c r="B5" s="177" t="s">
        <v>1</v>
      </c>
      <c r="C5" s="177" t="s">
        <v>18</v>
      </c>
      <c r="D5" s="177" t="s">
        <v>28</v>
      </c>
      <c r="E5" s="177" t="s">
        <v>30</v>
      </c>
      <c r="F5" s="177" t="s">
        <v>31</v>
      </c>
      <c r="G5" s="177" t="s">
        <v>32</v>
      </c>
      <c r="H5" s="177" t="s">
        <v>33</v>
      </c>
      <c r="I5" s="177" t="s">
        <v>34</v>
      </c>
      <c r="J5" s="177" t="s">
        <v>35</v>
      </c>
      <c r="K5" s="177" t="s">
        <v>37</v>
      </c>
      <c r="L5" s="177" t="s">
        <v>38</v>
      </c>
      <c r="M5" s="177" t="s">
        <v>39</v>
      </c>
      <c r="N5" s="177" t="s">
        <v>40</v>
      </c>
      <c r="O5" s="177" t="s">
        <v>41</v>
      </c>
      <c r="P5" s="177" t="s">
        <v>42</v>
      </c>
    </row>
    <row r="6" spans="1:16" ht="12" customHeight="1">
      <c r="A6" s="176">
        <f>A5+1</f>
        <v>2</v>
      </c>
      <c r="B6" s="173"/>
      <c r="C6" s="178">
        <v>43100</v>
      </c>
      <c r="D6" s="178">
        <f>EOMONTH(C6,1)</f>
        <v>43131</v>
      </c>
      <c r="E6" s="178">
        <f aca="true" t="shared" si="0" ref="E6:O6">EOMONTH(D6,1)</f>
        <v>43159</v>
      </c>
      <c r="F6" s="178">
        <f t="shared" si="0"/>
        <v>43190</v>
      </c>
      <c r="G6" s="178">
        <f t="shared" si="0"/>
        <v>43220</v>
      </c>
      <c r="H6" s="178">
        <f t="shared" si="0"/>
        <v>43251</v>
      </c>
      <c r="I6" s="178">
        <f t="shared" si="0"/>
        <v>43281</v>
      </c>
      <c r="J6" s="178">
        <f t="shared" si="0"/>
        <v>43312</v>
      </c>
      <c r="K6" s="178">
        <f t="shared" si="0"/>
        <v>43343</v>
      </c>
      <c r="L6" s="178">
        <f t="shared" si="0"/>
        <v>43373</v>
      </c>
      <c r="M6" s="178">
        <f t="shared" si="0"/>
        <v>43404</v>
      </c>
      <c r="N6" s="178">
        <f t="shared" si="0"/>
        <v>43434</v>
      </c>
      <c r="O6" s="178">
        <f t="shared" si="0"/>
        <v>43465</v>
      </c>
      <c r="P6" s="179" t="s">
        <v>85</v>
      </c>
    </row>
    <row r="7" spans="1:16" ht="12">
      <c r="A7" s="176">
        <f>A6+1</f>
        <v>3</v>
      </c>
      <c r="B7" s="180" t="s">
        <v>86</v>
      </c>
      <c r="C7" s="181">
        <f>'Pg 2 Cost of Total Debt'!H40*'Pg 1 CofCap'!D14/1000</f>
        <v>74729.900990099</v>
      </c>
      <c r="D7" s="182">
        <f>C7</f>
        <v>74729.900990099</v>
      </c>
      <c r="E7" s="182">
        <f aca="true" t="shared" si="1" ref="E7:O7">D7</f>
        <v>74729.900990099</v>
      </c>
      <c r="F7" s="182">
        <f t="shared" si="1"/>
        <v>74729.900990099</v>
      </c>
      <c r="G7" s="182">
        <f t="shared" si="1"/>
        <v>74729.900990099</v>
      </c>
      <c r="H7" s="182">
        <f t="shared" si="1"/>
        <v>74729.900990099</v>
      </c>
      <c r="I7" s="182">
        <f t="shared" si="1"/>
        <v>74729.900990099</v>
      </c>
      <c r="J7" s="182">
        <f t="shared" si="1"/>
        <v>74729.900990099</v>
      </c>
      <c r="K7" s="182">
        <f t="shared" si="1"/>
        <v>74729.900990099</v>
      </c>
      <c r="L7" s="182">
        <f t="shared" si="1"/>
        <v>74729.900990099</v>
      </c>
      <c r="M7" s="182">
        <f t="shared" si="1"/>
        <v>74729.900990099</v>
      </c>
      <c r="N7" s="182">
        <f t="shared" si="1"/>
        <v>74729.900990099</v>
      </c>
      <c r="O7" s="182">
        <f t="shared" si="1"/>
        <v>74729.900990099</v>
      </c>
      <c r="P7" s="183">
        <f>ROUND(((C7+O7)+(SUM(D7:N7)*2))/24,3)</f>
        <v>74729.901</v>
      </c>
    </row>
    <row r="8" spans="1:16" ht="5.25" customHeight="1">
      <c r="A8" s="176"/>
      <c r="B8" s="184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</row>
    <row r="9" spans="1:16" ht="12">
      <c r="A9" s="176">
        <f>A7+1</f>
        <v>4</v>
      </c>
      <c r="B9" s="180" t="s">
        <v>87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2"/>
    </row>
    <row r="10" spans="1:16" ht="12">
      <c r="A10" s="176">
        <f>A9+1</f>
        <v>5</v>
      </c>
      <c r="B10" s="184" t="s">
        <v>88</v>
      </c>
      <c r="C10" s="181">
        <f>MIN(0.5*C7,125000)</f>
        <v>37364.9504950495</v>
      </c>
      <c r="D10" s="181">
        <f aca="true" t="shared" si="2" ref="D10:O10">MIN(0.5*D7,125000)</f>
        <v>37364.9504950495</v>
      </c>
      <c r="E10" s="181">
        <f t="shared" si="2"/>
        <v>37364.9504950495</v>
      </c>
      <c r="F10" s="181">
        <f t="shared" si="2"/>
        <v>37364.9504950495</v>
      </c>
      <c r="G10" s="181">
        <f t="shared" si="2"/>
        <v>37364.9504950495</v>
      </c>
      <c r="H10" s="181">
        <f t="shared" si="2"/>
        <v>37364.9504950495</v>
      </c>
      <c r="I10" s="181">
        <f t="shared" si="2"/>
        <v>37364.9504950495</v>
      </c>
      <c r="J10" s="181">
        <f t="shared" si="2"/>
        <v>37364.9504950495</v>
      </c>
      <c r="K10" s="181">
        <f t="shared" si="2"/>
        <v>37364.9504950495</v>
      </c>
      <c r="L10" s="181">
        <f t="shared" si="2"/>
        <v>37364.9504950495</v>
      </c>
      <c r="M10" s="181">
        <f t="shared" si="2"/>
        <v>37364.9504950495</v>
      </c>
      <c r="N10" s="181">
        <f t="shared" si="2"/>
        <v>37364.9504950495</v>
      </c>
      <c r="O10" s="181">
        <f t="shared" si="2"/>
        <v>37364.9504950495</v>
      </c>
      <c r="P10" s="183">
        <f>ROUND(((C10+O10)+(SUM(D10:N10)*2))/24,3)</f>
        <v>37364.95</v>
      </c>
    </row>
    <row r="11" spans="1:16" ht="12">
      <c r="A11" s="176">
        <f>A10+1</f>
        <v>6</v>
      </c>
      <c r="B11" s="184" t="s">
        <v>89</v>
      </c>
      <c r="C11" s="186">
        <f aca="true" t="shared" si="3" ref="C11:O11">C7-C10</f>
        <v>37364.9504950495</v>
      </c>
      <c r="D11" s="186">
        <f t="shared" si="3"/>
        <v>37364.9504950495</v>
      </c>
      <c r="E11" s="186">
        <f t="shared" si="3"/>
        <v>37364.9504950495</v>
      </c>
      <c r="F11" s="186">
        <f t="shared" si="3"/>
        <v>37364.9504950495</v>
      </c>
      <c r="G11" s="186">
        <f t="shared" si="3"/>
        <v>37364.9504950495</v>
      </c>
      <c r="H11" s="186">
        <f t="shared" si="3"/>
        <v>37364.9504950495</v>
      </c>
      <c r="I11" s="186">
        <f t="shared" si="3"/>
        <v>37364.9504950495</v>
      </c>
      <c r="J11" s="186">
        <f t="shared" si="3"/>
        <v>37364.9504950495</v>
      </c>
      <c r="K11" s="186">
        <f t="shared" si="3"/>
        <v>37364.9504950495</v>
      </c>
      <c r="L11" s="186">
        <f t="shared" si="3"/>
        <v>37364.9504950495</v>
      </c>
      <c r="M11" s="186">
        <f t="shared" si="3"/>
        <v>37364.9504950495</v>
      </c>
      <c r="N11" s="186">
        <f t="shared" si="3"/>
        <v>37364.9504950495</v>
      </c>
      <c r="O11" s="186">
        <f t="shared" si="3"/>
        <v>37364.9504950495</v>
      </c>
      <c r="P11" s="183">
        <f>ROUND(((C11+O11)+(SUM(D11:N11)*2))/24,3)</f>
        <v>37364.95</v>
      </c>
    </row>
    <row r="12" spans="1:16" ht="12">
      <c r="A12" s="176">
        <f>A11+1</f>
        <v>7</v>
      </c>
      <c r="B12" s="187" t="s">
        <v>90</v>
      </c>
      <c r="C12" s="188">
        <f aca="true" t="shared" si="4" ref="C12:O12">SUM(C10:C11)</f>
        <v>74729.900990099</v>
      </c>
      <c r="D12" s="188">
        <f t="shared" si="4"/>
        <v>74729.900990099</v>
      </c>
      <c r="E12" s="188">
        <f t="shared" si="4"/>
        <v>74729.900990099</v>
      </c>
      <c r="F12" s="188">
        <f t="shared" si="4"/>
        <v>74729.900990099</v>
      </c>
      <c r="G12" s="188">
        <f t="shared" si="4"/>
        <v>74729.900990099</v>
      </c>
      <c r="H12" s="188">
        <f t="shared" si="4"/>
        <v>74729.900990099</v>
      </c>
      <c r="I12" s="188">
        <f t="shared" si="4"/>
        <v>74729.900990099</v>
      </c>
      <c r="J12" s="188">
        <f t="shared" si="4"/>
        <v>74729.900990099</v>
      </c>
      <c r="K12" s="188">
        <f t="shared" si="4"/>
        <v>74729.900990099</v>
      </c>
      <c r="L12" s="188">
        <f t="shared" si="4"/>
        <v>74729.900990099</v>
      </c>
      <c r="M12" s="188">
        <f t="shared" si="4"/>
        <v>74729.900990099</v>
      </c>
      <c r="N12" s="188">
        <f t="shared" si="4"/>
        <v>74729.900990099</v>
      </c>
      <c r="O12" s="188">
        <f t="shared" si="4"/>
        <v>74729.900990099</v>
      </c>
      <c r="P12" s="189">
        <f>ROUND(((C12+O12)+(SUM(D12:N12)*2))/24,3)</f>
        <v>74729.901</v>
      </c>
    </row>
    <row r="13" spans="1:16" ht="5.25" customHeight="1">
      <c r="A13" s="176"/>
      <c r="B13" s="184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</row>
    <row r="14" spans="1:16" ht="13.5" customHeight="1">
      <c r="A14" s="176">
        <f>A12+1</f>
        <v>8</v>
      </c>
      <c r="B14" s="180" t="s">
        <v>74</v>
      </c>
      <c r="M14" s="190"/>
      <c r="N14" s="191"/>
      <c r="O14" s="192"/>
      <c r="P14" s="193"/>
    </row>
    <row r="15" spans="1:16" ht="12">
      <c r="A15" s="176">
        <f>A14+1</f>
        <v>9</v>
      </c>
      <c r="B15" s="184" t="s">
        <v>91</v>
      </c>
      <c r="C15" s="194">
        <v>0.011622491298664002</v>
      </c>
      <c r="D15" s="194">
        <v>0.01249261273852279</v>
      </c>
      <c r="E15" s="194">
        <v>0.013849321609762098</v>
      </c>
      <c r="F15" s="194">
        <v>0.015832550370044284</v>
      </c>
      <c r="G15" s="194">
        <v>0.018248595889657736</v>
      </c>
      <c r="H15" s="194">
        <v>0.020633412277431137</v>
      </c>
      <c r="I15" s="194">
        <v>0.02267421138705686</v>
      </c>
      <c r="J15" s="194">
        <v>0.024357579665769253</v>
      </c>
      <c r="K15" s="194">
        <v>0.025798379083167792</v>
      </c>
      <c r="L15" s="194">
        <v>0.027019947953289374</v>
      </c>
      <c r="M15" s="194">
        <v>0.028049149064538672</v>
      </c>
      <c r="N15" s="194">
        <v>0.02887059412462016</v>
      </c>
      <c r="O15" s="194">
        <v>0.02948253404003598</v>
      </c>
      <c r="P15" s="182"/>
    </row>
    <row r="16" spans="1:16" ht="12">
      <c r="A16" s="176">
        <f>A15+1</f>
        <v>10</v>
      </c>
      <c r="B16" s="184" t="s">
        <v>92</v>
      </c>
      <c r="C16" s="195">
        <v>0.0033</v>
      </c>
      <c r="D16" s="195">
        <f>C16</f>
        <v>0.0033</v>
      </c>
      <c r="E16" s="195">
        <f aca="true" t="shared" si="5" ref="E16:O17">D16</f>
        <v>0.0033</v>
      </c>
      <c r="F16" s="195">
        <f t="shared" si="5"/>
        <v>0.0033</v>
      </c>
      <c r="G16" s="195">
        <f t="shared" si="5"/>
        <v>0.0033</v>
      </c>
      <c r="H16" s="195">
        <f t="shared" si="5"/>
        <v>0.0033</v>
      </c>
      <c r="I16" s="195">
        <f t="shared" si="5"/>
        <v>0.0033</v>
      </c>
      <c r="J16" s="195">
        <f t="shared" si="5"/>
        <v>0.0033</v>
      </c>
      <c r="K16" s="195">
        <f t="shared" si="5"/>
        <v>0.0033</v>
      </c>
      <c r="L16" s="195">
        <f t="shared" si="5"/>
        <v>0.0033</v>
      </c>
      <c r="M16" s="195">
        <f t="shared" si="5"/>
        <v>0.0033</v>
      </c>
      <c r="N16" s="195">
        <f t="shared" si="5"/>
        <v>0.0033</v>
      </c>
      <c r="O16" s="195">
        <f t="shared" si="5"/>
        <v>0.0033</v>
      </c>
      <c r="P16" s="182"/>
    </row>
    <row r="17" spans="1:16" ht="12">
      <c r="A17" s="176">
        <f>A16+1</f>
        <v>11</v>
      </c>
      <c r="B17" s="184" t="s">
        <v>93</v>
      </c>
      <c r="C17" s="195">
        <v>0.0125</v>
      </c>
      <c r="D17" s="195">
        <f>C17</f>
        <v>0.0125</v>
      </c>
      <c r="E17" s="195">
        <f t="shared" si="5"/>
        <v>0.0125</v>
      </c>
      <c r="F17" s="195">
        <f t="shared" si="5"/>
        <v>0.0125</v>
      </c>
      <c r="G17" s="195">
        <f t="shared" si="5"/>
        <v>0.0125</v>
      </c>
      <c r="H17" s="195">
        <f t="shared" si="5"/>
        <v>0.0125</v>
      </c>
      <c r="I17" s="195">
        <f t="shared" si="5"/>
        <v>0.0125</v>
      </c>
      <c r="J17" s="195">
        <f t="shared" si="5"/>
        <v>0.0125</v>
      </c>
      <c r="K17" s="195">
        <f t="shared" si="5"/>
        <v>0.0125</v>
      </c>
      <c r="L17" s="195">
        <f t="shared" si="5"/>
        <v>0.0125</v>
      </c>
      <c r="M17" s="195">
        <f t="shared" si="5"/>
        <v>0.0125</v>
      </c>
      <c r="N17" s="195">
        <f t="shared" si="5"/>
        <v>0.0125</v>
      </c>
      <c r="O17" s="195">
        <f t="shared" si="5"/>
        <v>0.0125</v>
      </c>
      <c r="P17" s="182"/>
    </row>
    <row r="18" spans="1:16" ht="6" customHeight="1">
      <c r="A18" s="176"/>
      <c r="B18" s="184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82"/>
    </row>
    <row r="19" spans="1:16" ht="12" customHeight="1">
      <c r="A19" s="176">
        <f>A17+1</f>
        <v>12</v>
      </c>
      <c r="B19" s="180" t="s">
        <v>94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82"/>
    </row>
    <row r="20" spans="1:16" ht="12">
      <c r="A20" s="176">
        <f>A19+1</f>
        <v>13</v>
      </c>
      <c r="B20" s="197" t="s">
        <v>95</v>
      </c>
      <c r="C20" s="198">
        <f aca="true" t="shared" si="6" ref="C20:O20">C15+C16</f>
        <v>0.014922491298664003</v>
      </c>
      <c r="D20" s="198">
        <f t="shared" si="6"/>
        <v>0.01579261273852279</v>
      </c>
      <c r="E20" s="198">
        <f t="shared" si="6"/>
        <v>0.017149321609762097</v>
      </c>
      <c r="F20" s="198">
        <f t="shared" si="6"/>
        <v>0.019132550370044285</v>
      </c>
      <c r="G20" s="198">
        <f t="shared" si="6"/>
        <v>0.021548595889657737</v>
      </c>
      <c r="H20" s="198">
        <f t="shared" si="6"/>
        <v>0.023933412277431138</v>
      </c>
      <c r="I20" s="198">
        <f t="shared" si="6"/>
        <v>0.02597421138705686</v>
      </c>
      <c r="J20" s="198">
        <f t="shared" si="6"/>
        <v>0.027657579665769254</v>
      </c>
      <c r="K20" s="198">
        <f t="shared" si="6"/>
        <v>0.029098379083167793</v>
      </c>
      <c r="L20" s="198">
        <f t="shared" si="6"/>
        <v>0.030319947953289374</v>
      </c>
      <c r="M20" s="198">
        <f t="shared" si="6"/>
        <v>0.03134914906453867</v>
      </c>
      <c r="N20" s="198">
        <f t="shared" si="6"/>
        <v>0.03217059412462016</v>
      </c>
      <c r="O20" s="198">
        <f t="shared" si="6"/>
        <v>0.03278253404003598</v>
      </c>
      <c r="P20" s="182"/>
    </row>
    <row r="21" spans="1:16" ht="12">
      <c r="A21" s="176">
        <f>A20+1</f>
        <v>14</v>
      </c>
      <c r="B21" s="197" t="s">
        <v>89</v>
      </c>
      <c r="C21" s="198">
        <f aca="true" t="shared" si="7" ref="C21:O21">C15+C17</f>
        <v>0.024122491298664003</v>
      </c>
      <c r="D21" s="198">
        <f t="shared" si="7"/>
        <v>0.02499261273852279</v>
      </c>
      <c r="E21" s="198">
        <f t="shared" si="7"/>
        <v>0.026349321609762097</v>
      </c>
      <c r="F21" s="198">
        <f t="shared" si="7"/>
        <v>0.028332550370044285</v>
      </c>
      <c r="G21" s="198">
        <f t="shared" si="7"/>
        <v>0.030748595889657736</v>
      </c>
      <c r="H21" s="198">
        <f t="shared" si="7"/>
        <v>0.033133412277431135</v>
      </c>
      <c r="I21" s="198">
        <f t="shared" si="7"/>
        <v>0.035174211387056856</v>
      </c>
      <c r="J21" s="198">
        <f t="shared" si="7"/>
        <v>0.036857579665769254</v>
      </c>
      <c r="K21" s="198">
        <f t="shared" si="7"/>
        <v>0.03829837908316779</v>
      </c>
      <c r="L21" s="198">
        <f t="shared" si="7"/>
        <v>0.03951994795328938</v>
      </c>
      <c r="M21" s="198">
        <f t="shared" si="7"/>
        <v>0.04054914906453867</v>
      </c>
      <c r="N21" s="198">
        <f t="shared" si="7"/>
        <v>0.04137059412462016</v>
      </c>
      <c r="O21" s="198">
        <f t="shared" si="7"/>
        <v>0.041982534040035976</v>
      </c>
      <c r="P21" s="182"/>
    </row>
    <row r="22" spans="1:16" ht="5.25" customHeight="1">
      <c r="A22" s="176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</row>
    <row r="23" spans="1:16" ht="12">
      <c r="A23" s="176">
        <f>A21+1</f>
        <v>15</v>
      </c>
      <c r="B23" s="184" t="s">
        <v>96</v>
      </c>
      <c r="C23" s="184"/>
      <c r="D23" s="184">
        <f aca="true" t="shared" si="8" ref="D23:O23">D6-C6</f>
        <v>31</v>
      </c>
      <c r="E23" s="184">
        <f t="shared" si="8"/>
        <v>28</v>
      </c>
      <c r="F23" s="184">
        <f t="shared" si="8"/>
        <v>31</v>
      </c>
      <c r="G23" s="184">
        <f t="shared" si="8"/>
        <v>30</v>
      </c>
      <c r="H23" s="184">
        <f t="shared" si="8"/>
        <v>31</v>
      </c>
      <c r="I23" s="184">
        <f t="shared" si="8"/>
        <v>30</v>
      </c>
      <c r="J23" s="184">
        <f t="shared" si="8"/>
        <v>31</v>
      </c>
      <c r="K23" s="184">
        <f t="shared" si="8"/>
        <v>31</v>
      </c>
      <c r="L23" s="184">
        <f t="shared" si="8"/>
        <v>30</v>
      </c>
      <c r="M23" s="184">
        <f t="shared" si="8"/>
        <v>31</v>
      </c>
      <c r="N23" s="184">
        <f t="shared" si="8"/>
        <v>30</v>
      </c>
      <c r="O23" s="184">
        <f t="shared" si="8"/>
        <v>31</v>
      </c>
      <c r="P23" s="199"/>
    </row>
    <row r="24" spans="1:16" ht="3.75" customHeight="1">
      <c r="A24" s="176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99"/>
    </row>
    <row r="25" spans="1:16" ht="12">
      <c r="A25" s="176">
        <f>A23+1</f>
        <v>16</v>
      </c>
      <c r="B25" s="180" t="s">
        <v>97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200" t="s">
        <v>63</v>
      </c>
    </row>
    <row r="26" spans="1:16" ht="12">
      <c r="A26" s="176">
        <f>A25+1</f>
        <v>17</v>
      </c>
      <c r="B26" s="184" t="s">
        <v>98</v>
      </c>
      <c r="C26" s="184"/>
      <c r="D26" s="182">
        <f aca="true" t="shared" si="9" ref="D26:O26">AVERAGE(C10:D10)*(D20*D23/360)*1000</f>
        <v>50813.322188983766</v>
      </c>
      <c r="E26" s="182">
        <f t="shared" si="9"/>
        <v>49838.720786745595</v>
      </c>
      <c r="F26" s="182">
        <f t="shared" si="9"/>
        <v>61559.69644456422</v>
      </c>
      <c r="G26" s="182">
        <f t="shared" si="9"/>
        <v>67096.85155457404</v>
      </c>
      <c r="H26" s="182">
        <f t="shared" si="9"/>
        <v>77006.64920177376</v>
      </c>
      <c r="I26" s="182">
        <f t="shared" si="9"/>
        <v>80877.09355211089</v>
      </c>
      <c r="J26" s="182">
        <f t="shared" si="9"/>
        <v>88989.29707154178</v>
      </c>
      <c r="K26" s="182">
        <f t="shared" si="9"/>
        <v>93625.1230883089</v>
      </c>
      <c r="L26" s="182">
        <f t="shared" si="9"/>
        <v>94408.61285726125</v>
      </c>
      <c r="M26" s="182">
        <f t="shared" si="9"/>
        <v>100867.05969058574</v>
      </c>
      <c r="N26" s="182">
        <f t="shared" si="9"/>
        <v>100171.05473856356</v>
      </c>
      <c r="O26" s="182">
        <f t="shared" si="9"/>
        <v>105479.02946320779</v>
      </c>
      <c r="P26" s="183">
        <f>SUM(D26:O26)</f>
        <v>970732.5106382213</v>
      </c>
    </row>
    <row r="27" spans="1:16" ht="12">
      <c r="A27" s="176">
        <f>A26+1</f>
        <v>18</v>
      </c>
      <c r="B27" s="184" t="s">
        <v>99</v>
      </c>
      <c r="C27" s="184"/>
      <c r="D27" s="182">
        <f>AVERAGE(C11:D11)*(D21*D23/360)*1000</f>
        <v>80414.66630339519</v>
      </c>
      <c r="E27" s="182">
        <f aca="true" t="shared" si="10" ref="E27:O27">AVERAGE(D11:E11)*(E21*E23/360)*1000</f>
        <v>76575.41869653657</v>
      </c>
      <c r="F27" s="182">
        <f t="shared" si="10"/>
        <v>91161.04055897566</v>
      </c>
      <c r="G27" s="182">
        <f t="shared" si="10"/>
        <v>95743.31360077867</v>
      </c>
      <c r="H27" s="182">
        <f t="shared" si="10"/>
        <v>106607.9933161852</v>
      </c>
      <c r="I27" s="182">
        <f t="shared" si="10"/>
        <v>109523.55559831548</v>
      </c>
      <c r="J27" s="182">
        <f t="shared" si="10"/>
        <v>118590.6411859532</v>
      </c>
      <c r="K27" s="182">
        <f t="shared" si="10"/>
        <v>123226.46720272035</v>
      </c>
      <c r="L27" s="182">
        <f t="shared" si="10"/>
        <v>123055.07490346588</v>
      </c>
      <c r="M27" s="182">
        <f t="shared" si="10"/>
        <v>130468.40380499717</v>
      </c>
      <c r="N27" s="182">
        <f t="shared" si="10"/>
        <v>128817.51678476817</v>
      </c>
      <c r="O27" s="182">
        <f t="shared" si="10"/>
        <v>135080.37357761923</v>
      </c>
      <c r="P27" s="183">
        <f>SUM(D27:O27)</f>
        <v>1319264.4655337106</v>
      </c>
    </row>
    <row r="28" spans="1:16" ht="12.75" thickBot="1">
      <c r="A28" s="176">
        <f>A27+1</f>
        <v>19</v>
      </c>
      <c r="B28" s="201" t="s">
        <v>100</v>
      </c>
      <c r="C28" s="184"/>
      <c r="D28" s="202">
        <f aca="true" t="shared" si="11" ref="D28:O28">SUM(D26:D27)</f>
        <v>131227.98849237897</v>
      </c>
      <c r="E28" s="202">
        <f t="shared" si="11"/>
        <v>126414.13948328217</v>
      </c>
      <c r="F28" s="202">
        <f t="shared" si="11"/>
        <v>152720.73700353986</v>
      </c>
      <c r="G28" s="202">
        <f t="shared" si="11"/>
        <v>162840.1651553527</v>
      </c>
      <c r="H28" s="202">
        <f t="shared" si="11"/>
        <v>183614.64251795894</v>
      </c>
      <c r="I28" s="202">
        <f t="shared" si="11"/>
        <v>190400.64915042638</v>
      </c>
      <c r="J28" s="202">
        <f t="shared" si="11"/>
        <v>207579.93825749497</v>
      </c>
      <c r="K28" s="202">
        <f t="shared" si="11"/>
        <v>216851.59029102925</v>
      </c>
      <c r="L28" s="202">
        <f t="shared" si="11"/>
        <v>217463.68776072713</v>
      </c>
      <c r="M28" s="202">
        <f t="shared" si="11"/>
        <v>231335.46349558292</v>
      </c>
      <c r="N28" s="202">
        <f t="shared" si="11"/>
        <v>228988.57152333175</v>
      </c>
      <c r="O28" s="202">
        <f t="shared" si="11"/>
        <v>240559.40304082702</v>
      </c>
      <c r="P28" s="203">
        <f>SUM(D28:O28)</f>
        <v>2289996.976171932</v>
      </c>
    </row>
    <row r="29" spans="1:16" ht="5.25" customHeight="1" thickTop="1">
      <c r="A29" s="176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9"/>
    </row>
    <row r="30" spans="1:18" ht="12">
      <c r="A30" s="176">
        <f>A28+1</f>
        <v>20</v>
      </c>
      <c r="B30" s="173" t="s">
        <v>101</v>
      </c>
      <c r="C30" s="190"/>
      <c r="D30" s="204">
        <f aca="true" t="shared" si="12" ref="D30:O30">(+D28/1000)/((D12+C12)/2)*(360/D23)</f>
        <v>0.020392612738522786</v>
      </c>
      <c r="E30" s="204">
        <f t="shared" si="12"/>
        <v>0.021749321609762097</v>
      </c>
      <c r="F30" s="204">
        <f t="shared" si="12"/>
        <v>0.023732550370044285</v>
      </c>
      <c r="G30" s="204">
        <f t="shared" si="12"/>
        <v>0.026148595889657737</v>
      </c>
      <c r="H30" s="204">
        <f t="shared" si="12"/>
        <v>0.02853341227743113</v>
      </c>
      <c r="I30" s="204">
        <f t="shared" si="12"/>
        <v>0.03057421138705686</v>
      </c>
      <c r="J30" s="204">
        <f t="shared" si="12"/>
        <v>0.032257579665769254</v>
      </c>
      <c r="K30" s="204">
        <f t="shared" si="12"/>
        <v>0.0336983790831678</v>
      </c>
      <c r="L30" s="204">
        <f t="shared" si="12"/>
        <v>0.03491994795328938</v>
      </c>
      <c r="M30" s="204">
        <f t="shared" si="12"/>
        <v>0.03594914906453868</v>
      </c>
      <c r="N30" s="204">
        <f t="shared" si="12"/>
        <v>0.036770594124620165</v>
      </c>
      <c r="O30" s="204">
        <f t="shared" si="12"/>
        <v>0.03738253404003598</v>
      </c>
      <c r="P30" s="204">
        <f>ROUND(P28/(P7*1000),4)</f>
        <v>0.0306</v>
      </c>
      <c r="R30" s="204"/>
    </row>
    <row r="31" spans="1:16" ht="4.5" customHeight="1">
      <c r="A31" s="176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9"/>
    </row>
    <row r="32" spans="1:16" ht="12">
      <c r="A32" s="176">
        <f>A30+1</f>
        <v>21</v>
      </c>
      <c r="B32" s="180" t="s">
        <v>102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9"/>
    </row>
    <row r="33" spans="1:16" ht="12">
      <c r="A33" s="176">
        <f>A32+1</f>
        <v>22</v>
      </c>
      <c r="B33" s="184" t="s">
        <v>103</v>
      </c>
      <c r="C33" s="205">
        <v>1000000</v>
      </c>
      <c r="D33" s="181">
        <f>C33</f>
        <v>1000000</v>
      </c>
      <c r="E33" s="181">
        <f aca="true" t="shared" si="13" ref="E33:O33">D33</f>
        <v>1000000</v>
      </c>
      <c r="F33" s="181">
        <f t="shared" si="13"/>
        <v>1000000</v>
      </c>
      <c r="G33" s="181">
        <f t="shared" si="13"/>
        <v>1000000</v>
      </c>
      <c r="H33" s="181">
        <f t="shared" si="13"/>
        <v>1000000</v>
      </c>
      <c r="I33" s="181">
        <f t="shared" si="13"/>
        <v>1000000</v>
      </c>
      <c r="J33" s="181">
        <f t="shared" si="13"/>
        <v>1000000</v>
      </c>
      <c r="K33" s="181">
        <f t="shared" si="13"/>
        <v>1000000</v>
      </c>
      <c r="L33" s="181">
        <f t="shared" si="13"/>
        <v>1000000</v>
      </c>
      <c r="M33" s="181">
        <f t="shared" si="13"/>
        <v>1000000</v>
      </c>
      <c r="N33" s="181">
        <f t="shared" si="13"/>
        <v>1000000</v>
      </c>
      <c r="O33" s="181">
        <f t="shared" si="13"/>
        <v>1000000</v>
      </c>
      <c r="P33" s="199"/>
    </row>
    <row r="34" spans="1:16" ht="12">
      <c r="A34" s="176">
        <f>A33+1</f>
        <v>23</v>
      </c>
      <c r="B34" s="184" t="s">
        <v>104</v>
      </c>
      <c r="C34" s="182">
        <f aca="true" t="shared" si="14" ref="C34:O34">C11+C42</f>
        <v>37364.9504950495</v>
      </c>
      <c r="D34" s="182">
        <f t="shared" si="14"/>
        <v>37364.9504950495</v>
      </c>
      <c r="E34" s="182">
        <f t="shared" si="14"/>
        <v>37364.9504950495</v>
      </c>
      <c r="F34" s="182">
        <f t="shared" si="14"/>
        <v>37364.9504950495</v>
      </c>
      <c r="G34" s="182">
        <f t="shared" si="14"/>
        <v>37364.9504950495</v>
      </c>
      <c r="H34" s="182">
        <f t="shared" si="14"/>
        <v>37364.9504950495</v>
      </c>
      <c r="I34" s="182">
        <f t="shared" si="14"/>
        <v>37364.9504950495</v>
      </c>
      <c r="J34" s="182">
        <f t="shared" si="14"/>
        <v>37364.9504950495</v>
      </c>
      <c r="K34" s="182">
        <f t="shared" si="14"/>
        <v>37364.9504950495</v>
      </c>
      <c r="L34" s="182">
        <f t="shared" si="14"/>
        <v>37364.9504950495</v>
      </c>
      <c r="M34" s="182">
        <f t="shared" si="14"/>
        <v>37364.9504950495</v>
      </c>
      <c r="N34" s="182">
        <f t="shared" si="14"/>
        <v>37364.9504950495</v>
      </c>
      <c r="O34" s="182">
        <f t="shared" si="14"/>
        <v>37364.9504950495</v>
      </c>
      <c r="P34" s="199"/>
    </row>
    <row r="35" spans="1:16" ht="12">
      <c r="A35" s="176">
        <f>A34+1</f>
        <v>24</v>
      </c>
      <c r="B35" s="206" t="s">
        <v>105</v>
      </c>
      <c r="C35" s="207">
        <f>C33-C34</f>
        <v>962635.0495049505</v>
      </c>
      <c r="D35" s="207">
        <f aca="true" t="shared" si="15" ref="D35:O35">D33-D34</f>
        <v>962635.0495049505</v>
      </c>
      <c r="E35" s="207">
        <f t="shared" si="15"/>
        <v>962635.0495049505</v>
      </c>
      <c r="F35" s="207">
        <f t="shared" si="15"/>
        <v>962635.0495049505</v>
      </c>
      <c r="G35" s="207">
        <f t="shared" si="15"/>
        <v>962635.0495049505</v>
      </c>
      <c r="H35" s="207">
        <f t="shared" si="15"/>
        <v>962635.0495049505</v>
      </c>
      <c r="I35" s="207">
        <f t="shared" si="15"/>
        <v>962635.0495049505</v>
      </c>
      <c r="J35" s="207">
        <f t="shared" si="15"/>
        <v>962635.0495049505</v>
      </c>
      <c r="K35" s="207">
        <f t="shared" si="15"/>
        <v>962635.0495049505</v>
      </c>
      <c r="L35" s="207">
        <f t="shared" si="15"/>
        <v>962635.0495049505</v>
      </c>
      <c r="M35" s="207">
        <f t="shared" si="15"/>
        <v>962635.0495049505</v>
      </c>
      <c r="N35" s="207">
        <f t="shared" si="15"/>
        <v>962635.0495049505</v>
      </c>
      <c r="O35" s="207">
        <f t="shared" si="15"/>
        <v>962635.0495049505</v>
      </c>
      <c r="P35" s="199"/>
    </row>
    <row r="36" spans="1:16" ht="4.5" customHeight="1">
      <c r="A36" s="176"/>
      <c r="B36" s="187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99"/>
    </row>
    <row r="37" spans="1:16" ht="12">
      <c r="A37" s="176">
        <f>A35+1</f>
        <v>25</v>
      </c>
      <c r="B37" s="180" t="s">
        <v>106</v>
      </c>
      <c r="C37" s="208" t="s">
        <v>12</v>
      </c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9"/>
    </row>
    <row r="38" spans="1:16" ht="12">
      <c r="A38" s="176">
        <f>A37+1</f>
        <v>26</v>
      </c>
      <c r="B38" s="197" t="s">
        <v>107</v>
      </c>
      <c r="C38" s="209">
        <v>0.00175</v>
      </c>
      <c r="D38" s="182">
        <f aca="true" t="shared" si="16" ref="D38:O38">AVERAGE(C35:D35)*($C38*D$23/360)*1000</f>
        <v>145063.7539878988</v>
      </c>
      <c r="E38" s="182">
        <f t="shared" si="16"/>
        <v>131025.32618261827</v>
      </c>
      <c r="F38" s="182">
        <f t="shared" si="16"/>
        <v>145063.7539878988</v>
      </c>
      <c r="G38" s="182">
        <f t="shared" si="16"/>
        <v>140384.27805280525</v>
      </c>
      <c r="H38" s="182">
        <f t="shared" si="16"/>
        <v>145063.7539878988</v>
      </c>
      <c r="I38" s="182">
        <f t="shared" si="16"/>
        <v>140384.27805280525</v>
      </c>
      <c r="J38" s="182">
        <f t="shared" si="16"/>
        <v>145063.7539878988</v>
      </c>
      <c r="K38" s="182">
        <f t="shared" si="16"/>
        <v>145063.7539878988</v>
      </c>
      <c r="L38" s="182">
        <f t="shared" si="16"/>
        <v>140384.27805280525</v>
      </c>
      <c r="M38" s="182">
        <f t="shared" si="16"/>
        <v>145063.7539878988</v>
      </c>
      <c r="N38" s="182">
        <f t="shared" si="16"/>
        <v>140384.27805280525</v>
      </c>
      <c r="O38" s="182">
        <f t="shared" si="16"/>
        <v>145063.7539878988</v>
      </c>
      <c r="P38" s="183">
        <f>SUM(D38:O38)</f>
        <v>1708008.716309131</v>
      </c>
    </row>
    <row r="39" spans="1:18" ht="12.75" thickBot="1">
      <c r="A39" s="176">
        <f>A38+1</f>
        <v>27</v>
      </c>
      <c r="B39" s="201" t="s">
        <v>108</v>
      </c>
      <c r="C39" s="210"/>
      <c r="D39" s="211">
        <f aca="true" t="shared" si="17" ref="D39:O39">SUM(D38:D38)</f>
        <v>145063.7539878988</v>
      </c>
      <c r="E39" s="211">
        <f t="shared" si="17"/>
        <v>131025.32618261827</v>
      </c>
      <c r="F39" s="211">
        <f t="shared" si="17"/>
        <v>145063.7539878988</v>
      </c>
      <c r="G39" s="211">
        <f t="shared" si="17"/>
        <v>140384.27805280525</v>
      </c>
      <c r="H39" s="211">
        <f t="shared" si="17"/>
        <v>145063.7539878988</v>
      </c>
      <c r="I39" s="211">
        <f t="shared" si="17"/>
        <v>140384.27805280525</v>
      </c>
      <c r="J39" s="211">
        <f t="shared" si="17"/>
        <v>145063.7539878988</v>
      </c>
      <c r="K39" s="211">
        <f t="shared" si="17"/>
        <v>145063.7539878988</v>
      </c>
      <c r="L39" s="211">
        <f t="shared" si="17"/>
        <v>140384.27805280525</v>
      </c>
      <c r="M39" s="211">
        <f t="shared" si="17"/>
        <v>145063.7539878988</v>
      </c>
      <c r="N39" s="211">
        <f t="shared" si="17"/>
        <v>140384.27805280525</v>
      </c>
      <c r="O39" s="211">
        <f t="shared" si="17"/>
        <v>145063.7539878988</v>
      </c>
      <c r="P39" s="203">
        <f>SUM(D39:O39)</f>
        <v>1708008.716309131</v>
      </c>
      <c r="R39" s="212"/>
    </row>
    <row r="40" spans="1:16" ht="6" customHeight="1" thickTop="1">
      <c r="A40" s="176"/>
      <c r="B40" s="213"/>
      <c r="C40" s="214"/>
      <c r="D40" s="214"/>
      <c r="E40" s="214"/>
      <c r="F40" s="214"/>
      <c r="G40" s="214"/>
      <c r="H40" s="173"/>
      <c r="I40" s="173"/>
      <c r="J40" s="173"/>
      <c r="K40" s="173"/>
      <c r="L40" s="173"/>
      <c r="M40" s="173"/>
      <c r="N40" s="173"/>
      <c r="O40" s="173"/>
      <c r="P40" s="173"/>
    </row>
    <row r="41" spans="1:16" ht="12" customHeight="1">
      <c r="A41" s="176">
        <f>A39+1</f>
        <v>28</v>
      </c>
      <c r="B41" s="180" t="s">
        <v>109</v>
      </c>
      <c r="C41" s="215">
        <v>0.01</v>
      </c>
      <c r="D41" s="214"/>
      <c r="E41" s="214"/>
      <c r="F41" s="214"/>
      <c r="G41" s="214"/>
      <c r="H41" s="173"/>
      <c r="I41" s="173"/>
      <c r="J41" s="173"/>
      <c r="K41" s="173"/>
      <c r="L41" s="173"/>
      <c r="M41" s="173"/>
      <c r="N41" s="173"/>
      <c r="O41" s="173"/>
      <c r="P41" s="173"/>
    </row>
    <row r="42" spans="1:16" ht="12" customHeight="1">
      <c r="A42" s="176">
        <f>A41+1</f>
        <v>29</v>
      </c>
      <c r="B42" s="184" t="s">
        <v>110</v>
      </c>
      <c r="C42" s="181"/>
      <c r="D42" s="205">
        <v>0</v>
      </c>
      <c r="E42" s="205">
        <f aca="true" t="shared" si="18" ref="E42:O42">D42</f>
        <v>0</v>
      </c>
      <c r="F42" s="205">
        <f t="shared" si="18"/>
        <v>0</v>
      </c>
      <c r="G42" s="205">
        <f t="shared" si="18"/>
        <v>0</v>
      </c>
      <c r="H42" s="205">
        <f t="shared" si="18"/>
        <v>0</v>
      </c>
      <c r="I42" s="205">
        <f t="shared" si="18"/>
        <v>0</v>
      </c>
      <c r="J42" s="205">
        <f t="shared" si="18"/>
        <v>0</v>
      </c>
      <c r="K42" s="205">
        <f t="shared" si="18"/>
        <v>0</v>
      </c>
      <c r="L42" s="205">
        <f t="shared" si="18"/>
        <v>0</v>
      </c>
      <c r="M42" s="205">
        <f t="shared" si="18"/>
        <v>0</v>
      </c>
      <c r="N42" s="205">
        <f t="shared" si="18"/>
        <v>0</v>
      </c>
      <c r="O42" s="205">
        <f t="shared" si="18"/>
        <v>0</v>
      </c>
      <c r="P42" s="183"/>
    </row>
    <row r="43" spans="1:16" ht="12" customHeight="1">
      <c r="A43" s="176">
        <f>A42+1</f>
        <v>30</v>
      </c>
      <c r="B43" s="184" t="s">
        <v>111</v>
      </c>
      <c r="C43" s="181"/>
      <c r="D43" s="205">
        <f>3098.281+1000</f>
        <v>4098.281</v>
      </c>
      <c r="E43" s="205">
        <f>D43</f>
        <v>4098.281</v>
      </c>
      <c r="F43" s="205">
        <f>E43</f>
        <v>4098.281</v>
      </c>
      <c r="G43" s="205">
        <f>F43</f>
        <v>4098.281</v>
      </c>
      <c r="H43" s="205">
        <f>G43</f>
        <v>4098.281</v>
      </c>
      <c r="I43" s="205">
        <f>H43</f>
        <v>4098.281</v>
      </c>
      <c r="J43" s="205">
        <f>I43-385.851</f>
        <v>3712.43</v>
      </c>
      <c r="K43" s="205">
        <f>J43</f>
        <v>3712.43</v>
      </c>
      <c r="L43" s="205">
        <f>K43</f>
        <v>3712.43</v>
      </c>
      <c r="M43" s="205">
        <f>L43</f>
        <v>3712.43</v>
      </c>
      <c r="N43" s="205">
        <f>M43</f>
        <v>3712.43</v>
      </c>
      <c r="O43" s="205">
        <f>N43</f>
        <v>3712.43</v>
      </c>
      <c r="P43" s="183"/>
    </row>
    <row r="44" spans="1:18" ht="12" customHeight="1" thickBot="1">
      <c r="A44" s="176">
        <f>A43+1</f>
        <v>31</v>
      </c>
      <c r="B44" s="201" t="s">
        <v>160</v>
      </c>
      <c r="C44" s="215">
        <v>0.01</v>
      </c>
      <c r="D44" s="211">
        <f>D42*($C41*D$23/360)*1000+D43*($C44*D$23/360)*1000</f>
        <v>3529.0753055555556</v>
      </c>
      <c r="E44" s="211">
        <f aca="true" t="shared" si="19" ref="E44:O44">E42*($C41*E$23/360)*1000+E43*($C44*E$23/360)*1000</f>
        <v>3187.551888888889</v>
      </c>
      <c r="F44" s="211">
        <f t="shared" si="19"/>
        <v>3529.0753055555556</v>
      </c>
      <c r="G44" s="211">
        <f t="shared" si="19"/>
        <v>3415.2341666666666</v>
      </c>
      <c r="H44" s="211">
        <f t="shared" si="19"/>
        <v>3529.0753055555556</v>
      </c>
      <c r="I44" s="211">
        <f t="shared" si="19"/>
        <v>3415.2341666666666</v>
      </c>
      <c r="J44" s="211">
        <f t="shared" si="19"/>
        <v>3196.814722222222</v>
      </c>
      <c r="K44" s="211">
        <f t="shared" si="19"/>
        <v>3196.814722222222</v>
      </c>
      <c r="L44" s="211">
        <f t="shared" si="19"/>
        <v>3093.6916666666666</v>
      </c>
      <c r="M44" s="211">
        <f t="shared" si="19"/>
        <v>3196.814722222222</v>
      </c>
      <c r="N44" s="211">
        <f t="shared" si="19"/>
        <v>3093.6916666666666</v>
      </c>
      <c r="O44" s="211">
        <f t="shared" si="19"/>
        <v>3196.814722222222</v>
      </c>
      <c r="P44" s="203">
        <f>SUM(D44:O44)</f>
        <v>39579.88836111111</v>
      </c>
      <c r="R44" s="212"/>
    </row>
    <row r="45" spans="1:18" ht="12.75" customHeight="1" thickTop="1">
      <c r="A45" s="176"/>
      <c r="B45" s="201"/>
      <c r="C45" s="216"/>
      <c r="D45" s="182"/>
      <c r="E45" s="182"/>
      <c r="F45" s="217"/>
      <c r="G45" s="182"/>
      <c r="H45" s="182"/>
      <c r="I45" s="182"/>
      <c r="J45" s="182"/>
      <c r="K45" s="182"/>
      <c r="L45" s="182"/>
      <c r="M45" s="182"/>
      <c r="N45" s="182"/>
      <c r="O45" s="218" t="s">
        <v>112</v>
      </c>
      <c r="P45" s="183">
        <f>P39+P44</f>
        <v>1747588.604670242</v>
      </c>
      <c r="R45" s="212"/>
    </row>
    <row r="46" spans="1:18" ht="12.75" customHeight="1">
      <c r="A46" s="176"/>
      <c r="B46" s="201"/>
      <c r="C46" s="216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218" t="s">
        <v>130</v>
      </c>
      <c r="P46" s="183">
        <f>'Pg 2 Cost of Total Debt'!H40</f>
        <v>7472990099.009901</v>
      </c>
      <c r="R46" s="212"/>
    </row>
    <row r="47" spans="1:18" ht="12.75" customHeight="1">
      <c r="A47" s="176"/>
      <c r="B47" s="201"/>
      <c r="C47" s="216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218" t="s">
        <v>113</v>
      </c>
      <c r="P47" s="219">
        <f>ROUND(P45/P46,4)</f>
        <v>0.0002</v>
      </c>
      <c r="R47" s="212"/>
    </row>
    <row r="48" spans="1:18" ht="12" customHeight="1">
      <c r="A48" s="176"/>
      <c r="B48" s="201"/>
      <c r="C48" s="216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219"/>
      <c r="R48" s="212"/>
    </row>
    <row r="49" spans="1:16" ht="6" customHeight="1">
      <c r="A49" s="176"/>
      <c r="B49" s="213"/>
      <c r="C49" s="214"/>
      <c r="D49" s="214"/>
      <c r="E49" s="214"/>
      <c r="F49" s="214"/>
      <c r="G49" s="214"/>
      <c r="H49" s="173"/>
      <c r="I49" s="173"/>
      <c r="J49" s="173"/>
      <c r="K49" s="173"/>
      <c r="L49" s="173"/>
      <c r="M49" s="173"/>
      <c r="N49" s="173"/>
      <c r="O49" s="173"/>
      <c r="P49" s="173"/>
    </row>
    <row r="50" spans="1:16" ht="12">
      <c r="A50" s="176">
        <f>A44+1</f>
        <v>32</v>
      </c>
      <c r="B50" s="180" t="s">
        <v>153</v>
      </c>
      <c r="C50" s="214"/>
      <c r="D50" s="214"/>
      <c r="E50" s="214"/>
      <c r="F50" s="214"/>
      <c r="G50" s="214"/>
      <c r="H50" s="173"/>
      <c r="I50" s="173"/>
      <c r="J50" s="173"/>
      <c r="K50" s="173"/>
      <c r="L50" s="173"/>
      <c r="M50" s="173"/>
      <c r="N50" s="173"/>
      <c r="O50" s="173"/>
      <c r="P50" s="173"/>
    </row>
    <row r="51" spans="1:18" ht="12">
      <c r="A51" s="176">
        <f aca="true" t="shared" si="20" ref="A51:A57">A50+1</f>
        <v>33</v>
      </c>
      <c r="B51" s="197" t="s">
        <v>114</v>
      </c>
      <c r="C51" s="214"/>
      <c r="D51" s="205">
        <v>27618.66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05">
        <v>0</v>
      </c>
      <c r="O51" s="205">
        <v>0</v>
      </c>
      <c r="P51" s="183">
        <f aca="true" t="shared" si="21" ref="P51:P57">SUM(D51:O51)</f>
        <v>27618.66</v>
      </c>
      <c r="R51" s="210"/>
    </row>
    <row r="52" spans="1:16" ht="12">
      <c r="A52" s="176">
        <f t="shared" si="20"/>
        <v>34</v>
      </c>
      <c r="B52" s="197" t="s">
        <v>115</v>
      </c>
      <c r="C52" s="214"/>
      <c r="D52" s="205">
        <v>27618.66</v>
      </c>
      <c r="E52" s="205">
        <v>0</v>
      </c>
      <c r="F52" s="205">
        <v>0</v>
      </c>
      <c r="G52" s="205">
        <v>0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0</v>
      </c>
      <c r="N52" s="205">
        <v>0</v>
      </c>
      <c r="O52" s="205">
        <v>0</v>
      </c>
      <c r="P52" s="183">
        <f t="shared" si="21"/>
        <v>27618.66</v>
      </c>
    </row>
    <row r="53" spans="1:16" ht="12">
      <c r="A53" s="176">
        <f t="shared" si="20"/>
        <v>35</v>
      </c>
      <c r="B53" s="197" t="s">
        <v>116</v>
      </c>
      <c r="C53" s="214"/>
      <c r="D53" s="205">
        <v>36989.14</v>
      </c>
      <c r="E53" s="205">
        <v>36989.14</v>
      </c>
      <c r="F53" s="205">
        <v>36989.14</v>
      </c>
      <c r="G53" s="205">
        <v>36989.14</v>
      </c>
      <c r="H53" s="205">
        <v>36989.14</v>
      </c>
      <c r="I53" s="205">
        <v>36989.14</v>
      </c>
      <c r="J53" s="205">
        <v>36989.14</v>
      </c>
      <c r="K53" s="205">
        <v>36989.14</v>
      </c>
      <c r="L53" s="205">
        <v>36989.14</v>
      </c>
      <c r="M53" s="205">
        <v>36989.14</v>
      </c>
      <c r="N53" s="205">
        <v>36989.14</v>
      </c>
      <c r="O53" s="205">
        <v>36989.14</v>
      </c>
      <c r="P53" s="183">
        <f t="shared" si="21"/>
        <v>443869.6800000001</v>
      </c>
    </row>
    <row r="54" spans="1:16" ht="12">
      <c r="A54" s="176">
        <f t="shared" si="20"/>
        <v>36</v>
      </c>
      <c r="B54" s="197" t="s">
        <v>117</v>
      </c>
      <c r="C54" s="214"/>
      <c r="D54" s="205">
        <v>38474.94</v>
      </c>
      <c r="E54" s="205">
        <v>38474.94</v>
      </c>
      <c r="F54" s="205">
        <v>38474.94</v>
      </c>
      <c r="G54" s="205">
        <v>38474.94</v>
      </c>
      <c r="H54" s="205">
        <v>38474.94</v>
      </c>
      <c r="I54" s="205">
        <v>38474.94</v>
      </c>
      <c r="J54" s="205">
        <v>38474.94</v>
      </c>
      <c r="K54" s="205">
        <v>38474.94</v>
      </c>
      <c r="L54" s="205">
        <v>38474.94</v>
      </c>
      <c r="M54" s="205">
        <v>38474.94</v>
      </c>
      <c r="N54" s="205">
        <v>38474.94</v>
      </c>
      <c r="O54" s="205">
        <v>38474.94</v>
      </c>
      <c r="P54" s="183">
        <f t="shared" si="21"/>
        <v>461699.28</v>
      </c>
    </row>
    <row r="55" spans="1:16" ht="12">
      <c r="A55" s="176">
        <f t="shared" si="20"/>
        <v>37</v>
      </c>
      <c r="B55" s="197" t="s">
        <v>118</v>
      </c>
      <c r="C55" s="214"/>
      <c r="D55" s="205">
        <v>2285.1</v>
      </c>
      <c r="E55" s="205">
        <v>2285.1</v>
      </c>
      <c r="F55" s="205">
        <v>2285.1</v>
      </c>
      <c r="G55" s="205">
        <v>2285.1</v>
      </c>
      <c r="H55" s="205">
        <v>2285.1</v>
      </c>
      <c r="I55" s="205">
        <v>2285.1</v>
      </c>
      <c r="J55" s="205">
        <v>2285.1</v>
      </c>
      <c r="K55" s="205">
        <v>2285.1</v>
      </c>
      <c r="L55" s="205">
        <v>2285.1</v>
      </c>
      <c r="M55" s="205">
        <v>2285.1</v>
      </c>
      <c r="N55" s="205">
        <v>2285.1</v>
      </c>
      <c r="O55" s="205">
        <v>2285.1</v>
      </c>
      <c r="P55" s="183">
        <f t="shared" si="21"/>
        <v>27421.199999999993</v>
      </c>
    </row>
    <row r="56" spans="1:16" ht="12">
      <c r="A56" s="176">
        <f t="shared" si="20"/>
        <v>38</v>
      </c>
      <c r="B56" s="197" t="s">
        <v>119</v>
      </c>
      <c r="C56" s="214"/>
      <c r="D56" s="205">
        <v>8179.11</v>
      </c>
      <c r="E56" s="205">
        <v>8179.11</v>
      </c>
      <c r="F56" s="205">
        <v>8179.11</v>
      </c>
      <c r="G56" s="205">
        <v>8179.11</v>
      </c>
      <c r="H56" s="205">
        <v>8179.11</v>
      </c>
      <c r="I56" s="205">
        <v>8179.11</v>
      </c>
      <c r="J56" s="205">
        <v>8179.11</v>
      </c>
      <c r="K56" s="205">
        <v>8179.11</v>
      </c>
      <c r="L56" s="205">
        <v>8179.11</v>
      </c>
      <c r="M56" s="205">
        <v>8179.11</v>
      </c>
      <c r="N56" s="205">
        <v>8179.11</v>
      </c>
      <c r="O56" s="205">
        <v>8179.11</v>
      </c>
      <c r="P56" s="183">
        <f t="shared" si="21"/>
        <v>98149.31999999999</v>
      </c>
    </row>
    <row r="57" spans="1:18" ht="12" customHeight="1" thickBot="1">
      <c r="A57" s="176">
        <f t="shared" si="20"/>
        <v>39</v>
      </c>
      <c r="B57" s="201" t="s">
        <v>120</v>
      </c>
      <c r="C57" s="214"/>
      <c r="D57" s="220">
        <f>SUM(D51:D56)</f>
        <v>141165.61</v>
      </c>
      <c r="E57" s="220">
        <f aca="true" t="shared" si="22" ref="E57:O57">SUM(E51:E56)</f>
        <v>85928.29000000001</v>
      </c>
      <c r="F57" s="220">
        <f t="shared" si="22"/>
        <v>85928.29000000001</v>
      </c>
      <c r="G57" s="220">
        <f t="shared" si="22"/>
        <v>85928.29000000001</v>
      </c>
      <c r="H57" s="220">
        <f t="shared" si="22"/>
        <v>85928.29000000001</v>
      </c>
      <c r="I57" s="220">
        <f t="shared" si="22"/>
        <v>85928.29000000001</v>
      </c>
      <c r="J57" s="220">
        <f t="shared" si="22"/>
        <v>85928.29000000001</v>
      </c>
      <c r="K57" s="220">
        <f t="shared" si="22"/>
        <v>85928.29000000001</v>
      </c>
      <c r="L57" s="220">
        <f t="shared" si="22"/>
        <v>85928.29000000001</v>
      </c>
      <c r="M57" s="220">
        <f t="shared" si="22"/>
        <v>85928.29000000001</v>
      </c>
      <c r="N57" s="220">
        <f t="shared" si="22"/>
        <v>85928.29000000001</v>
      </c>
      <c r="O57" s="220">
        <f t="shared" si="22"/>
        <v>85928.29000000001</v>
      </c>
      <c r="P57" s="203">
        <f t="shared" si="21"/>
        <v>1086376.8000000003</v>
      </c>
      <c r="R57" s="212"/>
    </row>
    <row r="58" spans="1:18" ht="12" customHeight="1" thickTop="1">
      <c r="A58" s="176"/>
      <c r="B58" s="201"/>
      <c r="C58" s="214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18" t="s">
        <v>130</v>
      </c>
      <c r="P58" s="183">
        <f>'Pg 2 Cost of Total Debt'!$H$40</f>
        <v>7472990099.009901</v>
      </c>
      <c r="R58" s="212"/>
    </row>
    <row r="59" spans="1:18" ht="12" customHeight="1">
      <c r="A59" s="176"/>
      <c r="B59" s="201"/>
      <c r="C59" s="214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18" t="s">
        <v>121</v>
      </c>
      <c r="P59" s="219">
        <f>ROUND(P57/P58,4)</f>
        <v>0.0001</v>
      </c>
      <c r="R59" s="212"/>
    </row>
    <row r="60" spans="1:16" ht="12" customHeight="1">
      <c r="A60" s="176"/>
      <c r="P60" s="43"/>
    </row>
    <row r="61" spans="1:2" ht="12" customHeight="1">
      <c r="A61" s="176">
        <f>A57+1</f>
        <v>40</v>
      </c>
      <c r="B61" s="180" t="s">
        <v>161</v>
      </c>
    </row>
    <row r="62" spans="2:15" ht="12">
      <c r="B62" s="222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</row>
  </sheetData>
  <sheetProtection/>
  <printOptions horizontalCentered="1"/>
  <pageMargins left="0.27" right="0.23" top="0.61" bottom="0.77" header="0.27" footer="0.27"/>
  <pageSetup horizontalDpi="600" verticalDpi="600" orientation="landscape" scale="73" r:id="rId3"/>
  <headerFooter alignWithMargins="0">
    <oddFooter>&amp;R&amp;"Times New Roman,Regular"Exhibit No. ___(BJL-4)
Page 3 of 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3.66015625" style="243" bestFit="1" customWidth="1"/>
    <col min="2" max="2" width="30.83203125" style="243" customWidth="1"/>
    <col min="3" max="3" width="14.16015625" style="243" bestFit="1" customWidth="1"/>
    <col min="4" max="14" width="13" style="243" bestFit="1" customWidth="1"/>
    <col min="15" max="15" width="14.5" style="243" bestFit="1" customWidth="1"/>
    <col min="16" max="16384" width="9.16015625" style="243" customWidth="1"/>
  </cols>
  <sheetData>
    <row r="1" spans="2:16" s="16" customFormat="1" ht="12.75" customHeight="1">
      <c r="B1" s="121" t="s">
        <v>83</v>
      </c>
      <c r="C1" s="122"/>
      <c r="D1" s="122"/>
      <c r="E1" s="122"/>
      <c r="F1" s="122"/>
      <c r="G1" s="121"/>
      <c r="H1" s="122"/>
      <c r="I1" s="122"/>
      <c r="J1" s="121"/>
      <c r="K1" s="122"/>
      <c r="L1" s="122"/>
      <c r="M1" s="121"/>
      <c r="N1" s="122"/>
      <c r="O1" s="122"/>
      <c r="P1" s="224"/>
    </row>
    <row r="2" spans="2:16" s="16" customFormat="1" ht="13.5" customHeight="1">
      <c r="B2" s="121" t="s">
        <v>71</v>
      </c>
      <c r="C2" s="122"/>
      <c r="D2" s="122"/>
      <c r="E2" s="122"/>
      <c r="F2" s="122"/>
      <c r="G2" s="121"/>
      <c r="H2" s="122"/>
      <c r="I2" s="122"/>
      <c r="J2" s="121"/>
      <c r="K2" s="122"/>
      <c r="L2" s="122"/>
      <c r="M2" s="121"/>
      <c r="N2" s="122"/>
      <c r="O2" s="122"/>
      <c r="P2" s="224"/>
    </row>
    <row r="3" spans="2:16" s="16" customFormat="1" ht="14.25" customHeight="1">
      <c r="B3" s="121" t="s">
        <v>72</v>
      </c>
      <c r="C3" s="122"/>
      <c r="D3" s="122"/>
      <c r="E3" s="122"/>
      <c r="F3" s="122"/>
      <c r="G3" s="121"/>
      <c r="H3" s="122"/>
      <c r="I3" s="122"/>
      <c r="J3" s="121"/>
      <c r="K3" s="122"/>
      <c r="L3" s="122"/>
      <c r="M3" s="121"/>
      <c r="N3" s="122"/>
      <c r="O3" s="122"/>
      <c r="P3" s="224"/>
    </row>
    <row r="5" spans="1:22" s="225" customFormat="1" ht="12.75">
      <c r="A5" s="176">
        <v>1</v>
      </c>
      <c r="B5" s="53" t="s">
        <v>1</v>
      </c>
      <c r="C5" s="53" t="s">
        <v>18</v>
      </c>
      <c r="D5" s="53" t="s">
        <v>28</v>
      </c>
      <c r="E5" s="53" t="s">
        <v>30</v>
      </c>
      <c r="F5" s="53" t="s">
        <v>31</v>
      </c>
      <c r="G5" s="53" t="s">
        <v>32</v>
      </c>
      <c r="H5" s="53" t="s">
        <v>33</v>
      </c>
      <c r="I5" s="53" t="s">
        <v>34</v>
      </c>
      <c r="J5" s="53" t="s">
        <v>35</v>
      </c>
      <c r="K5" s="53" t="s">
        <v>37</v>
      </c>
      <c r="L5" s="53" t="s">
        <v>38</v>
      </c>
      <c r="M5" s="53" t="s">
        <v>39</v>
      </c>
      <c r="N5" s="53" t="s">
        <v>40</v>
      </c>
      <c r="O5" s="53" t="s">
        <v>41</v>
      </c>
      <c r="P5" s="53"/>
      <c r="Q5" s="53"/>
      <c r="R5" s="53"/>
      <c r="S5" s="53"/>
      <c r="T5" s="53"/>
      <c r="U5" s="53"/>
      <c r="V5" s="53"/>
    </row>
    <row r="6" spans="1:22" s="225" customFormat="1" ht="12.75">
      <c r="A6" s="176">
        <v>2</v>
      </c>
      <c r="B6" s="53"/>
      <c r="C6" s="178">
        <v>43131</v>
      </c>
      <c r="D6" s="178">
        <f>EOMONTH(C6,1)</f>
        <v>43159</v>
      </c>
      <c r="E6" s="178">
        <f aca="true" t="shared" si="0" ref="E6:N6">EOMONTH(D6,1)</f>
        <v>43190</v>
      </c>
      <c r="F6" s="178">
        <f t="shared" si="0"/>
        <v>43220</v>
      </c>
      <c r="G6" s="178">
        <f t="shared" si="0"/>
        <v>43251</v>
      </c>
      <c r="H6" s="178">
        <f t="shared" si="0"/>
        <v>43281</v>
      </c>
      <c r="I6" s="178">
        <f t="shared" si="0"/>
        <v>43312</v>
      </c>
      <c r="J6" s="178">
        <f t="shared" si="0"/>
        <v>43343</v>
      </c>
      <c r="K6" s="178">
        <f t="shared" si="0"/>
        <v>43373</v>
      </c>
      <c r="L6" s="178">
        <f t="shared" si="0"/>
        <v>43404</v>
      </c>
      <c r="M6" s="178">
        <f t="shared" si="0"/>
        <v>43434</v>
      </c>
      <c r="N6" s="178">
        <f t="shared" si="0"/>
        <v>43465</v>
      </c>
      <c r="O6" s="226"/>
      <c r="P6" s="53"/>
      <c r="Q6" s="53"/>
      <c r="R6" s="53"/>
      <c r="S6" s="53"/>
      <c r="T6" s="53"/>
      <c r="U6" s="53"/>
      <c r="V6" s="53"/>
    </row>
    <row r="7" spans="1:22" s="225" customFormat="1" ht="12.75">
      <c r="A7" s="176">
        <f aca="true" t="shared" si="1" ref="A7:A20">A6+1</f>
        <v>3</v>
      </c>
      <c r="B7" s="227" t="s">
        <v>73</v>
      </c>
      <c r="C7" s="228">
        <v>250000000</v>
      </c>
      <c r="D7" s="228">
        <v>250000000</v>
      </c>
      <c r="E7" s="228">
        <v>250000000</v>
      </c>
      <c r="F7" s="228">
        <v>250000000</v>
      </c>
      <c r="G7" s="228">
        <v>250000000</v>
      </c>
      <c r="H7" s="228">
        <v>250000000</v>
      </c>
      <c r="I7" s="228">
        <v>250000000</v>
      </c>
      <c r="J7" s="228">
        <v>250000000</v>
      </c>
      <c r="K7" s="228">
        <v>250000000</v>
      </c>
      <c r="L7" s="228">
        <v>250000000</v>
      </c>
      <c r="M7" s="228">
        <v>250000000</v>
      </c>
      <c r="N7" s="228">
        <v>250000000</v>
      </c>
      <c r="O7" s="53"/>
      <c r="P7" s="53"/>
      <c r="Q7" s="53"/>
      <c r="R7" s="53"/>
      <c r="S7" s="53"/>
      <c r="T7" s="53"/>
      <c r="U7" s="53"/>
      <c r="V7" s="53"/>
    </row>
    <row r="8" spans="1:22" s="225" customFormat="1" ht="11.25" customHeight="1">
      <c r="A8" s="176">
        <f t="shared" si="1"/>
        <v>4</v>
      </c>
      <c r="B8" s="229"/>
      <c r="C8" s="127"/>
      <c r="D8" s="230"/>
      <c r="E8" s="229"/>
      <c r="F8" s="229"/>
      <c r="G8" s="127"/>
      <c r="H8" s="127"/>
      <c r="I8" s="127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127"/>
    </row>
    <row r="9" spans="1:22" s="225" customFormat="1" ht="11.25" customHeight="1">
      <c r="A9" s="176">
        <f t="shared" si="1"/>
        <v>5</v>
      </c>
      <c r="B9" s="232" t="s">
        <v>74</v>
      </c>
      <c r="C9" s="127"/>
      <c r="D9" s="230"/>
      <c r="E9" s="229"/>
      <c r="F9" s="229"/>
      <c r="G9" s="127"/>
      <c r="H9" s="127"/>
      <c r="I9" s="127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127"/>
    </row>
    <row r="10" spans="1:22" s="225" customFormat="1" ht="11.25" customHeight="1">
      <c r="A10" s="176">
        <f t="shared" si="1"/>
        <v>6</v>
      </c>
      <c r="B10" s="233" t="s">
        <v>75</v>
      </c>
      <c r="C10" s="234"/>
      <c r="D10" s="234"/>
      <c r="E10" s="234"/>
      <c r="F10" s="234"/>
      <c r="G10" s="234"/>
      <c r="H10" s="234"/>
      <c r="I10" s="234"/>
      <c r="J10" s="234"/>
      <c r="K10" s="234"/>
      <c r="O10" s="231"/>
      <c r="P10" s="231"/>
      <c r="Q10" s="231"/>
      <c r="R10" s="231"/>
      <c r="S10" s="231"/>
      <c r="T10" s="231"/>
      <c r="U10" s="231"/>
      <c r="V10" s="127"/>
    </row>
    <row r="11" spans="1:22" s="225" customFormat="1" ht="11.25" customHeight="1">
      <c r="A11" s="176">
        <f t="shared" si="1"/>
        <v>7</v>
      </c>
      <c r="B11" s="235" t="s">
        <v>162</v>
      </c>
      <c r="C11" s="236">
        <v>0.0142</v>
      </c>
      <c r="D11" s="236">
        <v>0.0142</v>
      </c>
      <c r="E11" s="236">
        <v>0.0142</v>
      </c>
      <c r="F11" s="236">
        <v>0.0201</v>
      </c>
      <c r="G11" s="236">
        <v>0.0201</v>
      </c>
      <c r="H11" s="236">
        <v>0.0201</v>
      </c>
      <c r="I11" s="236">
        <v>0.0256</v>
      </c>
      <c r="J11" s="236">
        <v>0.0256</v>
      </c>
      <c r="K11" s="236">
        <v>0.0256</v>
      </c>
      <c r="L11" s="236">
        <v>0.029</v>
      </c>
      <c r="M11" s="236">
        <v>0.029</v>
      </c>
      <c r="N11" s="236">
        <v>0.029</v>
      </c>
      <c r="O11" s="231"/>
      <c r="P11" s="231"/>
      <c r="Q11" s="231"/>
      <c r="R11" s="231"/>
      <c r="S11" s="231"/>
      <c r="T11" s="231"/>
      <c r="U11" s="231"/>
      <c r="V11" s="127"/>
    </row>
    <row r="12" spans="1:22" s="225" customFormat="1" ht="11.25" customHeight="1">
      <c r="A12" s="176">
        <f t="shared" si="1"/>
        <v>8</v>
      </c>
      <c r="B12" s="235" t="s">
        <v>76</v>
      </c>
      <c r="C12" s="237">
        <v>0.0253</v>
      </c>
      <c r="D12" s="237">
        <v>0.0253</v>
      </c>
      <c r="E12" s="237">
        <v>0.0253</v>
      </c>
      <c r="F12" s="237">
        <v>0.0253</v>
      </c>
      <c r="G12" s="237">
        <v>0.0253</v>
      </c>
      <c r="H12" s="237">
        <v>0.0253</v>
      </c>
      <c r="I12" s="237">
        <v>0.0253</v>
      </c>
      <c r="J12" s="237">
        <v>0.0253</v>
      </c>
      <c r="K12" s="237">
        <v>0.0253</v>
      </c>
      <c r="L12" s="237">
        <v>0.0253</v>
      </c>
      <c r="M12" s="237">
        <v>0.0253</v>
      </c>
      <c r="N12" s="237">
        <v>0.0253</v>
      </c>
      <c r="O12" s="231"/>
      <c r="P12" s="231"/>
      <c r="Q12" s="231"/>
      <c r="R12" s="231"/>
      <c r="S12" s="231"/>
      <c r="T12" s="231"/>
      <c r="U12" s="231"/>
      <c r="V12" s="127"/>
    </row>
    <row r="13" spans="1:22" s="225" customFormat="1" ht="11.25" customHeight="1">
      <c r="A13" s="176">
        <f t="shared" si="1"/>
        <v>9</v>
      </c>
      <c r="B13" s="233" t="s">
        <v>75</v>
      </c>
      <c r="C13" s="238">
        <f>C11+C12</f>
        <v>0.0395</v>
      </c>
      <c r="D13" s="238">
        <f aca="true" t="shared" si="2" ref="D13:N13">D11+D12</f>
        <v>0.0395</v>
      </c>
      <c r="E13" s="238">
        <f t="shared" si="2"/>
        <v>0.0395</v>
      </c>
      <c r="F13" s="238">
        <f t="shared" si="2"/>
        <v>0.045399999999999996</v>
      </c>
      <c r="G13" s="238">
        <f t="shared" si="2"/>
        <v>0.045399999999999996</v>
      </c>
      <c r="H13" s="238">
        <f t="shared" si="2"/>
        <v>0.045399999999999996</v>
      </c>
      <c r="I13" s="238">
        <f t="shared" si="2"/>
        <v>0.0509</v>
      </c>
      <c r="J13" s="238">
        <f t="shared" si="2"/>
        <v>0.0509</v>
      </c>
      <c r="K13" s="238">
        <f t="shared" si="2"/>
        <v>0.0509</v>
      </c>
      <c r="L13" s="238">
        <f t="shared" si="2"/>
        <v>0.0543</v>
      </c>
      <c r="M13" s="238">
        <f t="shared" si="2"/>
        <v>0.0543</v>
      </c>
      <c r="N13" s="238">
        <f t="shared" si="2"/>
        <v>0.0543</v>
      </c>
      <c r="O13" s="231"/>
      <c r="P13" s="231"/>
      <c r="Q13" s="231"/>
      <c r="R13" s="231"/>
      <c r="S13" s="231"/>
      <c r="T13" s="231"/>
      <c r="U13" s="231"/>
      <c r="V13" s="127"/>
    </row>
    <row r="14" spans="1:22" s="225" customFormat="1" ht="11.25" customHeight="1">
      <c r="A14" s="176">
        <f t="shared" si="1"/>
        <v>10</v>
      </c>
      <c r="B14" s="233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1"/>
      <c r="P14" s="231"/>
      <c r="Q14" s="231"/>
      <c r="R14" s="231"/>
      <c r="S14" s="231"/>
      <c r="T14" s="231"/>
      <c r="U14" s="231"/>
      <c r="V14" s="127"/>
    </row>
    <row r="15" spans="1:22" s="225" customFormat="1" ht="11.25" customHeight="1">
      <c r="A15" s="176">
        <f t="shared" si="1"/>
        <v>11</v>
      </c>
      <c r="B15" s="233" t="s">
        <v>96</v>
      </c>
      <c r="C15" s="274">
        <v>31</v>
      </c>
      <c r="D15" s="274">
        <f>D6-C6</f>
        <v>28</v>
      </c>
      <c r="E15" s="274">
        <f aca="true" t="shared" si="3" ref="E15:N15">E6-D6</f>
        <v>31</v>
      </c>
      <c r="F15" s="274">
        <f t="shared" si="3"/>
        <v>30</v>
      </c>
      <c r="G15" s="274">
        <f t="shared" si="3"/>
        <v>31</v>
      </c>
      <c r="H15" s="274">
        <f t="shared" si="3"/>
        <v>30</v>
      </c>
      <c r="I15" s="274">
        <f t="shared" si="3"/>
        <v>31</v>
      </c>
      <c r="J15" s="274">
        <f t="shared" si="3"/>
        <v>31</v>
      </c>
      <c r="K15" s="274">
        <f t="shared" si="3"/>
        <v>30</v>
      </c>
      <c r="L15" s="274">
        <f t="shared" si="3"/>
        <v>31</v>
      </c>
      <c r="M15" s="274">
        <f t="shared" si="3"/>
        <v>30</v>
      </c>
      <c r="N15" s="274">
        <f t="shared" si="3"/>
        <v>31</v>
      </c>
      <c r="O15" s="231"/>
      <c r="P15" s="231"/>
      <c r="Q15" s="231"/>
      <c r="R15" s="231"/>
      <c r="S15" s="231"/>
      <c r="T15" s="231"/>
      <c r="U15" s="231"/>
      <c r="V15" s="127"/>
    </row>
    <row r="16" spans="1:22" s="225" customFormat="1" ht="11.25" customHeight="1">
      <c r="A16" s="176">
        <f t="shared" si="1"/>
        <v>12</v>
      </c>
      <c r="B16" s="229"/>
      <c r="C16" s="127"/>
      <c r="D16" s="230"/>
      <c r="E16" s="229"/>
      <c r="F16" s="229"/>
      <c r="G16" s="127"/>
      <c r="H16" s="127"/>
      <c r="I16" s="127"/>
      <c r="J16" s="231"/>
      <c r="K16" s="231"/>
      <c r="L16" s="231"/>
      <c r="M16" s="231"/>
      <c r="N16" s="231"/>
      <c r="O16" s="226" t="s">
        <v>9</v>
      </c>
      <c r="P16" s="231"/>
      <c r="Q16" s="231"/>
      <c r="R16" s="231"/>
      <c r="S16" s="231"/>
      <c r="T16" s="231"/>
      <c r="U16" s="231"/>
      <c r="V16" s="127"/>
    </row>
    <row r="17" spans="1:22" s="225" customFormat="1" ht="14.25" customHeight="1" thickBot="1">
      <c r="A17" s="176">
        <f t="shared" si="1"/>
        <v>13</v>
      </c>
      <c r="B17" s="233" t="s">
        <v>77</v>
      </c>
      <c r="C17" s="211">
        <f>ROUND(C7*(C13/360*C15),0)</f>
        <v>850347</v>
      </c>
      <c r="D17" s="211">
        <f aca="true" t="shared" si="4" ref="D17:N17">ROUND(D7*(D13/360*D15),0)</f>
        <v>768056</v>
      </c>
      <c r="E17" s="211">
        <f t="shared" si="4"/>
        <v>850347</v>
      </c>
      <c r="F17" s="211">
        <f t="shared" si="4"/>
        <v>945833</v>
      </c>
      <c r="G17" s="211">
        <f t="shared" si="4"/>
        <v>977361</v>
      </c>
      <c r="H17" s="211">
        <f t="shared" si="4"/>
        <v>945833</v>
      </c>
      <c r="I17" s="211">
        <f t="shared" si="4"/>
        <v>1095764</v>
      </c>
      <c r="J17" s="211">
        <f t="shared" si="4"/>
        <v>1095764</v>
      </c>
      <c r="K17" s="211">
        <f t="shared" si="4"/>
        <v>1060417</v>
      </c>
      <c r="L17" s="211">
        <f t="shared" si="4"/>
        <v>1168958</v>
      </c>
      <c r="M17" s="211">
        <f t="shared" si="4"/>
        <v>1131250</v>
      </c>
      <c r="N17" s="211">
        <f t="shared" si="4"/>
        <v>1168958</v>
      </c>
      <c r="O17" s="239">
        <f>SUM(C17:N17)</f>
        <v>12058888</v>
      </c>
      <c r="P17" s="231"/>
      <c r="Q17" s="231"/>
      <c r="R17" s="231"/>
      <c r="S17" s="231"/>
      <c r="T17" s="231"/>
      <c r="U17" s="231"/>
      <c r="V17" s="127"/>
    </row>
    <row r="18" spans="1:22" s="225" customFormat="1" ht="11.25" customHeight="1" thickTop="1">
      <c r="A18" s="176">
        <f t="shared" si="1"/>
        <v>14</v>
      </c>
      <c r="B18" s="233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1"/>
      <c r="P18" s="231"/>
      <c r="Q18" s="231"/>
      <c r="R18" s="231"/>
      <c r="S18" s="231"/>
      <c r="T18" s="231"/>
      <c r="U18" s="231"/>
      <c r="V18" s="127"/>
    </row>
    <row r="19" spans="1:22" s="225" customFormat="1" ht="11.25" customHeight="1">
      <c r="A19" s="176">
        <f t="shared" si="1"/>
        <v>15</v>
      </c>
      <c r="B19" s="233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1"/>
      <c r="P19" s="231"/>
      <c r="Q19" s="231"/>
      <c r="R19" s="231"/>
      <c r="S19" s="231"/>
      <c r="T19" s="231"/>
      <c r="U19" s="231"/>
      <c r="V19" s="127"/>
    </row>
    <row r="20" spans="1:2" ht="12">
      <c r="A20" s="176">
        <f t="shared" si="1"/>
        <v>16</v>
      </c>
      <c r="B20" s="242" t="s">
        <v>163</v>
      </c>
    </row>
    <row r="24" spans="3:14" ht="12"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</row>
    <row r="30" ht="12">
      <c r="C30" s="238"/>
    </row>
  </sheetData>
  <sheetProtection/>
  <printOptions/>
  <pageMargins left="0.7" right="0.7" top="0.75" bottom="0.75" header="0.3" footer="0.3"/>
  <pageSetup horizontalDpi="600" verticalDpi="600" orientation="landscape" scale="74" r:id="rId1"/>
  <headerFooter>
    <oddFooter>&amp;RExhibit No. ___(BJL-4)
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="90" zoomScaleSheetLayoutView="90" workbookViewId="0" topLeftCell="A1">
      <selection activeCell="A1" sqref="A1"/>
    </sheetView>
  </sheetViews>
  <sheetFormatPr defaultColWidth="8.83203125" defaultRowHeight="11.25"/>
  <cols>
    <col min="1" max="1" width="4.66015625" style="16" customWidth="1"/>
    <col min="2" max="2" width="46" style="16" customWidth="1"/>
    <col min="3" max="3" width="10.83203125" style="16" customWidth="1"/>
    <col min="4" max="4" width="11.83203125" style="16" customWidth="1"/>
    <col min="5" max="5" width="12.83203125" style="16" customWidth="1"/>
    <col min="6" max="6" width="15.83203125" style="16" customWidth="1"/>
    <col min="7" max="7" width="13" style="16" customWidth="1"/>
    <col min="8" max="10" width="13.83203125" style="16" customWidth="1"/>
    <col min="11" max="11" width="16.16015625" style="16" bestFit="1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83203125" style="16" customWidth="1"/>
  </cols>
  <sheetData>
    <row r="1" spans="2:12" ht="12.75" customHeight="1">
      <c r="B1" s="121" t="s">
        <v>83</v>
      </c>
      <c r="C1" s="122"/>
      <c r="D1" s="122"/>
      <c r="E1" s="122"/>
      <c r="F1" s="122"/>
      <c r="G1" s="121"/>
      <c r="H1" s="122"/>
      <c r="I1" s="122"/>
      <c r="J1" s="121"/>
      <c r="K1" s="122"/>
      <c r="L1" s="224"/>
    </row>
    <row r="2" spans="2:12" ht="12.75" customHeight="1">
      <c r="B2" s="121" t="s">
        <v>17</v>
      </c>
      <c r="C2" s="122"/>
      <c r="D2" s="122"/>
      <c r="E2" s="122"/>
      <c r="F2" s="122"/>
      <c r="G2" s="121"/>
      <c r="H2" s="122"/>
      <c r="I2" s="122"/>
      <c r="J2" s="121"/>
      <c r="K2" s="122"/>
      <c r="L2" s="224"/>
    </row>
    <row r="3" spans="2:12" ht="12.75" customHeight="1">
      <c r="B3" s="121" t="s">
        <v>72</v>
      </c>
      <c r="C3" s="122"/>
      <c r="D3" s="122"/>
      <c r="E3" s="122"/>
      <c r="F3" s="122"/>
      <c r="G3" s="121"/>
      <c r="H3" s="122"/>
      <c r="I3" s="122"/>
      <c r="J3" s="121"/>
      <c r="K3" s="122"/>
      <c r="L3" s="224"/>
    </row>
    <row r="4" spans="2:12" ht="12.75" customHeight="1">
      <c r="B4" s="245"/>
      <c r="C4" s="245"/>
      <c r="D4" s="245"/>
      <c r="E4" s="246"/>
      <c r="F4" s="246"/>
      <c r="G4" s="246"/>
      <c r="H4" s="246"/>
      <c r="I4" s="246"/>
      <c r="J4" s="246"/>
      <c r="K4" s="246"/>
      <c r="L4" s="224"/>
    </row>
    <row r="5" spans="1:12" ht="12.75" customHeight="1">
      <c r="A5" s="247">
        <v>1</v>
      </c>
      <c r="B5" s="53" t="s">
        <v>1</v>
      </c>
      <c r="C5" s="53" t="s">
        <v>18</v>
      </c>
      <c r="D5" s="53" t="s">
        <v>28</v>
      </c>
      <c r="E5" s="53" t="s">
        <v>30</v>
      </c>
      <c r="F5" s="53" t="s">
        <v>31</v>
      </c>
      <c r="G5" s="248" t="s">
        <v>32</v>
      </c>
      <c r="H5" s="53" t="s">
        <v>33</v>
      </c>
      <c r="I5" s="53" t="s">
        <v>34</v>
      </c>
      <c r="J5" s="53" t="s">
        <v>35</v>
      </c>
      <c r="K5" s="53" t="s">
        <v>37</v>
      </c>
      <c r="L5" s="224"/>
    </row>
    <row r="6" spans="1:12" ht="12.75" customHeight="1">
      <c r="A6" s="247">
        <f aca="true" t="shared" si="0" ref="A6:A34">A5+1</f>
        <v>2</v>
      </c>
      <c r="B6" s="249" t="s">
        <v>0</v>
      </c>
      <c r="C6" s="250" t="s">
        <v>10</v>
      </c>
      <c r="D6" s="251" t="s">
        <v>48</v>
      </c>
      <c r="E6" s="252" t="s">
        <v>59</v>
      </c>
      <c r="F6" s="252" t="s">
        <v>60</v>
      </c>
      <c r="G6" s="252" t="s">
        <v>60</v>
      </c>
      <c r="H6" s="252" t="s">
        <v>36</v>
      </c>
      <c r="I6" s="251" t="s">
        <v>78</v>
      </c>
      <c r="J6" s="252" t="s">
        <v>79</v>
      </c>
      <c r="K6" s="251" t="s">
        <v>11</v>
      </c>
      <c r="L6" s="224"/>
    </row>
    <row r="7" spans="1:12" ht="12.75" customHeight="1">
      <c r="A7" s="247">
        <f t="shared" si="0"/>
        <v>3</v>
      </c>
      <c r="B7" s="253" t="s">
        <v>10</v>
      </c>
      <c r="C7" s="254" t="s">
        <v>49</v>
      </c>
      <c r="D7" s="254" t="s">
        <v>49</v>
      </c>
      <c r="E7" s="254" t="s">
        <v>49</v>
      </c>
      <c r="F7" s="254" t="s">
        <v>10</v>
      </c>
      <c r="G7" s="254" t="s">
        <v>49</v>
      </c>
      <c r="H7" s="254" t="s">
        <v>61</v>
      </c>
      <c r="I7" s="255" t="s">
        <v>58</v>
      </c>
      <c r="J7" s="254" t="s">
        <v>80</v>
      </c>
      <c r="K7" s="254" t="s">
        <v>58</v>
      </c>
      <c r="L7" s="224"/>
    </row>
    <row r="8" spans="1:11" ht="12.75" customHeight="1">
      <c r="A8" s="247">
        <f t="shared" si="0"/>
        <v>4</v>
      </c>
      <c r="B8" s="256"/>
      <c r="C8" s="257"/>
      <c r="D8" s="257"/>
      <c r="E8" s="257"/>
      <c r="F8" s="257"/>
      <c r="G8" s="257"/>
      <c r="H8" s="258"/>
      <c r="I8" s="258"/>
      <c r="J8" s="258"/>
      <c r="K8" s="259"/>
    </row>
    <row r="9" spans="1:14" ht="12.75" customHeight="1">
      <c r="A9" s="247">
        <f>A8+1</f>
        <v>5</v>
      </c>
      <c r="B9" s="256" t="s">
        <v>56</v>
      </c>
      <c r="C9" s="257">
        <v>33410</v>
      </c>
      <c r="D9" s="257">
        <v>37063</v>
      </c>
      <c r="E9" s="257">
        <v>35961</v>
      </c>
      <c r="F9" s="257" t="s">
        <v>52</v>
      </c>
      <c r="G9" s="257">
        <v>35961</v>
      </c>
      <c r="H9" s="258">
        <v>43266</v>
      </c>
      <c r="I9" s="260">
        <v>291.57</v>
      </c>
      <c r="J9" s="261">
        <v>6</v>
      </c>
      <c r="K9" s="260">
        <f>ROUND(I9*J9,2)</f>
        <v>1749.42</v>
      </c>
      <c r="M9" s="260"/>
      <c r="N9" s="42"/>
    </row>
    <row r="10" spans="1:14" ht="12.75" customHeight="1">
      <c r="A10" s="247">
        <f t="shared" si="0"/>
        <v>6</v>
      </c>
      <c r="B10" s="262" t="s">
        <v>26</v>
      </c>
      <c r="C10" s="257">
        <v>33616</v>
      </c>
      <c r="D10" s="257">
        <f>DATE(2022,1,12)</f>
        <v>44573</v>
      </c>
      <c r="E10" s="263">
        <v>37701</v>
      </c>
      <c r="F10" s="263"/>
      <c r="G10" s="263"/>
      <c r="H10" s="258">
        <f>DATE(2022,1,12)</f>
        <v>44573</v>
      </c>
      <c r="I10" s="260">
        <v>95.08999999999999</v>
      </c>
      <c r="J10" s="261">
        <v>12</v>
      </c>
      <c r="K10" s="260">
        <f aca="true" t="shared" si="1" ref="K10:K26">ROUND(I10*J10,2)</f>
        <v>1141.08</v>
      </c>
      <c r="M10" s="260"/>
      <c r="N10" s="42"/>
    </row>
    <row r="11" spans="1:13" ht="12.75" customHeight="1">
      <c r="A11" s="247">
        <f t="shared" si="0"/>
        <v>7</v>
      </c>
      <c r="B11" s="262" t="s">
        <v>27</v>
      </c>
      <c r="C11" s="257">
        <v>33616</v>
      </c>
      <c r="D11" s="257">
        <f>DATE(2022,1,13)</f>
        <v>44574</v>
      </c>
      <c r="E11" s="263">
        <v>37701</v>
      </c>
      <c r="F11" s="263"/>
      <c r="G11" s="263"/>
      <c r="H11" s="258">
        <f>DATE(2022,1,13)</f>
        <v>44574</v>
      </c>
      <c r="I11" s="260">
        <v>221.88</v>
      </c>
      <c r="J11" s="261">
        <v>12</v>
      </c>
      <c r="K11" s="260">
        <f t="shared" si="1"/>
        <v>2662.56</v>
      </c>
      <c r="L11" s="264"/>
      <c r="M11" s="260"/>
    </row>
    <row r="12" spans="1:13" ht="12.75" customHeight="1">
      <c r="A12" s="247">
        <f t="shared" si="0"/>
        <v>8</v>
      </c>
      <c r="B12" s="262" t="s">
        <v>51</v>
      </c>
      <c r="C12" s="257">
        <v>33828</v>
      </c>
      <c r="D12" s="257">
        <v>44785</v>
      </c>
      <c r="E12" s="263">
        <v>37770</v>
      </c>
      <c r="F12" s="263"/>
      <c r="G12" s="263"/>
      <c r="H12" s="258">
        <v>44785</v>
      </c>
      <c r="I12" s="260">
        <v>5207.14</v>
      </c>
      <c r="J12" s="261">
        <v>12</v>
      </c>
      <c r="K12" s="260">
        <f t="shared" si="1"/>
        <v>62485.68</v>
      </c>
      <c r="M12" s="260"/>
    </row>
    <row r="13" spans="1:13" ht="12.75" customHeight="1">
      <c r="A13" s="247">
        <f t="shared" si="0"/>
        <v>9</v>
      </c>
      <c r="B13" s="262" t="s">
        <v>62</v>
      </c>
      <c r="C13" s="257">
        <v>34199</v>
      </c>
      <c r="D13" s="257">
        <v>45156</v>
      </c>
      <c r="E13" s="263">
        <v>37851</v>
      </c>
      <c r="H13" s="258">
        <v>45156</v>
      </c>
      <c r="I13" s="260">
        <v>887.9900000000001</v>
      </c>
      <c r="J13" s="261">
        <v>12</v>
      </c>
      <c r="K13" s="260">
        <f t="shared" si="1"/>
        <v>10655.88</v>
      </c>
      <c r="L13" s="264"/>
      <c r="M13" s="260"/>
    </row>
    <row r="14" spans="1:13" ht="12.75" customHeight="1">
      <c r="A14" s="247">
        <f t="shared" si="0"/>
        <v>10</v>
      </c>
      <c r="B14" s="256" t="s">
        <v>57</v>
      </c>
      <c r="C14" s="257">
        <v>33161</v>
      </c>
      <c r="D14" s="257">
        <v>35718</v>
      </c>
      <c r="E14" s="257">
        <v>34372</v>
      </c>
      <c r="F14" s="257" t="s">
        <v>53</v>
      </c>
      <c r="G14" s="257">
        <v>34366</v>
      </c>
      <c r="H14" s="258">
        <v>45323</v>
      </c>
      <c r="I14" s="260">
        <v>14073.339999999998</v>
      </c>
      <c r="J14" s="261">
        <v>12</v>
      </c>
      <c r="K14" s="260">
        <f t="shared" si="1"/>
        <v>168880.08</v>
      </c>
      <c r="M14" s="260"/>
    </row>
    <row r="15" spans="1:13" ht="12.75" customHeight="1">
      <c r="A15" s="247">
        <f t="shared" si="0"/>
        <v>11</v>
      </c>
      <c r="B15" s="256" t="s">
        <v>50</v>
      </c>
      <c r="C15" s="257">
        <v>35587</v>
      </c>
      <c r="D15" s="257">
        <v>46539</v>
      </c>
      <c r="E15" s="257">
        <v>38504</v>
      </c>
      <c r="F15" s="257"/>
      <c r="G15" s="257"/>
      <c r="H15" s="258">
        <v>46539</v>
      </c>
      <c r="I15" s="260">
        <v>19150.350000000002</v>
      </c>
      <c r="J15" s="261">
        <v>12</v>
      </c>
      <c r="K15" s="260">
        <f t="shared" si="1"/>
        <v>229804.2</v>
      </c>
      <c r="M15" s="260"/>
    </row>
    <row r="16" spans="1:13" ht="12.75" customHeight="1">
      <c r="A16" s="247">
        <f t="shared" si="0"/>
        <v>12</v>
      </c>
      <c r="B16" s="262" t="s">
        <v>22</v>
      </c>
      <c r="C16" s="257">
        <v>33457</v>
      </c>
      <c r="D16" s="257">
        <f>DATE(2021,8,1)</f>
        <v>44409</v>
      </c>
      <c r="E16" s="263">
        <v>37691</v>
      </c>
      <c r="F16" s="263" t="s">
        <v>54</v>
      </c>
      <c r="G16" s="263">
        <v>37691</v>
      </c>
      <c r="H16" s="258">
        <v>47908</v>
      </c>
      <c r="I16" s="260">
        <v>3790.0400000000004</v>
      </c>
      <c r="J16" s="261">
        <v>12</v>
      </c>
      <c r="K16" s="260">
        <f t="shared" si="1"/>
        <v>45480.48</v>
      </c>
      <c r="M16" s="260"/>
    </row>
    <row r="17" spans="1:13" ht="12.75" customHeight="1">
      <c r="A17" s="247">
        <f t="shared" si="0"/>
        <v>13</v>
      </c>
      <c r="B17" s="262" t="s">
        <v>23</v>
      </c>
      <c r="C17" s="257">
        <v>33457</v>
      </c>
      <c r="D17" s="257">
        <f>DATE(2021,8,1)</f>
        <v>44409</v>
      </c>
      <c r="E17" s="263">
        <v>37691</v>
      </c>
      <c r="F17" s="263" t="s">
        <v>54</v>
      </c>
      <c r="G17" s="263">
        <v>37691</v>
      </c>
      <c r="H17" s="258">
        <v>47908</v>
      </c>
      <c r="I17" s="260">
        <v>2880.1200000000003</v>
      </c>
      <c r="J17" s="261">
        <v>12</v>
      </c>
      <c r="K17" s="260">
        <f t="shared" si="1"/>
        <v>34561.44</v>
      </c>
      <c r="M17" s="260"/>
    </row>
    <row r="18" spans="1:13" ht="12.75" customHeight="1">
      <c r="A18" s="247">
        <f t="shared" si="0"/>
        <v>14</v>
      </c>
      <c r="B18" s="262" t="s">
        <v>24</v>
      </c>
      <c r="C18" s="257">
        <v>33664</v>
      </c>
      <c r="D18" s="257">
        <f>DATE(2022,3,1)</f>
        <v>44621</v>
      </c>
      <c r="E18" s="263">
        <v>37691</v>
      </c>
      <c r="F18" s="263" t="s">
        <v>54</v>
      </c>
      <c r="G18" s="263">
        <v>37691</v>
      </c>
      <c r="H18" s="258">
        <v>47908</v>
      </c>
      <c r="I18" s="260">
        <v>8818.789999999999</v>
      </c>
      <c r="J18" s="261">
        <v>12</v>
      </c>
      <c r="K18" s="260">
        <f t="shared" si="1"/>
        <v>105825.48</v>
      </c>
      <c r="M18" s="260"/>
    </row>
    <row r="19" spans="1:13" ht="12.75" customHeight="1">
      <c r="A19" s="247">
        <f t="shared" si="0"/>
        <v>15</v>
      </c>
      <c r="B19" s="262" t="s">
        <v>25</v>
      </c>
      <c r="C19" s="257">
        <v>33664</v>
      </c>
      <c r="D19" s="257">
        <f>DATE(2022,3,1)</f>
        <v>44621</v>
      </c>
      <c r="E19" s="263">
        <v>37691</v>
      </c>
      <c r="F19" s="263" t="s">
        <v>54</v>
      </c>
      <c r="G19" s="263">
        <v>37691</v>
      </c>
      <c r="H19" s="258">
        <v>47908</v>
      </c>
      <c r="I19" s="260">
        <v>2691.48</v>
      </c>
      <c r="J19" s="261">
        <v>12</v>
      </c>
      <c r="K19" s="260">
        <f t="shared" si="1"/>
        <v>32297.76</v>
      </c>
      <c r="M19" s="260"/>
    </row>
    <row r="20" spans="1:13" ht="12.75" customHeight="1">
      <c r="A20" s="247">
        <f t="shared" si="0"/>
        <v>16</v>
      </c>
      <c r="B20" s="262" t="s">
        <v>66</v>
      </c>
      <c r="C20" s="257">
        <v>37691</v>
      </c>
      <c r="D20" s="257">
        <v>47908</v>
      </c>
      <c r="E20" s="263">
        <v>41449</v>
      </c>
      <c r="F20" s="263" t="s">
        <v>67</v>
      </c>
      <c r="G20" s="263">
        <v>41417</v>
      </c>
      <c r="H20" s="258">
        <v>47908</v>
      </c>
      <c r="I20" s="260">
        <v>24927.39</v>
      </c>
      <c r="J20" s="261">
        <v>12</v>
      </c>
      <c r="K20" s="260">
        <f t="shared" si="1"/>
        <v>299128.68</v>
      </c>
      <c r="M20" s="260"/>
    </row>
    <row r="21" spans="1:13" ht="12.75" customHeight="1">
      <c r="A21" s="247">
        <f t="shared" si="0"/>
        <v>17</v>
      </c>
      <c r="B21" s="262" t="s">
        <v>66</v>
      </c>
      <c r="C21" s="257">
        <v>37691</v>
      </c>
      <c r="D21" s="257">
        <v>47908</v>
      </c>
      <c r="E21" s="263">
        <v>41449</v>
      </c>
      <c r="F21" s="263" t="s">
        <v>67</v>
      </c>
      <c r="G21" s="263">
        <v>41417</v>
      </c>
      <c r="H21" s="258">
        <v>47908</v>
      </c>
      <c r="I21" s="260">
        <v>4212.77</v>
      </c>
      <c r="J21" s="261">
        <v>12</v>
      </c>
      <c r="K21" s="260">
        <f t="shared" si="1"/>
        <v>50553.24</v>
      </c>
      <c r="M21" s="260"/>
    </row>
    <row r="22" spans="1:13" ht="12.75" customHeight="1">
      <c r="A22" s="247">
        <f>A21+1</f>
        <v>18</v>
      </c>
      <c r="B22" s="256" t="s">
        <v>46</v>
      </c>
      <c r="C22" s="257">
        <v>38183</v>
      </c>
      <c r="D22" s="257">
        <v>38913</v>
      </c>
      <c r="E22" s="257">
        <v>38499</v>
      </c>
      <c r="F22" s="257" t="s">
        <v>47</v>
      </c>
      <c r="G22" s="257">
        <v>38499</v>
      </c>
      <c r="H22" s="258">
        <v>49456</v>
      </c>
      <c r="I22" s="260">
        <v>1423.88</v>
      </c>
      <c r="J22" s="261">
        <v>12</v>
      </c>
      <c r="K22" s="260">
        <f t="shared" si="1"/>
        <v>17086.56</v>
      </c>
      <c r="M22" s="260"/>
    </row>
    <row r="23" spans="1:13" ht="12.75" customHeight="1">
      <c r="A23" s="247">
        <f t="shared" si="0"/>
        <v>19</v>
      </c>
      <c r="B23" s="256" t="s">
        <v>20</v>
      </c>
      <c r="C23" s="257">
        <v>37035</v>
      </c>
      <c r="D23" s="257">
        <v>51682</v>
      </c>
      <c r="E23" s="257">
        <v>38898</v>
      </c>
      <c r="F23" s="257" t="s">
        <v>55</v>
      </c>
      <c r="G23" s="257">
        <v>38898</v>
      </c>
      <c r="H23" s="258">
        <v>49841</v>
      </c>
      <c r="I23" s="260">
        <v>16418.45</v>
      </c>
      <c r="J23" s="261">
        <v>12</v>
      </c>
      <c r="K23" s="260">
        <f t="shared" si="1"/>
        <v>197021.4</v>
      </c>
      <c r="M23" s="260"/>
    </row>
    <row r="24" spans="1:13" ht="12.75" customHeight="1">
      <c r="A24" s="247">
        <f t="shared" si="0"/>
        <v>20</v>
      </c>
      <c r="B24" s="256" t="s">
        <v>64</v>
      </c>
      <c r="C24" s="257">
        <v>33117</v>
      </c>
      <c r="D24" s="257">
        <v>44075</v>
      </c>
      <c r="E24" s="257">
        <v>40900</v>
      </c>
      <c r="F24" s="257" t="s">
        <v>65</v>
      </c>
      <c r="G24" s="257">
        <v>40869</v>
      </c>
      <c r="H24" s="258">
        <v>55472</v>
      </c>
      <c r="I24" s="260">
        <v>33376.57</v>
      </c>
      <c r="J24" s="261">
        <v>12</v>
      </c>
      <c r="K24" s="260">
        <f t="shared" si="1"/>
        <v>400518.84</v>
      </c>
      <c r="M24" s="260"/>
    </row>
    <row r="25" spans="1:13" ht="12.75" customHeight="1">
      <c r="A25" s="247">
        <f t="shared" si="0"/>
        <v>21</v>
      </c>
      <c r="B25" s="256" t="s">
        <v>68</v>
      </c>
      <c r="C25" s="257">
        <v>38637</v>
      </c>
      <c r="D25" s="257">
        <v>42278</v>
      </c>
      <c r="E25" s="257">
        <v>42160</v>
      </c>
      <c r="F25" s="257" t="s">
        <v>70</v>
      </c>
      <c r="G25" s="257">
        <v>42150</v>
      </c>
      <c r="H25" s="258">
        <v>53102</v>
      </c>
      <c r="I25" s="260">
        <v>6858.54</v>
      </c>
      <c r="J25" s="261">
        <v>12</v>
      </c>
      <c r="K25" s="260">
        <f t="shared" si="1"/>
        <v>82302.48</v>
      </c>
      <c r="M25" s="260"/>
    </row>
    <row r="26" spans="1:13" ht="12.75" customHeight="1">
      <c r="A26" s="247">
        <f t="shared" si="0"/>
        <v>22</v>
      </c>
      <c r="B26" s="256" t="s">
        <v>69</v>
      </c>
      <c r="C26" s="257">
        <v>39836</v>
      </c>
      <c r="D26" s="257">
        <v>42384</v>
      </c>
      <c r="E26" s="257">
        <v>42160</v>
      </c>
      <c r="F26" s="257" t="s">
        <v>70</v>
      </c>
      <c r="G26" s="257">
        <v>42150</v>
      </c>
      <c r="H26" s="258">
        <v>53102</v>
      </c>
      <c r="I26" s="260">
        <v>26387.48</v>
      </c>
      <c r="J26" s="261">
        <v>12</v>
      </c>
      <c r="K26" s="260">
        <f t="shared" si="1"/>
        <v>316649.76</v>
      </c>
      <c r="M26" s="260"/>
    </row>
    <row r="27" spans="1:11" ht="12.75" customHeight="1">
      <c r="A27" s="247">
        <f t="shared" si="0"/>
        <v>23</v>
      </c>
      <c r="B27" s="256"/>
      <c r="C27" s="257"/>
      <c r="D27" s="257"/>
      <c r="E27" s="257"/>
      <c r="F27" s="257"/>
      <c r="G27" s="257"/>
      <c r="H27" s="258"/>
      <c r="I27" s="258"/>
      <c r="J27" s="258"/>
      <c r="K27" s="265"/>
    </row>
    <row r="28" spans="1:11" ht="15" customHeight="1" thickBot="1">
      <c r="A28" s="247">
        <f t="shared" si="0"/>
        <v>24</v>
      </c>
      <c r="B28" s="266" t="s">
        <v>19</v>
      </c>
      <c r="C28" s="31"/>
      <c r="D28" s="31"/>
      <c r="E28" s="31"/>
      <c r="F28" s="31"/>
      <c r="G28" s="31"/>
      <c r="H28" s="31"/>
      <c r="I28" s="31"/>
      <c r="J28" s="31"/>
      <c r="K28" s="267">
        <f>SUM(K8:K27)</f>
        <v>2058805.02</v>
      </c>
    </row>
    <row r="29" spans="1:11" ht="15" customHeight="1" thickTop="1">
      <c r="A29" s="247">
        <f t="shared" si="0"/>
        <v>25</v>
      </c>
      <c r="B29" s="266"/>
      <c r="C29" s="31"/>
      <c r="D29" s="31"/>
      <c r="E29" s="31"/>
      <c r="F29" s="31"/>
      <c r="G29" s="31"/>
      <c r="H29" s="31"/>
      <c r="I29" s="31"/>
      <c r="J29" s="31"/>
      <c r="K29" s="268"/>
    </row>
    <row r="30" spans="1:11" ht="15" customHeight="1">
      <c r="A30" s="247">
        <f t="shared" si="0"/>
        <v>26</v>
      </c>
      <c r="B30" s="266" t="s">
        <v>130</v>
      </c>
      <c r="C30" s="31"/>
      <c r="D30" s="31"/>
      <c r="E30" s="31"/>
      <c r="F30" s="31"/>
      <c r="G30" s="31"/>
      <c r="H30" s="31"/>
      <c r="I30" s="31"/>
      <c r="J30" s="31"/>
      <c r="K30" s="269">
        <f>'Pg 2 Cost of Total Debt'!H40</f>
        <v>7472990099.009901</v>
      </c>
    </row>
    <row r="31" spans="1:11" ht="12.75" customHeight="1">
      <c r="A31" s="247">
        <f t="shared" si="0"/>
        <v>27</v>
      </c>
      <c r="B31" s="266"/>
      <c r="C31" s="32"/>
      <c r="D31" s="32"/>
      <c r="E31" s="32"/>
      <c r="F31" s="32"/>
      <c r="G31" s="32"/>
      <c r="H31" s="32"/>
      <c r="I31" s="32"/>
      <c r="J31" s="32"/>
      <c r="K31" s="259"/>
    </row>
    <row r="32" spans="1:11" ht="12.75" customHeight="1">
      <c r="A32" s="247">
        <f t="shared" si="0"/>
        <v>28</v>
      </c>
      <c r="B32" s="266" t="s">
        <v>81</v>
      </c>
      <c r="C32" s="224"/>
      <c r="D32" s="224"/>
      <c r="E32" s="224"/>
      <c r="F32" s="224"/>
      <c r="G32" s="224"/>
      <c r="H32" s="270"/>
      <c r="I32" s="270"/>
      <c r="J32" s="270"/>
      <c r="K32" s="271">
        <f>ROUND(K28/K30,4)</f>
        <v>0.0003</v>
      </c>
    </row>
    <row r="33" spans="1:11" ht="12.75" customHeight="1">
      <c r="A33" s="247">
        <f t="shared" si="0"/>
        <v>29</v>
      </c>
      <c r="B33" s="272"/>
      <c r="C33" s="35"/>
      <c r="D33" s="35"/>
      <c r="E33" s="35"/>
      <c r="F33" s="35"/>
      <c r="H33" s="17"/>
      <c r="I33" s="17"/>
      <c r="J33" s="17"/>
      <c r="K33" s="259"/>
    </row>
    <row r="34" spans="1:11" ht="12.75" customHeight="1">
      <c r="A34" s="247">
        <f t="shared" si="0"/>
        <v>30</v>
      </c>
      <c r="B34" s="224" t="s">
        <v>82</v>
      </c>
      <c r="H34" s="17"/>
      <c r="I34" s="17"/>
      <c r="J34" s="17"/>
      <c r="K34" s="259"/>
    </row>
    <row r="35" spans="1:11" ht="12.75" customHeight="1">
      <c r="A35" s="247"/>
      <c r="B35" s="273"/>
      <c r="H35" s="17"/>
      <c r="I35" s="17"/>
      <c r="J35" s="17"/>
      <c r="K35" s="17"/>
    </row>
    <row r="36" spans="1:11" ht="12.75" customHeight="1">
      <c r="A36" s="36"/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34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spans="8:11" ht="12.75" customHeight="1">
      <c r="H41" s="17"/>
      <c r="I41" s="17"/>
      <c r="J41" s="17"/>
      <c r="K41" s="17"/>
    </row>
    <row r="42" spans="8:11" ht="12.75" customHeight="1">
      <c r="H42" s="17"/>
      <c r="I42" s="17"/>
      <c r="J42" s="17"/>
      <c r="K42" s="17"/>
    </row>
    <row r="43" spans="8:11" ht="12.75" customHeight="1">
      <c r="H43" s="17"/>
      <c r="I43" s="17"/>
      <c r="J43" s="17"/>
      <c r="K43" s="17"/>
    </row>
    <row r="44" spans="8:11" ht="12.75" customHeight="1">
      <c r="H44" s="17"/>
      <c r="I44" s="17"/>
      <c r="J44" s="17"/>
      <c r="K44" s="17"/>
    </row>
    <row r="45" spans="8:11" ht="12.75" customHeight="1">
      <c r="H45" s="17"/>
      <c r="I45" s="17"/>
      <c r="J45" s="17"/>
      <c r="K45" s="17"/>
    </row>
    <row r="46" spans="8:11" ht="12.75" customHeight="1">
      <c r="H46" s="17"/>
      <c r="I46" s="17"/>
      <c r="J46" s="17"/>
      <c r="K46" s="1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&amp;C&amp;A&amp;RExhibit No. ___(BJL-4)
Page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Cindy Song</cp:lastModifiedBy>
  <dcterms:created xsi:type="dcterms:W3CDTF">2016-12-21T02:43:36Z</dcterms:created>
  <dcterms:modified xsi:type="dcterms:W3CDTF">2016-12-30T18:42:17Z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CaseCompanyNam">
    <vt:lpwstr>Puget Sound Energy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170033</vt:lpwstr>
  </property>
  <property fmtid="{D5CDD505-2E9C-101B-9397-08002B2CF9AE}" pid="9" name="Visibili">
    <vt:lpwstr>Full Visibility</vt:lpwstr>
  </property>
  <property fmtid="{D5CDD505-2E9C-101B-9397-08002B2CF9AE}" pid="10" name="Dat">
    <vt:lpwstr>2017-01-13T00:00:00Z</vt:lpwstr>
  </property>
  <property fmtid="{D5CDD505-2E9C-101B-9397-08002B2CF9AE}" pid="11" name="Nickna">
    <vt:lpwstr/>
  </property>
  <property fmtid="{D5CDD505-2E9C-101B-9397-08002B2CF9AE}" pid="12" name="Proce">
    <vt:lpwstr/>
  </property>
  <property fmtid="{D5CDD505-2E9C-101B-9397-08002B2CF9AE}" pid="13" name="_docset_NoMedatataSyncRequir">
    <vt:lpwstr>False</vt:lpwstr>
  </property>
  <property fmtid="{D5CDD505-2E9C-101B-9397-08002B2CF9AE}" pid="14" name="CaseTy">
    <vt:lpwstr>Tariff Revision</vt:lpwstr>
  </property>
  <property fmtid="{D5CDD505-2E9C-101B-9397-08002B2CF9AE}" pid="15" name="OpenedDa">
    <vt:lpwstr>2017-01-13T00:00:00Z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  <property fmtid="{D5CDD505-2E9C-101B-9397-08002B2CF9AE}" pid="19" name="DocumentGro">
    <vt:lpwstr/>
  </property>
</Properties>
</file>